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实体商品-2026年"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cellXfs>
  <cellStyles count="1">
    <cellStyle name="Normal" xfId="0" builtinId="0" customBuiltin="true"/>
  </cellStyles>
  <dxfs count="2">
    <dxf>
      <fill>
        <patternFill patternType="solid">
          <bgColor rgb="FFFBF4DF"/>
        </patternFill>
      </fill>
    </dxf>
    <dxf>
      <fill>
        <patternFill patternType="solid">
          <bgColor rgb="FFFDD1D0"/>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0" customWidth="1"/>
    <col min="18" max="18" width="0" customWidth="1"/>
    <col min="19" max="19" width="0" customWidth="1"/>
    <col min="20" max="20" width="19" customWidth="1"/>
    <col min="21" max="21" width="19" customWidth="1"/>
    <col min="22" max="22" width="19" customWidth="1"/>
    <col min="23" max="23" width="19" customWidth="1"/>
  </cols>
  <sheetData>
    <row r="1" ht="13" customHeight="1">
      <c r="A1" s="1" t="inlineStr">
        <is>
          <t>商品标题</t>
        </is>
      </c>
      <c r="B1" s="1" t="inlineStr">
        <is>
          <t>商品主图</t>
        </is>
      </c>
      <c r="C1" s="1" t="inlineStr">
        <is>
          <t>商品链接</t>
        </is>
      </c>
      <c r="D1" s="1" t="inlineStr">
        <is>
          <t>是否异常</t>
        </is>
      </c>
      <c r="E1" s="1" t="inlineStr">
        <is>
          <t>商品销量</t>
        </is>
      </c>
      <c r="F1" s="1" t="inlineStr">
        <is>
          <t>商品原价</t>
        </is>
      </c>
      <c r="G1" s="1" t="inlineStr">
        <is>
          <t>到手价</t>
        </is>
      </c>
      <c r="H1" s="1" t="inlineStr">
        <is>
          <t>24小时内加购</t>
        </is>
      </c>
      <c r="I1" s="1" t="inlineStr">
        <is>
          <t>搜索关键词</t>
        </is>
      </c>
      <c r="J1" s="1" t="inlineStr">
        <is>
          <t>加购销量比</t>
        </is>
      </c>
      <c r="K1" s="1" t="inlineStr">
        <is>
          <t>🔺销量粉丝比-分类</t>
        </is>
      </c>
      <c r="L1" s="1" t="inlineStr">
        <is>
          <t>店铺名称</t>
        </is>
      </c>
      <c r="M1" s="1" t="inlineStr">
        <is>
          <t>粉丝数</t>
        </is>
      </c>
      <c r="N1" s="1" t="inlineStr">
        <is>
          <t>店铺评分</t>
        </is>
      </c>
      <c r="O1" s="1" t="inlineStr">
        <is>
          <t>店铺已售</t>
        </is>
      </c>
      <c r="P1" s="1" t="inlineStr">
        <is>
          <t>商品id</t>
        </is>
      </c>
      <c r="Q1" s="1" t="inlineStr">
        <is>
          <t>店铺是否重复</t>
        </is>
      </c>
      <c r="R1" s="1" t="inlineStr">
        <is>
          <t>年度第几周</t>
        </is>
      </c>
      <c r="S1" s="1" t="inlineStr">
        <is>
          <t>销量粉丝比</t>
        </is>
      </c>
      <c r="T1" s="1" t="inlineStr">
        <is>
          <t>商品分类</t>
        </is>
      </c>
      <c r="U1" s="1" t="inlineStr">
        <is>
          <t>商品二级分类</t>
        </is>
      </c>
      <c r="V1" s="1" t="inlineStr">
        <is>
          <t>收录时间</t>
        </is>
      </c>
      <c r="W1" s="1" t="inlineStr">
        <is>
          <t>季度</t>
        </is>
      </c>
    </row>
    <row r="2" ht="25.5" customHeight="1">
      <c r="A2" t="inlineStr">
        <is>
          <t>【小猕猴桃必买！款式 颜色随机发！】出口小日子的纳米脱毛器！</t>
        </is>
      </c>
      <c r="B2" t="inlineStr">
        <is>
          <t>recvfjOYGLEBW7.jpg</t>
        </is>
      </c>
      <c r="C2" s="2" t="str">
        <f>=HYPERLINK("https://xhslink.com/m/60RZkw48ebV", "https://xhslink.com/m/60RZkw48ebV")</f>
        <v>https://xhslink.com/m/60RZkw48ebV</v>
      </c>
      <c r="D2"/>
      <c r="E2">
        <v>22000</v>
      </c>
      <c r="F2">
        <v>59</v>
      </c>
      <c r="G2">
        <v>25</v>
      </c>
      <c r="H2">
        <v>10000</v>
      </c>
      <c r="I2" t="inlineStr">
        <is>
          <t>脱毛刀</t>
        </is>
      </c>
      <c r="J2" t="inlineStr">
        <is>
          <t>0.45</t>
        </is>
      </c>
      <c r="K2"/>
      <c r="L2" t="inlineStr">
        <is>
          <t>YYboot33的店</t>
        </is>
      </c>
      <c r="M2">
        <v>323000</v>
      </c>
      <c r="N2">
        <v>4.48</v>
      </c>
      <c r="O2">
        <v>1612000</v>
      </c>
      <c r="P2" t="inlineStr">
        <is>
          <t>68358c4bd0c85b00018be838</t>
        </is>
      </c>
      <c r="Q2"/>
      <c r="R2" t="inlineStr">
        <is>
          <t>14周</t>
        </is>
      </c>
      <c r="S2" t="inlineStr">
        <is>
          <t>0.07</t>
        </is>
      </c>
      <c r="T2" t="inlineStr">
        <is>
          <t>美妆个护</t>
        </is>
      </c>
      <c r="U2" t="inlineStr">
        <is>
          <t>个人护理</t>
        </is>
      </c>
      <c r="V2" s="3">
        <v>46112.78107638889</v>
      </c>
      <c r="W2" t="inlineStr">
        <is>
          <t>2026-Q1</t>
        </is>
      </c>
    </row>
    <row r="3" ht="25.5" customHeight="1">
      <c r="A3" t="inlineStr">
        <is>
          <t>（28.8块！任选8个）低卡热手作夹心碱水球面包贝果欧包早餐代餐</t>
        </is>
      </c>
      <c r="B3" t="inlineStr">
        <is>
          <t>recveNXG9tQycK.jpg</t>
        </is>
      </c>
      <c r="C3" s="2" t="str">
        <f>=HYPERLINK("https://xhslink.com/m/3YaVkWFb31J", "https://xhslink.com/m/3YaVkWFb31J")</f>
        <v>https://xhslink.com/m/3YaVkWFb31J</v>
      </c>
      <c r="D3"/>
      <c r="E3">
        <v>85000</v>
      </c>
      <c r="F3">
        <v>9.6</v>
      </c>
      <c r="G3"/>
      <c r="H3">
        <v>8000</v>
      </c>
      <c r="I3" t="inlineStr">
        <is>
          <t>减脂主食</t>
        </is>
      </c>
      <c r="J3" t="inlineStr">
        <is>
          <t>0.09</t>
        </is>
      </c>
      <c r="K3" t="inlineStr">
        <is>
          <t>🔥低粉爆款</t>
        </is>
      </c>
      <c r="L3" t="inlineStr">
        <is>
          <t>转山的喵.低卡手作的店</t>
        </is>
      </c>
      <c r="M3">
        <v>602</v>
      </c>
      <c r="N3">
        <v>4.38</v>
      </c>
      <c r="O3">
        <v>78000</v>
      </c>
      <c r="P3" t="inlineStr">
        <is>
          <t>69a00e966b5a8300015d42e5</t>
        </is>
      </c>
      <c r="Q3" t="inlineStr">
        <is>
          <t>🚫重复</t>
        </is>
      </c>
      <c r="R3" t="inlineStr">
        <is>
          <t>14周</t>
        </is>
      </c>
      <c r="S3" t="inlineStr">
        <is>
          <t>141.20</t>
        </is>
      </c>
      <c r="T3" t="inlineStr">
        <is>
          <t>美食滋补</t>
        </is>
      </c>
      <c r="U3" t="inlineStr">
        <is>
          <t>休闲零食</t>
        </is>
      </c>
      <c r="V3" s="3">
        <v>46112.78107638889</v>
      </c>
      <c r="W3" t="inlineStr">
        <is>
          <t>2026-Q1</t>
        </is>
      </c>
    </row>
    <row r="4" ht="25.5" customHeight="1">
      <c r="A4" t="inlineStr">
        <is>
          <t>dezone · 双拼卧蚕笔提亮阴影勾勒二合一防水立体打造妈生感卧蚕</t>
        </is>
      </c>
      <c r="B4" t="inlineStr">
        <is>
          <t>__upload_recvh9P0bmhdj7.jpg</t>
        </is>
      </c>
      <c r="C4" s="2" t="str">
        <f>=HYPERLINK("https://xhslink.com/m/6p7Ghph5PCC", "https://xhslink.com/m/6p7Ghph5PCC")</f>
        <v>https://xhslink.com/m/6p7Ghph5PCC</v>
      </c>
      <c r="D4"/>
      <c r="E4">
        <v>5436</v>
      </c>
      <c r="F4">
        <v>68</v>
      </c>
      <c r="G4">
        <v>48</v>
      </c>
      <c r="H4">
        <v>8000</v>
      </c>
      <c r="I4" t="inlineStr">
        <is>
          <t>面部色彩</t>
        </is>
      </c>
      <c r="J4" t="inlineStr">
        <is>
          <t>1.47</t>
        </is>
      </c>
      <c r="K4"/>
      <c r="L4" t="inlineStr">
        <is>
          <t>dezone黛庄旗舰店</t>
        </is>
      </c>
      <c r="M4">
        <v>12000</v>
      </c>
      <c r="N4">
        <v>4.82</v>
      </c>
      <c r="O4">
        <v>67000</v>
      </c>
      <c r="P4" t="inlineStr">
        <is>
          <t>69280cbd01312b000167ac58</t>
        </is>
      </c>
      <c r="Q4"/>
      <c r="R4" t="inlineStr">
        <is>
          <t>16周</t>
        </is>
      </c>
      <c r="S4" t="inlineStr">
        <is>
          <t>0.45</t>
        </is>
      </c>
      <c r="T4" t="inlineStr">
        <is>
          <t>美妆个护</t>
        </is>
      </c>
      <c r="U4" t="inlineStr">
        <is>
          <t>护肤彩妆</t>
        </is>
      </c>
      <c r="V4" s="3">
        <v>46130.98501157408</v>
      </c>
      <c r="W4" t="inlineStr">
        <is>
          <t>2026-Q2</t>
        </is>
      </c>
    </row>
    <row r="5" ht="25.5" customHeight="1">
      <c r="A5" t="inlineStr">
        <is>
          <t>【新品冲量前7000单9.9！】​小众设计音符抓夹高级鲨鱼夹2026新</t>
        </is>
      </c>
      <c r="B5" t="inlineStr">
        <is>
          <t>recvfVt9jW2iZ4.jpg</t>
        </is>
      </c>
      <c r="C5" s="2" t="str">
        <f>=HYPERLINK("https://xhslink.com/m/1Kno6hxoiZG", "https://xhslink.com/m/1Kno6hxoiZG")</f>
        <v>https://xhslink.com/m/1Kno6hxoiZG</v>
      </c>
      <c r="D5"/>
      <c r="E5">
        <v>7028</v>
      </c>
      <c r="F5">
        <v>20.8</v>
      </c>
      <c r="G5">
        <v>9.9</v>
      </c>
      <c r="H5">
        <v>7000</v>
      </c>
      <c r="I5" t="inlineStr">
        <is>
          <t>配饰</t>
        </is>
      </c>
      <c r="J5" t="inlineStr">
        <is>
          <t>1.00</t>
        </is>
      </c>
      <c r="K5" t="inlineStr">
        <is>
          <t>🔥低粉爆款</t>
        </is>
      </c>
      <c r="L5" t="inlineStr">
        <is>
          <t>Sylvia 美物匣的店</t>
        </is>
      </c>
      <c r="M5">
        <v>2103</v>
      </c>
      <c r="N5">
        <v>4.64</v>
      </c>
      <c r="O5">
        <v>13000</v>
      </c>
      <c r="P5" t="inlineStr">
        <is>
          <t>691db83baa1e7b001593ff6c</t>
        </is>
      </c>
      <c r="Q5" t="inlineStr">
        <is>
          <t>🚫重复</t>
        </is>
      </c>
      <c r="R5" t="inlineStr">
        <is>
          <t>14周</t>
        </is>
      </c>
      <c r="S5" t="inlineStr">
        <is>
          <t>3.34</t>
        </is>
      </c>
      <c r="T5" t="inlineStr">
        <is>
          <t>服饰穿搭</t>
        </is>
      </c>
      <c r="U5" t="inlineStr">
        <is>
          <t>配饰</t>
        </is>
      </c>
      <c r="V5" s="3">
        <v>46117.927083333336</v>
      </c>
      <c r="W5" t="inlineStr">
        <is>
          <t>2026-Q2</t>
        </is>
      </c>
    </row>
    <row r="6" ht="25.5" customHeight="1">
      <c r="A6" t="inlineStr">
        <is>
          <t>可爱毛绒安抚软萌甜安抚兔卡通挂件玩偶呆萌娃娃兔子萌物甜美日系</t>
        </is>
      </c>
      <c r="B6" t="inlineStr">
        <is>
          <t>recvfVt9jW0Ocz.jpg</t>
        </is>
      </c>
      <c r="C6" s="2" t="str">
        <f>=HYPERLINK("https://xhslink.com/m/3roLKFVchmu", "https://xhslink.com/m/3roLKFVchmu")</f>
        <v>https://xhslink.com/m/3roLKFVchmu</v>
      </c>
      <c r="D6"/>
      <c r="E6">
        <v>46000</v>
      </c>
      <c r="F6">
        <v>9.9</v>
      </c>
      <c r="G6">
        <v>6.9</v>
      </c>
      <c r="H6">
        <v>7000</v>
      </c>
      <c r="I6" t="inlineStr">
        <is>
          <t>小玩偶</t>
        </is>
      </c>
      <c r="J6" t="inlineStr">
        <is>
          <t>0.15</t>
        </is>
      </c>
      <c r="K6" t="inlineStr">
        <is>
          <t>🔥低粉爆款</t>
        </is>
      </c>
      <c r="L6" t="inlineStr">
        <is>
          <t>一只瑞比兔的店</t>
        </is>
      </c>
      <c r="M6">
        <v>7432</v>
      </c>
      <c r="N6">
        <v>4.28</v>
      </c>
      <c r="O6">
        <v>49000</v>
      </c>
      <c r="P6" t="inlineStr">
        <is>
          <t>69c430199c146500012e7344</t>
        </is>
      </c>
      <c r="Q6" t="inlineStr">
        <is>
          <t>🚫重复</t>
        </is>
      </c>
      <c r="R6" t="inlineStr">
        <is>
          <t>14周</t>
        </is>
      </c>
      <c r="S6" t="inlineStr">
        <is>
          <t>6.19</t>
        </is>
      </c>
      <c r="T6" t="inlineStr">
        <is>
          <t>母婴亲子</t>
        </is>
      </c>
      <c r="U6" t="inlineStr">
        <is>
          <t>玩具早教</t>
        </is>
      </c>
      <c r="V6" s="3">
        <v>46117.927083333336</v>
      </c>
      <c r="W6" t="inlineStr">
        <is>
          <t>2026-Q2</t>
        </is>
      </c>
    </row>
    <row r="7" ht="25.5" customHeight="1">
      <c r="A7" t="inlineStr">
        <is>
          <t>【梨形神裤卫裤版】低腰阔腿微喇裤巨显高显瘦显腿长空气层四季款</t>
        </is>
      </c>
      <c r="B7" t="inlineStr">
        <is>
          <t>recvcB48ezyrov.jpg</t>
        </is>
      </c>
      <c r="C7" s="2" t="str">
        <f>=HYPERLINK("https://xhslink.com/m/50en1OmNC0b", "https://xhslink.com/m/50en1OmNC0b")</f>
        <v>https://xhslink.com/m/50en1OmNC0b</v>
      </c>
      <c r="D7"/>
      <c r="E7">
        <v>71000</v>
      </c>
      <c r="F7">
        <v>128</v>
      </c>
      <c r="G7"/>
      <c r="H7">
        <v>6000</v>
      </c>
      <c r="I7" t="inlineStr">
        <is>
          <t>裤子</t>
        </is>
      </c>
      <c r="J7" t="inlineStr">
        <is>
          <t>0.08</t>
        </is>
      </c>
      <c r="K7"/>
      <c r="L7" t="inlineStr">
        <is>
          <t>ZHUTT的店</t>
        </is>
      </c>
      <c r="M7">
        <v>27000</v>
      </c>
      <c r="N7">
        <v>4.49</v>
      </c>
      <c r="O7">
        <v>165000</v>
      </c>
      <c r="P7" t="inlineStr">
        <is>
          <t>676e18a2ada659000110ddd6</t>
        </is>
      </c>
      <c r="Q7" t="inlineStr">
        <is>
          <t>🚫重复</t>
        </is>
      </c>
      <c r="R7" t="inlineStr">
        <is>
          <t>14周</t>
        </is>
      </c>
      <c r="S7" t="inlineStr">
        <is>
          <t>2.63</t>
        </is>
      </c>
      <c r="T7" t="inlineStr">
        <is>
          <t>服饰穿搭</t>
        </is>
      </c>
      <c r="U7" t="inlineStr">
        <is>
          <t>女装</t>
        </is>
      </c>
      <c r="V7" s="3">
        <v>46112.78107638889</v>
      </c>
      <c r="W7" t="inlineStr">
        <is>
          <t>2026-Q1</t>
        </is>
      </c>
    </row>
    <row r="8" ht="25.5" customHeight="1">
      <c r="A8" t="inlineStr">
        <is>
          <t>VERBENA LINN · 烟酰胺香氛海盐身体磨砂膏平价改善鸡皮透亮去角质</t>
        </is>
      </c>
      <c r="B8" t="inlineStr">
        <is>
          <t>__upload_recvh9P0bmLNY8.jpg</t>
        </is>
      </c>
      <c r="C8" s="2" t="str">
        <f>=HYPERLINK("https://xhslink.com/m/4slz9CgXo8x", "https://xhslink.com/m/4slz9CgXo8x")</f>
        <v>https://xhslink.com/m/4slz9CgXo8x</v>
      </c>
      <c r="D8"/>
      <c r="E8">
        <v>218000</v>
      </c>
      <c r="F8">
        <v>42</v>
      </c>
      <c r="G8">
        <v>19</v>
      </c>
      <c r="H8">
        <v>6000</v>
      </c>
      <c r="I8" t="inlineStr">
        <is>
          <t>身体护理</t>
        </is>
      </c>
      <c r="J8" t="inlineStr">
        <is>
          <t>0.03</t>
        </is>
      </c>
      <c r="K8"/>
      <c r="L8" t="inlineStr">
        <is>
          <t>Verbena Linn闻梨旗舰店</t>
        </is>
      </c>
      <c r="M8">
        <v>164000</v>
      </c>
      <c r="N8">
        <v>4.55</v>
      </c>
      <c r="O8">
        <v>1949000</v>
      </c>
      <c r="P8" t="inlineStr">
        <is>
          <t>5edf455fa0914112c90f4c16</t>
        </is>
      </c>
      <c r="Q8"/>
      <c r="R8" t="inlineStr">
        <is>
          <t>16周</t>
        </is>
      </c>
      <c r="S8" t="inlineStr">
        <is>
          <t>1.33</t>
        </is>
      </c>
      <c r="T8" t="inlineStr">
        <is>
          <t>美妆个护</t>
        </is>
      </c>
      <c r="U8" t="inlineStr">
        <is>
          <t>个人护理</t>
        </is>
      </c>
      <c r="V8" s="3">
        <v>46130.98501157408</v>
      </c>
      <c r="W8" t="inlineStr">
        <is>
          <t>2026-Q2</t>
        </is>
      </c>
    </row>
    <row r="9" ht="25.5" customHeight="1">
      <c r="A9" t="inlineStr">
        <is>
          <t>自留日系棉麻大檐渔夫帽女夏季户外防晒显脸小可折叠遮阳帽子</t>
        </is>
      </c>
      <c r="B9" t="inlineStr">
        <is>
          <t>recvg1BDH5ZlNr.jpg</t>
        </is>
      </c>
      <c r="C9" s="2" t="str">
        <f>=HYPERLINK("https://xhslink.com/m/3Pmkf6vGuvu", "https://xhslink.com/m/3Pmkf6vGuvu")</f>
        <v>https://xhslink.com/m/3Pmkf6vGuvu</v>
      </c>
      <c r="D9"/>
      <c r="E9">
        <v>30000</v>
      </c>
      <c r="F9">
        <v>38</v>
      </c>
      <c r="G9"/>
      <c r="H9">
        <v>5000</v>
      </c>
      <c r="I9" t="inlineStr">
        <is>
          <t>防晒帽</t>
        </is>
      </c>
      <c r="J9" t="inlineStr">
        <is>
          <t>0.17</t>
        </is>
      </c>
      <c r="K9"/>
      <c r="L9" t="inlineStr">
        <is>
          <t>byabbay的店</t>
        </is>
      </c>
      <c r="M9">
        <v>21000</v>
      </c>
      <c r="N9">
        <v>4.59</v>
      </c>
      <c r="O9">
        <v>363000</v>
      </c>
      <c r="P9" t="inlineStr">
        <is>
          <t>681f3e10d0f0430001183ed1</t>
        </is>
      </c>
      <c r="Q9" t="inlineStr">
        <is>
          <t>🚫重复</t>
        </is>
      </c>
      <c r="R9" t="inlineStr">
        <is>
          <t>15周</t>
        </is>
      </c>
      <c r="S9" t="inlineStr">
        <is>
          <t>1.43</t>
        </is>
      </c>
      <c r="T9" t="inlineStr">
        <is>
          <t>服饰穿搭</t>
        </is>
      </c>
      <c r="U9" t="inlineStr">
        <is>
          <t>配饰</t>
        </is>
      </c>
      <c r="V9" s="3">
        <v>46118.97659722222</v>
      </c>
      <c r="W9" t="inlineStr">
        <is>
          <t>2026-Q2</t>
        </is>
      </c>
    </row>
    <row r="10" ht="25.5" customHeight="1">
      <c r="A10" t="inlineStr">
        <is>
          <t>【巨显瘦西装裤！】辣妹必备低腰阔腿微喇裤姐感裤子显高显瘦显腿</t>
        </is>
      </c>
      <c r="B10" t="inlineStr">
        <is>
          <t>recvcB48ezIb9S.jpg</t>
        </is>
      </c>
      <c r="C10" s="2" t="str">
        <f>=HYPERLINK("https://xhslink.com/m/1zcfWRtnSub", "https://xhslink.com/m/1zcfWRtnSub")</f>
        <v>https://xhslink.com/m/1zcfWRtnSub</v>
      </c>
      <c r="D10"/>
      <c r="E10">
        <v>72000</v>
      </c>
      <c r="F10">
        <v>89.9</v>
      </c>
      <c r="G10"/>
      <c r="H10">
        <v>4000</v>
      </c>
      <c r="I10" t="inlineStr">
        <is>
          <t>裤子</t>
        </is>
      </c>
      <c r="J10" t="inlineStr">
        <is>
          <t>0.06</t>
        </is>
      </c>
      <c r="K10"/>
      <c r="L10" t="inlineStr">
        <is>
          <t>ZHUTT的店</t>
        </is>
      </c>
      <c r="M10">
        <v>27000</v>
      </c>
      <c r="N10">
        <v>4.49</v>
      </c>
      <c r="O10">
        <v>165000</v>
      </c>
      <c r="P10" t="inlineStr">
        <is>
          <t>67290bc06a6c180001edee57</t>
        </is>
      </c>
      <c r="Q10" t="inlineStr">
        <is>
          <t>🚫重复</t>
        </is>
      </c>
      <c r="R10" t="inlineStr">
        <is>
          <t>14周</t>
        </is>
      </c>
      <c r="S10" t="inlineStr">
        <is>
          <t>2.67</t>
        </is>
      </c>
      <c r="T10" t="inlineStr">
        <is>
          <t>服饰穿搭</t>
        </is>
      </c>
      <c r="U10" t="inlineStr">
        <is>
          <t>女装</t>
        </is>
      </c>
      <c r="V10" s="3">
        <v>46112.78107638889</v>
      </c>
      <c r="W10" t="inlineStr">
        <is>
          <t>2026-Q1</t>
        </is>
      </c>
    </row>
    <row r="11" ht="25.5" customHeight="1">
      <c r="A11" t="inlineStr">
        <is>
          <t>秦思！同款双面Magsafe磁吸金属桌面支架 双面磁吸一字赠磁吸环</t>
        </is>
      </c>
      <c r="B11" t="inlineStr">
        <is>
          <t>recve60dL6YUYH.jpg</t>
        </is>
      </c>
      <c r="C11" s="2" t="str">
        <f>=HYPERLINK("https://xhslink.com/m/8osgv65IMyR", "https://xhslink.com/m/8osgv65IMyR")</f>
        <v>https://xhslink.com/m/8osgv65IMyR</v>
      </c>
      <c r="D11"/>
      <c r="E11">
        <v>38000</v>
      </c>
      <c r="F11">
        <v>24.99</v>
      </c>
      <c r="G11"/>
      <c r="H11">
        <v>4000</v>
      </c>
      <c r="I11" t="inlineStr">
        <is>
          <t>数码</t>
        </is>
      </c>
      <c r="J11" t="inlineStr">
        <is>
          <t>0.11</t>
        </is>
      </c>
      <c r="K11" t="inlineStr">
        <is>
          <t>🔥低粉爆款</t>
        </is>
      </c>
      <c r="L11" t="inlineStr">
        <is>
          <t>数码女王的店</t>
        </is>
      </c>
      <c r="M11">
        <v>392</v>
      </c>
      <c r="N11">
        <v>4.59</v>
      </c>
      <c r="O11">
        <v>43000</v>
      </c>
      <c r="P11" t="inlineStr">
        <is>
          <t>6862a853a0660200018e59e2</t>
        </is>
      </c>
      <c r="Q11"/>
      <c r="R11" t="inlineStr">
        <is>
          <t>14周</t>
        </is>
      </c>
      <c r="S11" t="inlineStr">
        <is>
          <t>96.94</t>
        </is>
      </c>
      <c r="T11" t="inlineStr">
        <is>
          <t>数码家电</t>
        </is>
      </c>
      <c r="U11" t="inlineStr">
        <is>
          <t>数码配件</t>
        </is>
      </c>
      <c r="V11" s="3">
        <v>46112.78107638889</v>
      </c>
      <c r="W11" t="inlineStr">
        <is>
          <t>2026-Q1</t>
        </is>
      </c>
    </row>
    <row r="12" ht="25.5" customHeight="1">
      <c r="A12" t="inlineStr">
        <is>
          <t>【梨形神裤卫裤版】低腰阔腿微喇裤巨显高显瘦显腿长空气层四季款</t>
        </is>
      </c>
      <c r="B12" t="inlineStr">
        <is>
          <t>recveqrfln3rHn.jpg</t>
        </is>
      </c>
      <c r="C12" s="2" t="str">
        <f>=HYPERLINK("https://xhslink.com/m/6wKrYLpsIiG", "https://xhslink.com/m/6wKrYLpsIiG")</f>
        <v>https://xhslink.com/m/6wKrYLpsIiG</v>
      </c>
      <c r="D12"/>
      <c r="E12">
        <v>87000</v>
      </c>
      <c r="F12">
        <v>158</v>
      </c>
      <c r="G12"/>
      <c r="H12">
        <v>4000</v>
      </c>
      <c r="I12" t="inlineStr">
        <is>
          <t>阔腿裤</t>
        </is>
      </c>
      <c r="J12" t="inlineStr">
        <is>
          <t>0.05</t>
        </is>
      </c>
      <c r="K12"/>
      <c r="L12" t="inlineStr">
        <is>
          <t>ZHUTT的店</t>
        </is>
      </c>
      <c r="M12">
        <v>30000</v>
      </c>
      <c r="N12">
        <v>4.48</v>
      </c>
      <c r="O12">
        <v>191000</v>
      </c>
      <c r="P12" t="inlineStr">
        <is>
          <t>676e18a2ada659000110ddc1</t>
        </is>
      </c>
      <c r="Q12" t="inlineStr">
        <is>
          <t>🚫重复</t>
        </is>
      </c>
      <c r="R12" t="inlineStr">
        <is>
          <t>14周</t>
        </is>
      </c>
      <c r="S12" t="inlineStr">
        <is>
          <t>2.90</t>
        </is>
      </c>
      <c r="T12" t="inlineStr">
        <is>
          <t>服饰穿搭</t>
        </is>
      </c>
      <c r="U12" t="inlineStr">
        <is>
          <t>女装</t>
        </is>
      </c>
      <c r="V12" s="3">
        <v>46112.78107638889</v>
      </c>
      <c r="W12" t="inlineStr">
        <is>
          <t>2026-Q1</t>
        </is>
      </c>
    </row>
    <row r="13" ht="25.5" customHeight="1">
      <c r="A13" t="inlineStr">
        <is>
          <t>【枕梦蝶生】真“慢回弹”悬浮云朵颈椎支撑记忆枕  反弓护颈体态</t>
        </is>
      </c>
      <c r="B13" t="inlineStr">
        <is>
          <t>recveyWM0oeedf.jpg</t>
        </is>
      </c>
      <c r="C13" s="2" t="str">
        <f>=HYPERLINK("https://xhslink.com/m/AX72kMrcDkG", "https://xhslink.com/m/AX72kMrcDkG")</f>
        <v>https://xhslink.com/m/AX72kMrcDkG</v>
      </c>
      <c r="D13"/>
      <c r="E13">
        <v>261000</v>
      </c>
      <c r="F13">
        <v>298</v>
      </c>
      <c r="G13">
        <v>99</v>
      </c>
      <c r="H13">
        <v>4000</v>
      </c>
      <c r="I13" t="inlineStr">
        <is>
          <t>实用好物</t>
        </is>
      </c>
      <c r="J13" t="inlineStr">
        <is>
          <t>0.02</t>
        </is>
      </c>
      <c r="K13" t="inlineStr">
        <is>
          <t>🔥低粉爆款</t>
        </is>
      </c>
      <c r="L13" t="inlineStr">
        <is>
          <t>枕梦蝶生的店</t>
        </is>
      </c>
      <c r="M13">
        <v>22000</v>
      </c>
      <c r="N13">
        <v>4.47</v>
      </c>
      <c r="O13">
        <v>267000</v>
      </c>
      <c r="P13" t="inlineStr">
        <is>
          <t>687b5b2279bc470001e8b052</t>
        </is>
      </c>
      <c r="Q13"/>
      <c r="R13" t="inlineStr">
        <is>
          <t>14周</t>
        </is>
      </c>
      <c r="S13" t="inlineStr">
        <is>
          <t>11.86</t>
        </is>
      </c>
      <c r="T13" t="inlineStr">
        <is>
          <t>家居生活</t>
        </is>
      </c>
      <c r="U13" t="inlineStr">
        <is>
          <t>家居日用</t>
        </is>
      </c>
      <c r="V13" s="3">
        <v>46112.78107638889</v>
      </c>
      <c r="W13" t="inlineStr">
        <is>
          <t>2026-Q1</t>
        </is>
      </c>
    </row>
    <row r="14" ht="25.5" customHeight="1">
      <c r="A14" t="inlineStr">
        <is>
          <t>栀禾*春夏高腰休闲垂感显瘦刺绣爱心工装阔腿裤运动裤薄款透气</t>
        </is>
      </c>
      <c r="B14" t="inlineStr">
        <is>
          <t>recvf5pAkIKKvB.jpg</t>
        </is>
      </c>
      <c r="C14" s="2" t="str">
        <f>=HYPERLINK("https://xhslink.com/m/4Fo7TpUXVnP", "https://xhslink.com/m/4Fo7TpUXVnP")</f>
        <v>https://xhslink.com/m/4Fo7TpUXVnP</v>
      </c>
      <c r="D14"/>
      <c r="E14">
        <v>9083</v>
      </c>
      <c r="F14">
        <v>82</v>
      </c>
      <c r="G14">
        <v>79</v>
      </c>
      <c r="H14">
        <v>4000</v>
      </c>
      <c r="I14" t="inlineStr">
        <is>
          <t>运动裤</t>
        </is>
      </c>
      <c r="J14" t="inlineStr">
        <is>
          <t>0.44</t>
        </is>
      </c>
      <c r="K14"/>
      <c r="L14" t="inlineStr">
        <is>
          <t>栀禾服饰的店</t>
        </is>
      </c>
      <c r="M14">
        <v>13000</v>
      </c>
      <c r="N14">
        <v>4.62</v>
      </c>
      <c r="O14">
        <v>58000</v>
      </c>
      <c r="P14" t="inlineStr">
        <is>
          <t>684a48000ec1ca000158a0d8</t>
        </is>
      </c>
      <c r="Q14" t="inlineStr">
        <is>
          <t>🚫重复</t>
        </is>
      </c>
      <c r="R14" t="inlineStr">
        <is>
          <t>14周</t>
        </is>
      </c>
      <c r="S14" t="inlineStr">
        <is>
          <t>0.70</t>
        </is>
      </c>
      <c r="T14" t="inlineStr">
        <is>
          <t>服饰穿搭</t>
        </is>
      </c>
      <c r="U14" t="inlineStr">
        <is>
          <t>女装</t>
        </is>
      </c>
      <c r="V14" s="3">
        <v>46112.78107638889</v>
      </c>
      <c r="W14" t="inlineStr">
        <is>
          <t>2026-Q1</t>
        </is>
      </c>
    </row>
    <row r="15" ht="25.5" customHeight="1">
      <c r="A15" t="inlineStr">
        <is>
          <t>可爱毛绒安抚软萌甜安抚兔卡通挂件玩偶呆萌娃娃兔子萌物甜美日系</t>
        </is>
      </c>
      <c r="B15" t="inlineStr">
        <is>
          <t>recvg1BDH5rfPS.jpg</t>
        </is>
      </c>
      <c r="C15" s="2" t="str">
        <f>=HYPERLINK("https://xhslink.com/m/1ZiFoW4oHfu", "https://xhslink.com/m/1ZiFoW4oHfu")</f>
        <v>https://xhslink.com/m/1ZiFoW4oHfu</v>
      </c>
      <c r="D15"/>
      <c r="E15">
        <v>48000</v>
      </c>
      <c r="F15">
        <v>35.9</v>
      </c>
      <c r="G15">
        <v>15.9</v>
      </c>
      <c r="H15">
        <v>4000</v>
      </c>
      <c r="I15" t="inlineStr">
        <is>
          <t>挂件</t>
        </is>
      </c>
      <c r="J15" t="inlineStr">
        <is>
          <t>0.08</t>
        </is>
      </c>
      <c r="K15" t="inlineStr">
        <is>
          <t>🔥低粉爆款</t>
        </is>
      </c>
      <c r="L15" t="inlineStr">
        <is>
          <t>一只瑞比兔的店</t>
        </is>
      </c>
      <c r="M15">
        <v>7524</v>
      </c>
      <c r="N15">
        <v>4.32</v>
      </c>
      <c r="O15">
        <v>51000</v>
      </c>
      <c r="P15" t="inlineStr">
        <is>
          <t>69c430199c146500012e7341</t>
        </is>
      </c>
      <c r="Q15" t="inlineStr">
        <is>
          <t>🚫重复</t>
        </is>
      </c>
      <c r="R15" t="inlineStr">
        <is>
          <t>15周</t>
        </is>
      </c>
      <c r="S15" t="inlineStr">
        <is>
          <t>6.38</t>
        </is>
      </c>
      <c r="T15" t="inlineStr">
        <is>
          <t>母婴亲子</t>
        </is>
      </c>
      <c r="U15" t="inlineStr">
        <is>
          <t>玩具早教</t>
        </is>
      </c>
      <c r="V15" s="3">
        <v>46118.97659722222</v>
      </c>
      <c r="W15" t="inlineStr">
        <is>
          <t>2026-Q2</t>
        </is>
      </c>
    </row>
    <row r="16" ht="25.5" customHeight="1">
      <c r="A16" t="inlineStr">
        <is>
          <t>可爱毛绒安抚软萌甜安抚兔卡通挂件玩偶呆萌娃娃兔子萌物甜美日系</t>
        </is>
      </c>
      <c r="B16" t="inlineStr">
        <is>
          <t>recvg1BDH5UhgV.jpg</t>
        </is>
      </c>
      <c r="C16" s="2" t="str">
        <f>=HYPERLINK("https://xhslink.com/m/4cXui6gsUSt", "https://xhslink.com/m/4cXui6gsUSt")</f>
        <v>https://xhslink.com/m/4cXui6gsUSt</v>
      </c>
      <c r="D16"/>
      <c r="E16">
        <v>48000</v>
      </c>
      <c r="F16">
        <v>9.9</v>
      </c>
      <c r="G16">
        <v>6.9</v>
      </c>
      <c r="H16">
        <v>4000</v>
      </c>
      <c r="I16" t="inlineStr">
        <is>
          <t>挂件</t>
        </is>
      </c>
      <c r="J16" t="inlineStr">
        <is>
          <t>0.08</t>
        </is>
      </c>
      <c r="K16" t="inlineStr">
        <is>
          <t>🔥低粉爆款</t>
        </is>
      </c>
      <c r="L16" t="inlineStr">
        <is>
          <t>一只瑞比兔的店</t>
        </is>
      </c>
      <c r="M16">
        <v>7524</v>
      </c>
      <c r="N16">
        <v>4.32</v>
      </c>
      <c r="O16">
        <v>51000</v>
      </c>
      <c r="P16" t="inlineStr">
        <is>
          <t>6965d6da7279c300016b6112</t>
        </is>
      </c>
      <c r="Q16" t="inlineStr">
        <is>
          <t>🚫重复</t>
        </is>
      </c>
      <c r="R16" t="inlineStr">
        <is>
          <t>15周</t>
        </is>
      </c>
      <c r="S16" t="inlineStr">
        <is>
          <t>6.38</t>
        </is>
      </c>
      <c r="T16" t="inlineStr">
        <is>
          <t>母婴亲子</t>
        </is>
      </c>
      <c r="U16" t="inlineStr">
        <is>
          <t>玩具早教</t>
        </is>
      </c>
      <c r="V16" s="3">
        <v>46118.97659722222</v>
      </c>
      <c r="W16" t="inlineStr">
        <is>
          <t>2026-Q2</t>
        </is>
      </c>
    </row>
    <row r="17" ht="25.5" customHeight="1">
      <c r="A17" t="inlineStr">
        <is>
          <t>黄吉吉 · 裸感云朵裤提臀阔腿裤女2026春夏新款宽腰显瘦垂感休闲直筒运动裤</t>
        </is>
      </c>
      <c r="B17" t="inlineStr">
        <is>
          <t>recvgjaKncLQRJ.jpg</t>
        </is>
      </c>
      <c r="C17" s="2" t="str">
        <f>=HYPERLINK("https://xhslink.com/m/69wD7tYF7Np", "https://xhslink.com/m/69wD7tYF7Np")</f>
        <v>https://xhslink.com/m/69wD7tYF7Np</v>
      </c>
      <c r="D17"/>
      <c r="E17">
        <v>6844</v>
      </c>
      <c r="F17">
        <v>79</v>
      </c>
      <c r="G17">
        <v>59.9</v>
      </c>
      <c r="H17">
        <v>4000</v>
      </c>
      <c r="I17" t="inlineStr">
        <is>
          <t>裤子</t>
        </is>
      </c>
      <c r="J17" t="inlineStr">
        <is>
          <t>0.58</t>
        </is>
      </c>
      <c r="K17" t="inlineStr">
        <is>
          <t>🔥低粉爆款</t>
        </is>
      </c>
      <c r="L17" t="inlineStr">
        <is>
          <t>黄吉吉白菜的店</t>
        </is>
      </c>
      <c r="M17">
        <v>424</v>
      </c>
      <c r="N17">
        <v>4.58</v>
      </c>
      <c r="O17">
        <v>8541</v>
      </c>
      <c r="P17" t="inlineStr">
        <is>
          <t>69afb8f716b37a0015bd0c4c</t>
        </is>
      </c>
      <c r="Q17"/>
      <c r="R17" t="inlineStr">
        <is>
          <t>15周</t>
        </is>
      </c>
      <c r="S17" t="inlineStr">
        <is>
          <t>16.14</t>
        </is>
      </c>
      <c r="T17" t="inlineStr">
        <is>
          <t>服饰穿搭</t>
        </is>
      </c>
      <c r="U17" t="inlineStr">
        <is>
          <t>女装</t>
        </is>
      </c>
      <c r="V17" s="3">
        <v>46121.98079861111</v>
      </c>
      <c r="W17" t="inlineStr">
        <is>
          <t>2026-Q2</t>
        </is>
      </c>
    </row>
    <row r="18" ht="25.5" customHeight="1">
      <c r="A18" t="inlineStr">
        <is>
          <t>[7/2件] [9/3件] [15/5件 送1件] 自选福利发圈头绳 孤品数量有限</t>
        </is>
      </c>
      <c r="B18" t="inlineStr">
        <is>
          <t>recvguTbC1zVOP.jpg</t>
        </is>
      </c>
      <c r="C18" s="2" t="str">
        <f>=HYPERLINK("https://xhslink.com/m/12R4NcdbptR", "https://xhslink.com/m/12R4NcdbptR")</f>
        <v>https://xhslink.com/m/12R4NcdbptR</v>
      </c>
      <c r="D18"/>
      <c r="E18">
        <v>354000</v>
      </c>
      <c r="F18">
        <v>4</v>
      </c>
      <c r="G18">
        <v>3.5</v>
      </c>
      <c r="H18">
        <v>4000</v>
      </c>
      <c r="I18" t="inlineStr">
        <is>
          <t>配饰</t>
        </is>
      </c>
      <c r="J18" t="inlineStr">
        <is>
          <t>0.01</t>
        </is>
      </c>
      <c r="K18"/>
      <c r="L18" t="inlineStr">
        <is>
          <t>winnie云妮的店</t>
        </is>
      </c>
      <c r="M18">
        <v>197000</v>
      </c>
      <c r="N18">
        <v>4.67</v>
      </c>
      <c r="O18">
        <v>1017000</v>
      </c>
      <c r="P18" t="inlineStr">
        <is>
          <t>69a7d99cb2d091000108f160</t>
        </is>
      </c>
      <c r="Q18" t="inlineStr">
        <is>
          <t>🚫重复</t>
        </is>
      </c>
      <c r="R18" t="inlineStr">
        <is>
          <t>15周</t>
        </is>
      </c>
      <c r="S18" t="inlineStr">
        <is>
          <t>1.80</t>
        </is>
      </c>
      <c r="T18" t="inlineStr">
        <is>
          <t>服饰穿搭</t>
        </is>
      </c>
      <c r="U18" t="inlineStr">
        <is>
          <t>配饰</t>
        </is>
      </c>
      <c r="V18" s="3">
        <v>46123.98462962963</v>
      </c>
      <c r="W18" t="inlineStr">
        <is>
          <t>2026-Q2</t>
        </is>
      </c>
    </row>
    <row r="19" ht="25.5" customHeight="1">
      <c r="A19" t="inlineStr">
        <is>
          <t>2026新款春季长袖瑜伽服外套女上衣运动跑步紧身立领夹克</t>
        </is>
      </c>
      <c r="B19" t="inlineStr">
        <is>
          <t>__upload_recvgSimhWzwF2.jpg</t>
        </is>
      </c>
      <c r="C19" s="2" t="str">
        <f>=HYPERLINK("https://xhslink.com/m/5ibqlA39zym", "https://xhslink.com/m/5ibqlA39zym")</f>
        <v>https://xhslink.com/m/5ibqlA39zym</v>
      </c>
      <c r="D19"/>
      <c r="E19">
        <v>11000</v>
      </c>
      <c r="F19">
        <v>189</v>
      </c>
      <c r="G19">
        <v>139</v>
      </c>
      <c r="H19">
        <v>4000</v>
      </c>
      <c r="I19" t="inlineStr">
        <is>
          <t>短袖</t>
        </is>
      </c>
      <c r="J19" t="inlineStr">
        <is>
          <t>0.36</t>
        </is>
      </c>
      <c r="K19" t="inlineStr">
        <is>
          <t>🔥低粉爆款</t>
        </is>
      </c>
      <c r="L19" t="inlineStr">
        <is>
          <t>朝花夕拾丶的店</t>
        </is>
      </c>
      <c r="M19">
        <v>368</v>
      </c>
      <c r="N19">
        <v>4.64</v>
      </c>
      <c r="O19">
        <v>14000</v>
      </c>
      <c r="P19" t="inlineStr">
        <is>
          <t>69ce857bc8c73300016b2702</t>
        </is>
      </c>
      <c r="Q19"/>
      <c r="R19" t="inlineStr">
        <is>
          <t>16周</t>
        </is>
      </c>
      <c r="S19" t="inlineStr">
        <is>
          <t>29.89</t>
        </is>
      </c>
      <c r="T19" t="inlineStr">
        <is>
          <t>服饰穿搭</t>
        </is>
      </c>
      <c r="U19" t="inlineStr">
        <is>
          <t>女装</t>
        </is>
      </c>
      <c r="V19" s="3">
        <v>46127.98767361111</v>
      </c>
      <c r="W19" t="inlineStr">
        <is>
          <t>2026-Q2</t>
        </is>
      </c>
    </row>
    <row r="20" ht="25.5" customHeight="1">
      <c r="A20" t="inlineStr">
        <is>
          <t>infan｜ins博主休闲纯色宽边螺纹低腰短裤辣妹热裤</t>
        </is>
      </c>
      <c r="B20" t="inlineStr">
        <is>
          <t>recvcB48ez7Sqy.jpg</t>
        </is>
      </c>
      <c r="C20" s="2" t="str">
        <f>=HYPERLINK("https://xhslink.com/m/1hmds4gYqIZ", "https://xhslink.com/m/1hmds4gYqIZ")</f>
        <v>https://xhslink.com/m/1hmds4gYqIZ</v>
      </c>
      <c r="D20"/>
      <c r="E20">
        <v>123000</v>
      </c>
      <c r="F20">
        <v>59</v>
      </c>
      <c r="G20"/>
      <c r="H20">
        <v>3000</v>
      </c>
      <c r="I20" t="inlineStr">
        <is>
          <t>短裤</t>
        </is>
      </c>
      <c r="J20" t="inlineStr">
        <is>
          <t>0.02</t>
        </is>
      </c>
      <c r="K20"/>
      <c r="L20" t="inlineStr">
        <is>
          <t>infan的店</t>
        </is>
      </c>
      <c r="M20">
        <v>79000</v>
      </c>
      <c r="N20">
        <v>4.52</v>
      </c>
      <c r="O20">
        <v>619000</v>
      </c>
      <c r="P20" t="inlineStr">
        <is>
          <t>67da78c4b6efdb0001ab7349</t>
        </is>
      </c>
      <c r="Q20" t="inlineStr">
        <is>
          <t>🚫重复</t>
        </is>
      </c>
      <c r="R20" t="inlineStr">
        <is>
          <t>14周</t>
        </is>
      </c>
      <c r="S20" t="inlineStr">
        <is>
          <t>1.56</t>
        </is>
      </c>
      <c r="T20" t="inlineStr">
        <is>
          <t>服饰穿搭</t>
        </is>
      </c>
      <c r="U20" t="inlineStr">
        <is>
          <t>女装</t>
        </is>
      </c>
      <c r="V20" s="3">
        <v>46112.78107638889</v>
      </c>
      <c r="W20" t="inlineStr">
        <is>
          <t>2026-Q1</t>
        </is>
      </c>
    </row>
    <row r="21" ht="25.5" customHeight="1">
      <c r="A21" t="inlineStr">
        <is>
          <t>CL JINLI镇店之宝!!四面弹烟管直筒牛仔裤显瘦遮胯</t>
        </is>
      </c>
      <c r="B21" t="inlineStr">
        <is>
          <t>recvcB48ezxtxC.jpg</t>
        </is>
      </c>
      <c r="C21" s="2" t="str">
        <f>=HYPERLINK("https://xhslink.com/m/5xIs28GBrhj", "https://xhslink.com/m/5xIs28GBrhj")</f>
        <v>https://xhslink.com/m/5xIs28GBrhj</v>
      </c>
      <c r="D21"/>
      <c r="E21">
        <v>104000</v>
      </c>
      <c r="F21">
        <v>298</v>
      </c>
      <c r="G21"/>
      <c r="H21">
        <v>3000</v>
      </c>
      <c r="I21" t="inlineStr">
        <is>
          <t>直裤</t>
        </is>
      </c>
      <c r="J21" t="inlineStr">
        <is>
          <t>0.03</t>
        </is>
      </c>
      <c r="K21"/>
      <c r="L21" t="inlineStr">
        <is>
          <t>是锦鲤呀的店</t>
        </is>
      </c>
      <c r="M21">
        <v>72000</v>
      </c>
      <c r="N21">
        <v>4.61</v>
      </c>
      <c r="O21">
        <v>422000</v>
      </c>
      <c r="P21" t="inlineStr">
        <is>
          <t>6922b11428a0120001399ec8</t>
        </is>
      </c>
      <c r="Q21" t="inlineStr">
        <is>
          <t>🚫重复</t>
        </is>
      </c>
      <c r="R21" t="inlineStr">
        <is>
          <t>14周</t>
        </is>
      </c>
      <c r="S21" t="inlineStr">
        <is>
          <t>1.44</t>
        </is>
      </c>
      <c r="T21" t="inlineStr">
        <is>
          <t>服饰穿搭</t>
        </is>
      </c>
      <c r="U21" t="inlineStr">
        <is>
          <t>女装</t>
        </is>
      </c>
      <c r="V21" s="3">
        <v>46112.78107638889</v>
      </c>
      <c r="W21" t="inlineStr">
        <is>
          <t>2026-Q1</t>
        </is>
      </c>
    </row>
    <row r="22" ht="25.5" customHeight="1">
      <c r="A22" t="inlineStr">
        <is>
          <t>CL JINLI镇店之宝!!四面弹烟管直筒牛仔裤显瘦遮胯</t>
        </is>
      </c>
      <c r="B22" t="inlineStr">
        <is>
          <t>recvcB48ezwRdZ.jpg</t>
        </is>
      </c>
      <c r="C22" s="2" t="str">
        <f>=HYPERLINK("https://xhslink.com/m/A321TJre9NZ", "https://xhslink.com/m/A321TJre9NZ")</f>
        <v>https://xhslink.com/m/A321TJre9NZ</v>
      </c>
      <c r="D22"/>
      <c r="E22">
        <v>104000</v>
      </c>
      <c r="F22">
        <v>269</v>
      </c>
      <c r="G22"/>
      <c r="H22">
        <v>3000</v>
      </c>
      <c r="I22" t="inlineStr">
        <is>
          <t>长裤</t>
        </is>
      </c>
      <c r="J22" t="inlineStr">
        <is>
          <t>0.03</t>
        </is>
      </c>
      <c r="K22"/>
      <c r="L22" t="inlineStr">
        <is>
          <t>是锦鲤呀的店</t>
        </is>
      </c>
      <c r="M22">
        <v>72000</v>
      </c>
      <c r="N22">
        <v>4.61</v>
      </c>
      <c r="O22">
        <v>422000</v>
      </c>
      <c r="P22" t="inlineStr">
        <is>
          <t>68ac04a8fba5440001b1cd74</t>
        </is>
      </c>
      <c r="Q22" t="inlineStr">
        <is>
          <t>🚫重复</t>
        </is>
      </c>
      <c r="R22" t="inlineStr">
        <is>
          <t>14周</t>
        </is>
      </c>
      <c r="S22" t="inlineStr">
        <is>
          <t>1.44</t>
        </is>
      </c>
      <c r="T22" t="inlineStr">
        <is>
          <t>服饰穿搭</t>
        </is>
      </c>
      <c r="U22" t="inlineStr">
        <is>
          <t>女装</t>
        </is>
      </c>
      <c r="V22" s="3">
        <v>46112.78107638889</v>
      </c>
      <c r="W22" t="inlineStr">
        <is>
          <t>2026-Q1</t>
        </is>
      </c>
    </row>
    <row r="23" ht="25.5" customHeight="1">
      <c r="A23" t="inlineStr">
        <is>
          <t>田心蓝蓝 · 超显白*藏青色修身连衣裙</t>
        </is>
      </c>
      <c r="B23" t="inlineStr">
        <is>
          <t>recvdOJ3S2qc3b.jpg</t>
        </is>
      </c>
      <c r="C23" s="2" t="str">
        <f>=HYPERLINK("https://xhslink.com/m/9XTzTStOiUl", "https://xhslink.com/m/9XTzTStOiUl")</f>
        <v>https://xhslink.com/m/9XTzTStOiUl</v>
      </c>
      <c r="D23"/>
      <c r="E23">
        <v>103000</v>
      </c>
      <c r="F23">
        <v>138</v>
      </c>
      <c r="G23"/>
      <c r="H23">
        <v>3000</v>
      </c>
      <c r="I23" t="inlineStr">
        <is>
          <t>修身连衣裙</t>
        </is>
      </c>
      <c r="J23" t="inlineStr">
        <is>
          <t>0.03</t>
        </is>
      </c>
      <c r="K23" t="inlineStr">
        <is>
          <t>🔥低粉爆款</t>
        </is>
      </c>
      <c r="L23" t="inlineStr">
        <is>
          <t>田心蓝蓝的店</t>
        </is>
      </c>
      <c r="M23">
        <v>18000</v>
      </c>
      <c r="N23">
        <v>4.62</v>
      </c>
      <c r="O23">
        <v>121000</v>
      </c>
      <c r="P23" t="inlineStr">
        <is>
          <t>681ad00d08e3700001cdd809</t>
        </is>
      </c>
      <c r="Q23"/>
      <c r="R23" t="inlineStr">
        <is>
          <t>14周</t>
        </is>
      </c>
      <c r="S23" t="inlineStr">
        <is>
          <t>5.72</t>
        </is>
      </c>
      <c r="T23" t="inlineStr">
        <is>
          <t>服饰穿搭</t>
        </is>
      </c>
      <c r="U23" t="inlineStr">
        <is>
          <t>女装</t>
        </is>
      </c>
      <c r="V23" s="3">
        <v>46112.78107638889</v>
      </c>
      <c r="W23" t="inlineStr">
        <is>
          <t>2026-Q1</t>
        </is>
      </c>
    </row>
    <row r="24" ht="25.5" customHeight="1">
      <c r="A24" t="inlineStr">
        <is>
          <t>鱼骨工字显瘦棉质运动背心～</t>
        </is>
      </c>
      <c r="B24" t="inlineStr">
        <is>
          <t>recve0Cd8qo2OT.jpg</t>
        </is>
      </c>
      <c r="C24" s="2" t="str">
        <f>=HYPERLINK("https://xhslink.com/m/2BDA1LqfYdK", "https://xhslink.com/m/2BDA1LqfYdK")</f>
        <v>https://xhslink.com/m/2BDA1LqfYdK</v>
      </c>
      <c r="D24"/>
      <c r="E24">
        <v>81000</v>
      </c>
      <c r="F24">
        <v>28.9</v>
      </c>
      <c r="G24"/>
      <c r="H24">
        <v>3000</v>
      </c>
      <c r="I24" t="inlineStr">
        <is>
          <t>穿搭</t>
        </is>
      </c>
      <c r="J24" t="inlineStr">
        <is>
          <t>0.04</t>
        </is>
      </c>
      <c r="K24" t="inlineStr">
        <is>
          <t>🔥低粉爆款</t>
        </is>
      </c>
      <c r="L24" t="inlineStr">
        <is>
          <t>过年啦的店</t>
        </is>
      </c>
      <c r="M24">
        <v>15000</v>
      </c>
      <c r="N24">
        <v>4.59</v>
      </c>
      <c r="O24">
        <v>99000</v>
      </c>
      <c r="P24" t="inlineStr">
        <is>
          <t>6404566d94f1b50001366e33</t>
        </is>
      </c>
      <c r="Q24" t="inlineStr">
        <is>
          <t>🚫重复</t>
        </is>
      </c>
      <c r="R24" t="inlineStr">
        <is>
          <t>14周</t>
        </is>
      </c>
      <c r="S24" t="inlineStr">
        <is>
          <t>5.40</t>
        </is>
      </c>
      <c r="T24" t="inlineStr">
        <is>
          <t>服饰穿搭</t>
        </is>
      </c>
      <c r="U24" t="inlineStr">
        <is>
          <t>女装</t>
        </is>
      </c>
      <c r="V24" s="3">
        <v>46112.78107638889</v>
      </c>
      <c r="W24" t="inlineStr">
        <is>
          <t>2026-Q1</t>
        </is>
      </c>
    </row>
    <row r="25" ht="25.5" customHeight="1">
      <c r="A25" t="inlineStr">
        <is>
          <t>【梨形神裤卫裤版】低腰阔腿微喇裤巨显高显瘦显腿长空气层四季款</t>
        </is>
      </c>
      <c r="B25" t="inlineStr">
        <is>
          <t>recveTJWJNk4Xl.jpg</t>
        </is>
      </c>
      <c r="C25" s="2" t="str">
        <f>=HYPERLINK("https://xhslink.com/m/3MgIfQah86b", "https://xhslink.com/m/3MgIfQah86b")</f>
        <v>https://xhslink.com/m/3MgIfQah86b</v>
      </c>
      <c r="D25"/>
      <c r="E25">
        <v>91000</v>
      </c>
      <c r="F25">
        <v>158</v>
      </c>
      <c r="G25"/>
      <c r="H25">
        <v>3000</v>
      </c>
      <c r="I25" t="inlineStr">
        <is>
          <t>裤子</t>
        </is>
      </c>
      <c r="J25" t="inlineStr">
        <is>
          <t>0.03</t>
        </is>
      </c>
      <c r="K25" t="inlineStr">
        <is>
          <t>🔥低粉爆款</t>
        </is>
      </c>
      <c r="L25" t="inlineStr">
        <is>
          <t>ZHUTT的店</t>
        </is>
      </c>
      <c r="M25">
        <v>30000</v>
      </c>
      <c r="N25">
        <v>4.48</v>
      </c>
      <c r="O25">
        <v>198000</v>
      </c>
      <c r="P25" t="inlineStr">
        <is>
          <t>67c2e1bdf2389c0001d68bae</t>
        </is>
      </c>
      <c r="Q25" t="inlineStr">
        <is>
          <t>🚫重复</t>
        </is>
      </c>
      <c r="R25" t="inlineStr">
        <is>
          <t>14周</t>
        </is>
      </c>
      <c r="S25" t="inlineStr">
        <is>
          <t>3.03</t>
        </is>
      </c>
      <c r="T25" t="inlineStr">
        <is>
          <t>服饰穿搭</t>
        </is>
      </c>
      <c r="U25" t="inlineStr">
        <is>
          <t>女装</t>
        </is>
      </c>
      <c r="V25" s="3">
        <v>46112.78107638889</v>
      </c>
      <c r="W25" t="inlineStr">
        <is>
          <t>2026-Q1</t>
        </is>
      </c>
    </row>
    <row r="26" ht="25.5" customHeight="1">
      <c r="A26" t="inlineStr">
        <is>
          <t>STILL【生日蛋】小众高级香薰蜡烛送男女生闺蜜有意义的生日礼物 · 【生日蛋】蜡烛款：英梨小苍兰 备注：姓名缩写/日期</t>
        </is>
      </c>
      <c r="B26" t="inlineStr">
        <is>
          <t>recveTJWJNqJok.jpg</t>
        </is>
      </c>
      <c r="C26" s="2" t="str">
        <f>=HYPERLINK("https://www.xiaohongshu.com/goods-detail/68f5ece1b8a4f60001a5eb14", "https://www.xiaohongshu.com/goods-detail/68f5ece1b8a4f60001a5eb14")</f>
        <v>https://www.xiaohongshu.com/goods-detail/68f5ece1b8a4f60001a5eb14</v>
      </c>
      <c r="D26"/>
      <c r="E26">
        <v>18000</v>
      </c>
      <c r="F26">
        <v>88</v>
      </c>
      <c r="G26">
        <v>77.44</v>
      </c>
      <c r="H26">
        <v>3000</v>
      </c>
      <c r="I26" t="inlineStr">
        <is>
          <t>礼物</t>
        </is>
      </c>
      <c r="J26" t="inlineStr">
        <is>
          <t>0.17</t>
        </is>
      </c>
      <c r="K26"/>
      <c r="L26" t="inlineStr">
        <is>
          <t>still far的店</t>
        </is>
      </c>
      <c r="M26">
        <v>43000</v>
      </c>
      <c r="N26">
        <v>4.73</v>
      </c>
      <c r="O26">
        <v>326000</v>
      </c>
      <c r="P26" t="inlineStr">
        <is>
          <t>68f5ece1b8a4f60001a5eb14</t>
        </is>
      </c>
      <c r="Q26" t="inlineStr">
        <is>
          <t>🚫重复</t>
        </is>
      </c>
      <c r="R26" t="inlineStr">
        <is>
          <t>14周</t>
        </is>
      </c>
      <c r="S26" t="inlineStr">
        <is>
          <t>0.42</t>
        </is>
      </c>
      <c r="T26" t="inlineStr">
        <is>
          <t>家居生活</t>
        </is>
      </c>
      <c r="U26" t="inlineStr">
        <is>
          <t>家居日用</t>
        </is>
      </c>
      <c r="V26" s="3">
        <v>46112.78107638889</v>
      </c>
      <c r="W26" t="inlineStr">
        <is>
          <t>2026-Q1</t>
        </is>
      </c>
    </row>
    <row r="27" ht="25.5" customHeight="1">
      <c r="A27" t="inlineStr">
        <is>
          <t>[7/2件] [9/3件] [15/5件 送1件] 自选福利发圈头绳 孤品数量有限</t>
        </is>
      </c>
      <c r="B27" t="inlineStr">
        <is>
          <t>__upload_recvgMo2ZYIaGN.jpg</t>
        </is>
      </c>
      <c r="C27" s="2" t="str">
        <f>=HYPERLINK("https://xhslink.com/m/7G8CcJzMqM6", "https://xhslink.com/m/7G8CcJzMqM6")</f>
        <v>https://xhslink.com/m/7G8CcJzMqM6</v>
      </c>
      <c r="D27"/>
      <c r="E27">
        <v>363000</v>
      </c>
      <c r="F27">
        <v>4</v>
      </c>
      <c r="G27">
        <v>3.5</v>
      </c>
      <c r="H27">
        <v>3000</v>
      </c>
      <c r="I27" t="inlineStr">
        <is>
          <t>配饰</t>
        </is>
      </c>
      <c r="J27" t="inlineStr">
        <is>
          <t>0.01</t>
        </is>
      </c>
      <c r="K27"/>
      <c r="L27" t="inlineStr">
        <is>
          <t>winnie云妮的店</t>
        </is>
      </c>
      <c r="M27">
        <v>198000</v>
      </c>
      <c r="N27">
        <v>4.66</v>
      </c>
      <c r="O27">
        <v>1030000</v>
      </c>
      <c r="P27" t="inlineStr">
        <is>
          <t>6936a2580d75890001fbbd14</t>
        </is>
      </c>
      <c r="Q27" t="inlineStr">
        <is>
          <t>🚫重复</t>
        </is>
      </c>
      <c r="R27" t="inlineStr">
        <is>
          <t>16周</t>
        </is>
      </c>
      <c r="S27" t="inlineStr">
        <is>
          <t>1.83</t>
        </is>
      </c>
      <c r="T27" t="inlineStr">
        <is>
          <t>服饰穿搭</t>
        </is>
      </c>
      <c r="U27" t="inlineStr">
        <is>
          <t>配饰</t>
        </is>
      </c>
      <c r="V27" s="3">
        <v>46126.97719907408</v>
      </c>
      <c r="W27" t="inlineStr">
        <is>
          <t>2026-Q2</t>
        </is>
      </c>
    </row>
    <row r="28" ht="25.5" customHeight="1">
      <c r="A28" t="inlineStr">
        <is>
          <t>瑜伽服运动修身显瘦圆领女夏季高级感跑步普拉提训练短袖上衣大码</t>
        </is>
      </c>
      <c r="B28" t="inlineStr">
        <is>
          <t>__upload_recvgSimhW3Nvp.jpg</t>
        </is>
      </c>
      <c r="C28" s="2" t="str">
        <f>=HYPERLINK("https://xhslink.com/m/9R6g2P7hh2r", "https://xhslink.com/m/9R6g2P7hh2r")</f>
        <v>https://xhslink.com/m/9R6g2P7hh2r</v>
      </c>
      <c r="D28"/>
      <c r="E28">
        <v>168000</v>
      </c>
      <c r="F28">
        <v>56.8</v>
      </c>
      <c r="G28">
        <v>26.8</v>
      </c>
      <c r="H28">
        <v>3000</v>
      </c>
      <c r="I28" t="inlineStr">
        <is>
          <t>短袖</t>
        </is>
      </c>
      <c r="J28" t="inlineStr">
        <is>
          <t>0.02</t>
        </is>
      </c>
      <c r="K28" t="inlineStr">
        <is>
          <t>🔥低粉爆款</t>
        </is>
      </c>
      <c r="L28" t="inlineStr">
        <is>
          <t>健身Yoga女孩的店</t>
        </is>
      </c>
      <c r="M28">
        <v>19000</v>
      </c>
      <c r="N28">
        <v>4.56</v>
      </c>
      <c r="O28">
        <v>379000</v>
      </c>
      <c r="P28" t="inlineStr">
        <is>
          <t>69b281c6e175160001f86b86</t>
        </is>
      </c>
      <c r="Q28" t="inlineStr">
        <is>
          <t>🚫重复</t>
        </is>
      </c>
      <c r="R28" t="inlineStr">
        <is>
          <t>16周</t>
        </is>
      </c>
      <c r="S28" t="inlineStr">
        <is>
          <t>8.84</t>
        </is>
      </c>
      <c r="T28" t="inlineStr">
        <is>
          <t>运动潮玩</t>
        </is>
      </c>
      <c r="U28" t="inlineStr">
        <is>
          <t>运动户外装备</t>
        </is>
      </c>
      <c r="V28" s="3">
        <v>46127.98767361111</v>
      </c>
      <c r="W28" t="inlineStr">
        <is>
          <t>2026-Q2</t>
        </is>
      </c>
    </row>
    <row r="29" ht="25.5" customHeight="1">
      <c r="A29" t="inlineStr">
        <is>
          <t>（现货 现发）U领T恤短袖女显瘦白色正肩t恤小个子款上衣穿搭学生</t>
        </is>
      </c>
      <c r="B29" t="inlineStr">
        <is>
          <t>__upload_recvgSimhWMMaY.jpg</t>
        </is>
      </c>
      <c r="C29" s="2" t="str">
        <f>=HYPERLINK("https://xhslink.com/m/7qDBa8cKSxF", "https://xhslink.com/m/7qDBa8cKSxF")</f>
        <v>https://xhslink.com/m/7qDBa8cKSxF</v>
      </c>
      <c r="D29"/>
      <c r="E29">
        <v>24000</v>
      </c>
      <c r="F29">
        <v>47.8</v>
      </c>
      <c r="G29">
        <v>37.8</v>
      </c>
      <c r="H29">
        <v>3000</v>
      </c>
      <c r="I29" t="inlineStr">
        <is>
          <t>短袖</t>
        </is>
      </c>
      <c r="J29" t="inlineStr">
        <is>
          <t>0.12</t>
        </is>
      </c>
      <c r="K29" t="inlineStr">
        <is>
          <t>🔥低粉爆款</t>
        </is>
      </c>
      <c r="L29" t="inlineStr">
        <is>
          <t>轻拉短袖t恤的店</t>
        </is>
      </c>
      <c r="M29">
        <v>5526</v>
      </c>
      <c r="N29">
        <v>4.68</v>
      </c>
      <c r="O29">
        <v>24000</v>
      </c>
      <c r="P29" t="inlineStr">
        <is>
          <t>65fe9adb9146850001110840</t>
        </is>
      </c>
      <c r="Q29" t="inlineStr">
        <is>
          <t>🚫重复</t>
        </is>
      </c>
      <c r="R29" t="inlineStr">
        <is>
          <t>16周</t>
        </is>
      </c>
      <c r="S29" t="inlineStr">
        <is>
          <t>4.34</t>
        </is>
      </c>
      <c r="T29" t="inlineStr">
        <is>
          <t>服饰穿搭</t>
        </is>
      </c>
      <c r="U29" t="inlineStr">
        <is>
          <t>女装</t>
        </is>
      </c>
      <c r="V29" s="3">
        <v>46127.98767361111</v>
      </c>
      <c r="W29" t="inlineStr">
        <is>
          <t>2026-Q2</t>
        </is>
      </c>
    </row>
    <row r="30" ht="25.5" customHeight="1">
      <c r="A30" t="inlineStr">
        <is>
          <t>夏季高腰垂坠感直筒裤女跑步训练显瘦休闲通勤瑜伽健身长裤阔腿裤</t>
        </is>
      </c>
      <c r="B30" t="inlineStr">
        <is>
          <t>__upload_recvgSimhWWTDx.jpg</t>
        </is>
      </c>
      <c r="C30" s="2" t="str">
        <f>=HYPERLINK("https://xhslink.com/m/8bNOP7Hv9Bs", "https://xhslink.com/m/8bNOP7Hv9Bs")</f>
        <v>https://xhslink.com/m/8bNOP7Hv9Bs</v>
      </c>
      <c r="D30"/>
      <c r="E30">
        <v>96000</v>
      </c>
      <c r="F30">
        <v>98</v>
      </c>
      <c r="G30">
        <v>68</v>
      </c>
      <c r="H30">
        <v>3000</v>
      </c>
      <c r="I30" t="inlineStr">
        <is>
          <t>短袖</t>
        </is>
      </c>
      <c r="J30" t="inlineStr">
        <is>
          <t>0.03</t>
        </is>
      </c>
      <c r="K30" t="inlineStr">
        <is>
          <t>🔥低粉爆款</t>
        </is>
      </c>
      <c r="L30" t="inlineStr">
        <is>
          <t>健身Yoga女孩的店</t>
        </is>
      </c>
      <c r="M30">
        <v>19000</v>
      </c>
      <c r="N30">
        <v>4.56</v>
      </c>
      <c r="O30">
        <v>379000</v>
      </c>
      <c r="P30" t="inlineStr">
        <is>
          <t>6929468e14b5260001920187</t>
        </is>
      </c>
      <c r="Q30" t="inlineStr">
        <is>
          <t>🚫重复</t>
        </is>
      </c>
      <c r="R30" t="inlineStr">
        <is>
          <t>16周</t>
        </is>
      </c>
      <c r="S30" t="inlineStr">
        <is>
          <t>5.05</t>
        </is>
      </c>
      <c r="T30" t="inlineStr">
        <is>
          <t>服饰穿搭</t>
        </is>
      </c>
      <c r="U30" t="inlineStr">
        <is>
          <t>女装</t>
        </is>
      </c>
      <c r="V30" s="3">
        <v>46127.98767361111</v>
      </c>
      <c r="W30" t="inlineStr">
        <is>
          <t>2026-Q2</t>
        </is>
      </c>
    </row>
    <row r="31" ht="25.5" customHeight="1">
      <c r="A31" t="inlineStr">
        <is>
          <t>【捕博士】家用除尘净化空气魔盒超强吸附空气吸附灰尘毛发清洁</t>
        </is>
      </c>
      <c r="B31" t="inlineStr">
        <is>
          <t>recvcB48ezibpu.jpg</t>
        </is>
      </c>
      <c r="C31" s="2" t="str">
        <f>=HYPERLINK("https://xhslink.com/m/AsHE2Kfhe30", "https://xhslink.com/m/AsHE2Kfhe30")</f>
        <v>https://xhslink.com/m/AsHE2Kfhe30</v>
      </c>
      <c r="D31"/>
      <c r="E31">
        <v>63000</v>
      </c>
      <c r="F31">
        <v>159.9</v>
      </c>
      <c r="G31"/>
      <c r="H31">
        <v>2000</v>
      </c>
      <c r="I31" t="inlineStr">
        <is>
          <t>清洁</t>
        </is>
      </c>
      <c r="J31" t="inlineStr">
        <is>
          <t>0.03</t>
        </is>
      </c>
      <c r="K31" t="inlineStr">
        <is>
          <t>🔥低粉爆款</t>
        </is>
      </c>
      <c r="L31" t="inlineStr">
        <is>
          <t>REDBLUE喜吉宠的店</t>
        </is>
      </c>
      <c r="M31">
        <v>3161</v>
      </c>
      <c r="N31">
        <v>4.58</v>
      </c>
      <c r="O31">
        <v>64000</v>
      </c>
      <c r="P31" t="inlineStr">
        <is>
          <t>6926cd6e3dc536000138006a</t>
        </is>
      </c>
      <c r="Q31"/>
      <c r="R31" t="inlineStr">
        <is>
          <t>14周</t>
        </is>
      </c>
      <c r="S31" t="inlineStr">
        <is>
          <t>19.93</t>
        </is>
      </c>
      <c r="T31" t="inlineStr">
        <is>
          <t>家居生活</t>
        </is>
      </c>
      <c r="U31" t="inlineStr">
        <is>
          <t>家居日用</t>
        </is>
      </c>
      <c r="V31" s="3">
        <v>46112.78107638889</v>
      </c>
      <c r="W31" t="inlineStr">
        <is>
          <t>2026-Q1</t>
        </is>
      </c>
    </row>
    <row r="32" ht="25.5" customHeight="1">
      <c r="A32" t="inlineStr">
        <is>
          <t>爱山姆 · 海盐奇亚籽燕麦片营养早餐即食冲饮饱腹低钠无蔗糖官方旗舰店正品</t>
        </is>
      </c>
      <c r="B32" t="inlineStr">
        <is>
          <t>recvcMzZj8qpY9.jpg</t>
        </is>
      </c>
      <c r="C32" s="2" t="str">
        <f>=HYPERLINK("https://xhslink.com/m/2el2RsUxUPF", "https://xhslink.com/m/2el2RsUxUPF")</f>
        <v>https://xhslink.com/m/2el2RsUxUPF</v>
      </c>
      <c r="D32"/>
      <c r="E32">
        <v>23000</v>
      </c>
      <c r="F32">
        <v>19.8</v>
      </c>
      <c r="G32"/>
      <c r="H32">
        <v>2000</v>
      </c>
      <c r="I32" t="inlineStr">
        <is>
          <t>零食小吃</t>
        </is>
      </c>
      <c r="J32" t="inlineStr">
        <is>
          <t>0.09</t>
        </is>
      </c>
      <c r="K32" t="inlineStr">
        <is>
          <t>🔥低粉爆款</t>
        </is>
      </c>
      <c r="L32" t="inlineStr">
        <is>
          <t>爱山姆旗舰店</t>
        </is>
      </c>
      <c r="M32">
        <v>1024</v>
      </c>
      <c r="N32">
        <v>4.64</v>
      </c>
      <c r="O32">
        <v>25000</v>
      </c>
      <c r="P32" t="inlineStr">
        <is>
          <t>68d11a30e3219d00014dfaa2</t>
        </is>
      </c>
      <c r="Q32"/>
      <c r="R32" t="inlineStr">
        <is>
          <t>14周</t>
        </is>
      </c>
      <c r="S32" t="inlineStr">
        <is>
          <t>22.46</t>
        </is>
      </c>
      <c r="T32" t="inlineStr">
        <is>
          <t>美食滋补</t>
        </is>
      </c>
      <c r="U32" t="inlineStr">
        <is>
          <t>休闲零食</t>
        </is>
      </c>
      <c r="V32" s="3">
        <v>46112.78107638889</v>
      </c>
      <c r="W32" t="inlineStr">
        <is>
          <t>2026-Q1</t>
        </is>
      </c>
    </row>
    <row r="33" ht="25.5" customHeight="1">
      <c r="A33" t="inlineStr">
        <is>
          <t>四个口味贝果堡！！（每份半个135克+）</t>
        </is>
      </c>
      <c r="B33" t="inlineStr">
        <is>
          <t>recvcMzZj8xWqA.jpg</t>
        </is>
      </c>
      <c r="C33" s="2" t="str">
        <f>=HYPERLINK("https://xhslink.com/m/6sApysQXD9y", "https://xhslink.com/m/6sApysQXD9y")</f>
        <v>https://xhslink.com/m/6sApysQXD9y</v>
      </c>
      <c r="D33"/>
      <c r="E33">
        <v>2810</v>
      </c>
      <c r="F33">
        <v>60</v>
      </c>
      <c r="G33"/>
      <c r="H33">
        <v>2000</v>
      </c>
      <c r="I33" t="inlineStr">
        <is>
          <t>贝果</t>
        </is>
      </c>
      <c r="J33" t="inlineStr">
        <is>
          <t>0.71</t>
        </is>
      </c>
      <c r="K33"/>
      <c r="L33" t="inlineStr">
        <is>
          <t>Troycake柠乐的店</t>
        </is>
      </c>
      <c r="M33">
        <v>86000</v>
      </c>
      <c r="N33">
        <v>4.76</v>
      </c>
      <c r="O33">
        <v>71000</v>
      </c>
      <c r="P33" t="inlineStr">
        <is>
          <t>6959125ed0c58a0001c87444</t>
        </is>
      </c>
      <c r="Q33" t="inlineStr">
        <is>
          <t>🚫重复</t>
        </is>
      </c>
      <c r="R33" t="inlineStr">
        <is>
          <t>14周</t>
        </is>
      </c>
      <c r="S33" t="inlineStr">
        <is>
          <t>0.03</t>
        </is>
      </c>
      <c r="T33" t="inlineStr">
        <is>
          <t>美食滋补</t>
        </is>
      </c>
      <c r="U33" t="inlineStr">
        <is>
          <t>休闲零食</t>
        </is>
      </c>
      <c r="V33" s="3">
        <v>46112.78107638889</v>
      </c>
      <c r="W33" t="inlineStr">
        <is>
          <t>2026-Q1</t>
        </is>
      </c>
    </row>
    <row r="34" ht="25.5" customHeight="1">
      <c r="A34" t="inlineStr">
        <is>
          <t>法式系带花边领白衬衫女2026新款别致温柔风衬衣</t>
        </is>
      </c>
      <c r="B34" t="inlineStr">
        <is>
          <t>recvdKDRQhwQPo.jpg</t>
        </is>
      </c>
      <c r="C34" s="2" t="str">
        <f>=HYPERLINK("https://xhslink.com/m/8qyNziJ0Baw", "https://xhslink.com/m/8qyNziJ0Baw")</f>
        <v>https://xhslink.com/m/8qyNziJ0Baw</v>
      </c>
      <c r="D34"/>
      <c r="E34">
        <v>78000</v>
      </c>
      <c r="F34">
        <v>95</v>
      </c>
      <c r="G34"/>
      <c r="H34">
        <v>2000</v>
      </c>
      <c r="I34" t="inlineStr">
        <is>
          <t>衬衫</t>
        </is>
      </c>
      <c r="J34" t="inlineStr">
        <is>
          <t>0.03</t>
        </is>
      </c>
      <c r="K34"/>
      <c r="L34" t="inlineStr">
        <is>
          <t>KK穿搭分享~的店</t>
        </is>
      </c>
      <c r="M34">
        <v>593000</v>
      </c>
      <c r="N34">
        <v>4.6</v>
      </c>
      <c r="O34">
        <v>3027000</v>
      </c>
      <c r="P34" t="inlineStr">
        <is>
          <t>67ea57dac90d830001d57ceb</t>
        </is>
      </c>
      <c r="Q34" t="inlineStr">
        <is>
          <t>🚫重复</t>
        </is>
      </c>
      <c r="R34" t="inlineStr">
        <is>
          <t>14周</t>
        </is>
      </c>
      <c r="S34" t="inlineStr">
        <is>
          <t>0.13</t>
        </is>
      </c>
      <c r="T34" t="inlineStr">
        <is>
          <t>服饰穿搭</t>
        </is>
      </c>
      <c r="U34" t="inlineStr">
        <is>
          <t>女装</t>
        </is>
      </c>
      <c r="V34" s="3">
        <v>46112.78107638889</v>
      </c>
      <c r="W34" t="inlineStr">
        <is>
          <t>2026-Q1</t>
        </is>
      </c>
    </row>
    <row r="35" ht="25.5" customHeight="1">
      <c r="A35" t="inlineStr">
        <is>
          <t>甘果四喜 · 红心草莓芭乐/奶油芭乐水果软心芭乐冰淇淋红心芭乐白芭乐软糯香</t>
        </is>
      </c>
      <c r="B35" t="inlineStr">
        <is>
          <t>recvdOJ3S2xKsa.jpg</t>
        </is>
      </c>
      <c r="C35" s="2" t="str">
        <f>=HYPERLINK("https://xhslink.com/m/APvWIKX1SRi", "https://xhslink.com/m/APvWIKX1SRi")</f>
        <v>https://xhslink.com/m/APvWIKX1SRi</v>
      </c>
      <c r="D35"/>
      <c r="E35">
        <v>95000</v>
      </c>
      <c r="F35">
        <v>24.9</v>
      </c>
      <c r="G35"/>
      <c r="H35">
        <v>2000</v>
      </c>
      <c r="I35" t="inlineStr">
        <is>
          <t>水果</t>
        </is>
      </c>
      <c r="J35" t="inlineStr">
        <is>
          <t>0.02</t>
        </is>
      </c>
      <c r="K35" t="inlineStr">
        <is>
          <t>🔥低粉爆款</t>
        </is>
      </c>
      <c r="L35" t="inlineStr">
        <is>
          <t>甘果四喜旗舰店</t>
        </is>
      </c>
      <c r="M35">
        <v>23000</v>
      </c>
      <c r="N35">
        <v>4.52</v>
      </c>
      <c r="O35">
        <v>2078000</v>
      </c>
      <c r="P35" t="inlineStr">
        <is>
          <t>698080926d22e70001c4b420</t>
        </is>
      </c>
      <c r="Q35" t="inlineStr">
        <is>
          <t>🚫重复</t>
        </is>
      </c>
      <c r="R35" t="inlineStr">
        <is>
          <t>14周</t>
        </is>
      </c>
      <c r="S35" t="inlineStr">
        <is>
          <t>4.13</t>
        </is>
      </c>
      <c r="T35" t="inlineStr">
        <is>
          <t>美食滋补</t>
        </is>
      </c>
      <c r="U35" t="inlineStr">
        <is>
          <t>生鲜特产</t>
        </is>
      </c>
      <c r="V35" s="3">
        <v>46112.78107638889</v>
      </c>
      <c r="W35" t="inlineStr">
        <is>
          <t>2026-Q1</t>
        </is>
      </c>
    </row>
    <row r="36" ht="25.5" customHeight="1">
      <c r="A36" t="inlineStr">
        <is>
          <t>【半夏倾颜】软底德训鞋女2026春季新款休闲运动鞋百搭阿甘小白鞋</t>
        </is>
      </c>
      <c r="B36" t="inlineStr">
        <is>
          <t>recvekduUIBHtS.jpg</t>
        </is>
      </c>
      <c r="C36" s="2" t="str">
        <f>=HYPERLINK("https://xhslink.com/m/9Ry19hHS2xD", "https://xhslink.com/m/9Ry19hHS2xD")</f>
        <v>https://xhslink.com/m/9Ry19hHS2xD</v>
      </c>
      <c r="D36"/>
      <c r="E36">
        <v>1234</v>
      </c>
      <c r="F36">
        <v>298</v>
      </c>
      <c r="G36">
        <v>95</v>
      </c>
      <c r="H36">
        <v>2000</v>
      </c>
      <c r="I36" t="inlineStr">
        <is>
          <t>鞋靴</t>
        </is>
      </c>
      <c r="J36" t="inlineStr">
        <is>
          <t>1.62</t>
        </is>
      </c>
      <c r="K36" t="inlineStr">
        <is>
          <t>🔥低粉爆款</t>
        </is>
      </c>
      <c r="L36" t="inlineStr">
        <is>
          <t>半夏倾颜的店</t>
        </is>
      </c>
      <c r="M36">
        <v>239</v>
      </c>
      <c r="N36">
        <v>4.81</v>
      </c>
      <c r="O36">
        <v>1898</v>
      </c>
      <c r="P36" t="inlineStr">
        <is>
          <t>69a924ae07adea000125e0b8</t>
        </is>
      </c>
      <c r="Q36" t="inlineStr">
        <is>
          <t>🚫重复</t>
        </is>
      </c>
      <c r="R36" t="inlineStr">
        <is>
          <t>14周</t>
        </is>
      </c>
      <c r="S36" t="inlineStr">
        <is>
          <t>5.16</t>
        </is>
      </c>
      <c r="T36" t="inlineStr">
        <is>
          <t>服饰穿搭</t>
        </is>
      </c>
      <c r="U36" t="inlineStr">
        <is>
          <t>鞋靴箱包</t>
        </is>
      </c>
      <c r="V36" s="3">
        <v>46112.78107638889</v>
      </c>
      <c r="W36" t="inlineStr">
        <is>
          <t>2026-Q1</t>
        </is>
      </c>
    </row>
    <row r="37" ht="25.5" customHeight="1">
      <c r="A37" t="inlineStr">
        <is>
          <t>果壳摇铃娃娃 | 幸运小狗|纯手工 |新品特价9.9 |礼物风铃挂件包</t>
        </is>
      </c>
      <c r="B37" t="inlineStr">
        <is>
          <t>recveyWM0oKd5m.jpg</t>
        </is>
      </c>
      <c r="C37" s="2" t="str">
        <f>=HYPERLINK("https://xhslink.com/m/9r9BJP80zdp", "https://xhslink.com/m/9r9BJP80zdp")</f>
        <v>https://xhslink.com/m/9r9BJP80zdp</v>
      </c>
      <c r="D37"/>
      <c r="E37">
        <v>19000</v>
      </c>
      <c r="F37">
        <v>30</v>
      </c>
      <c r="G37">
        <v>16</v>
      </c>
      <c r="H37">
        <v>2000</v>
      </c>
      <c r="I37" t="inlineStr">
        <is>
          <t>饰品</t>
        </is>
      </c>
      <c r="J37" t="inlineStr">
        <is>
          <t>0.11</t>
        </is>
      </c>
      <c r="K37"/>
      <c r="L37" t="inlineStr">
        <is>
          <t>东北绳娘小阿予💗的店</t>
        </is>
      </c>
      <c r="M37">
        <v>104000</v>
      </c>
      <c r="N37">
        <v>4.55</v>
      </c>
      <c r="O37">
        <v>354000</v>
      </c>
      <c r="P37" t="inlineStr">
        <is>
          <t>699f981e00e743000196338c</t>
        </is>
      </c>
      <c r="Q37" t="inlineStr">
        <is>
          <t>🚫重复</t>
        </is>
      </c>
      <c r="R37" t="inlineStr">
        <is>
          <t>14周</t>
        </is>
      </c>
      <c r="S37" t="inlineStr">
        <is>
          <t>0.18</t>
        </is>
      </c>
      <c r="T37" t="inlineStr">
        <is>
          <t>服饰穿搭</t>
        </is>
      </c>
      <c r="U37" t="inlineStr">
        <is>
          <t>配饰</t>
        </is>
      </c>
      <c r="V37" s="3">
        <v>46112.78107638889</v>
      </c>
      <c r="W37" t="inlineStr">
        <is>
          <t>2026-Q1</t>
        </is>
      </c>
    </row>
    <row r="38" ht="25.5" customHeight="1">
      <c r="A38" t="inlineStr">
        <is>
          <t>美式运动裤女春夏高腰休闲宽松阔腿卫裤显瘦直筒休闲裤</t>
        </is>
      </c>
      <c r="B38" t="inlineStr">
        <is>
          <t>recveKOBkWrJsg.jpg</t>
        </is>
      </c>
      <c r="C38" s="2" t="str">
        <f>=HYPERLINK("https://xhslink.com/m/70wb0I05ZBZ", "https://xhslink.com/m/70wb0I05ZBZ")</f>
        <v>https://xhslink.com/m/70wb0I05ZBZ</v>
      </c>
      <c r="D38"/>
      <c r="E38">
        <v>11000</v>
      </c>
      <c r="F38">
        <v>99.9</v>
      </c>
      <c r="G38">
        <v>69.9</v>
      </c>
      <c r="H38">
        <v>2000</v>
      </c>
      <c r="I38" t="inlineStr">
        <is>
          <t>运动裤</t>
        </is>
      </c>
      <c r="J38" t="inlineStr">
        <is>
          <t>0.18</t>
        </is>
      </c>
      <c r="K38"/>
      <c r="L38" t="inlineStr">
        <is>
          <t>莓川库茶的店</t>
        </is>
      </c>
      <c r="M38">
        <v>7379</v>
      </c>
      <c r="N38">
        <v>4.64</v>
      </c>
      <c r="O38">
        <v>91000</v>
      </c>
      <c r="P38" t="inlineStr">
        <is>
          <t>68d42130702da10001312e0b</t>
        </is>
      </c>
      <c r="Q38" t="inlineStr">
        <is>
          <t>🚫重复</t>
        </is>
      </c>
      <c r="R38" t="inlineStr">
        <is>
          <t>14周</t>
        </is>
      </c>
      <c r="S38" t="inlineStr">
        <is>
          <t>1.49</t>
        </is>
      </c>
      <c r="T38" t="inlineStr">
        <is>
          <t>服饰穿搭</t>
        </is>
      </c>
      <c r="U38" t="inlineStr">
        <is>
          <t>女装</t>
        </is>
      </c>
      <c r="V38" s="3">
        <v>46112.78107638889</v>
      </c>
      <c r="W38" t="inlineStr">
        <is>
          <t>2026-Q1</t>
        </is>
      </c>
    </row>
    <row r="39" ht="25.5" customHeight="1">
      <c r="A39" t="inlineStr">
        <is>
          <t>栀禾*高腰休闲垂感显瘦速干刺绣爱心工装阔腿裤运动裤薄款透气</t>
        </is>
      </c>
      <c r="B39" t="inlineStr">
        <is>
          <t>recveKOBkWbr1q.jpg</t>
        </is>
      </c>
      <c r="C39" s="2" t="str">
        <f>=HYPERLINK("https://xhslink.com/m/6xisHS2C2PN", "https://xhslink.com/m/6xisHS2C2PN")</f>
        <v>https://xhslink.com/m/6xisHS2C2PN</v>
      </c>
      <c r="D39"/>
      <c r="E39">
        <v>5725</v>
      </c>
      <c r="F39">
        <v>82</v>
      </c>
      <c r="G39">
        <v>79</v>
      </c>
      <c r="H39">
        <v>2000</v>
      </c>
      <c r="I39" t="inlineStr">
        <is>
          <t>运动裤</t>
        </is>
      </c>
      <c r="J39" t="inlineStr">
        <is>
          <t>0.35</t>
        </is>
      </c>
      <c r="K39"/>
      <c r="L39" t="inlineStr">
        <is>
          <t>栀禾服饰的店</t>
        </is>
      </c>
      <c r="M39">
        <v>11000</v>
      </c>
      <c r="N39">
        <v>4.61</v>
      </c>
      <c r="O39">
        <v>55000</v>
      </c>
      <c r="P39" t="inlineStr">
        <is>
          <t>684a48000ec1ca000158a0f9</t>
        </is>
      </c>
      <c r="Q39" t="inlineStr">
        <is>
          <t>🚫重复</t>
        </is>
      </c>
      <c r="R39" t="inlineStr">
        <is>
          <t>14周</t>
        </is>
      </c>
      <c r="S39" t="inlineStr">
        <is>
          <t>0.52</t>
        </is>
      </c>
      <c r="T39" t="inlineStr">
        <is>
          <t>服饰穿搭</t>
        </is>
      </c>
      <c r="U39" t="inlineStr">
        <is>
          <t>女装</t>
        </is>
      </c>
      <c r="V39" s="3">
        <v>46112.78107638889</v>
      </c>
      <c r="W39" t="inlineStr">
        <is>
          <t>2026-Q1</t>
        </is>
      </c>
    </row>
    <row r="40" ht="25.5" customHeight="1">
      <c r="A40" t="inlineStr">
        <is>
          <t>宽松直筒阔腿裤女2026新款春秋垂感显瘦高腰休闲运动瑜伽长裤</t>
        </is>
      </c>
      <c r="B40" t="inlineStr">
        <is>
          <t>recveKOBkWRspe.jpg</t>
        </is>
      </c>
      <c r="C40" s="2" t="str">
        <f>=HYPERLINK("https://xhslink.com/m/9rv2JgIAe85", "https://xhslink.com/m/9rv2JgIAe85")</f>
        <v>https://xhslink.com/m/9rv2JgIAe85</v>
      </c>
      <c r="D40"/>
      <c r="E40">
        <v>19000</v>
      </c>
      <c r="F40">
        <v>59.9</v>
      </c>
      <c r="G40">
        <v>39.9</v>
      </c>
      <c r="H40">
        <v>2000</v>
      </c>
      <c r="I40" t="inlineStr">
        <is>
          <t>运动裤</t>
        </is>
      </c>
      <c r="J40" t="inlineStr">
        <is>
          <t>0.11</t>
        </is>
      </c>
      <c r="K40"/>
      <c r="L40" t="inlineStr">
        <is>
          <t>云感Yoga瑜伽的店</t>
        </is>
      </c>
      <c r="M40">
        <v>25000</v>
      </c>
      <c r="N40">
        <v>4.59</v>
      </c>
      <c r="O40">
        <v>302000</v>
      </c>
      <c r="P40" t="inlineStr">
        <is>
          <t>691d8615ccb9e00001c35143</t>
        </is>
      </c>
      <c r="Q40" t="inlineStr">
        <is>
          <t>🚫重复</t>
        </is>
      </c>
      <c r="R40" t="inlineStr">
        <is>
          <t>14周</t>
        </is>
      </c>
      <c r="S40" t="inlineStr">
        <is>
          <t>0.76</t>
        </is>
      </c>
      <c r="T40" t="inlineStr">
        <is>
          <t>服饰穿搭</t>
        </is>
      </c>
      <c r="U40" t="inlineStr">
        <is>
          <t>女装</t>
        </is>
      </c>
      <c r="V40" s="3">
        <v>46112.78107638889</v>
      </c>
      <c r="W40" t="inlineStr">
        <is>
          <t>2026-Q1</t>
        </is>
      </c>
    </row>
    <row r="41" ht="25.5" customHeight="1">
      <c r="A41" t="inlineStr">
        <is>
          <t>COOLPLAN · 我只想睡觉松弛感 设计师趣味时间印花小众重磅男女款夏季短袖T恤</t>
        </is>
      </c>
      <c r="B41" t="inlineStr">
        <is>
          <t>recveNXG9tVUbp_fix.jpg</t>
        </is>
      </c>
      <c r="C41" s="2" t="str">
        <f>=HYPERLINK("https://xhslink.com/m/8QMWwLjXvBZ", "https://xhslink.com/m/8QMWwLjXvBZ")</f>
        <v>https://xhslink.com/m/8QMWwLjXvBZ</v>
      </c>
      <c r="D41"/>
      <c r="E41">
        <v>25000</v>
      </c>
      <c r="F41">
        <v>49.8</v>
      </c>
      <c r="G41">
        <v>39.8</v>
      </c>
      <c r="H41">
        <v>2000</v>
      </c>
      <c r="I41" t="inlineStr">
        <is>
          <t>T恤</t>
        </is>
      </c>
      <c r="J41" t="inlineStr">
        <is>
          <t>0.08</t>
        </is>
      </c>
      <c r="K41"/>
      <c r="L41" t="inlineStr">
        <is>
          <t>COOL PLAN的店</t>
        </is>
      </c>
      <c r="M41">
        <v>12000</v>
      </c>
      <c r="N41">
        <v>4.73</v>
      </c>
      <c r="O41">
        <v>45000</v>
      </c>
      <c r="P41" t="inlineStr">
        <is>
          <t>682bf91e3aa6a6001550abb2</t>
        </is>
      </c>
      <c r="Q41" t="inlineStr">
        <is>
          <t>🚫重复</t>
        </is>
      </c>
      <c r="R41" t="inlineStr">
        <is>
          <t>14周</t>
        </is>
      </c>
      <c r="S41" t="inlineStr">
        <is>
          <t>2.08</t>
        </is>
      </c>
      <c r="T41" t="inlineStr">
        <is>
          <t>服饰穿搭</t>
        </is>
      </c>
      <c r="U41" t="inlineStr">
        <is>
          <t>女装</t>
        </is>
      </c>
      <c r="V41" s="3">
        <v>46112.78107638889</v>
      </c>
      <c r="W41" t="inlineStr">
        <is>
          <t>2026-Q1</t>
        </is>
      </c>
    </row>
    <row r="42" ht="25.5" customHeight="1">
      <c r="A42" t="inlineStr">
        <is>
          <t>美式运动裤女春夏高腰休闲宽松阔腿卫裤显瘦直筒休闲裤</t>
        </is>
      </c>
      <c r="B42" t="inlineStr">
        <is>
          <t>recveNXG9tUBuw.jpg</t>
        </is>
      </c>
      <c r="C42" s="2" t="str">
        <f>=HYPERLINK("https://xhslink.com/m/1dTnVIzALAU", "https://xhslink.com/m/1dTnVIzALAU")</f>
        <v>https://xhslink.com/m/1dTnVIzALAU</v>
      </c>
      <c r="D42"/>
      <c r="E42">
        <v>11000</v>
      </c>
      <c r="F42">
        <v>99.9</v>
      </c>
      <c r="G42">
        <v>69.9</v>
      </c>
      <c r="H42">
        <v>2000</v>
      </c>
      <c r="I42" t="inlineStr">
        <is>
          <t>运动裤</t>
        </is>
      </c>
      <c r="J42" t="inlineStr">
        <is>
          <t>0.18</t>
        </is>
      </c>
      <c r="K42"/>
      <c r="L42" t="inlineStr">
        <is>
          <t>莓川库茶的店</t>
        </is>
      </c>
      <c r="M42">
        <v>7424</v>
      </c>
      <c r="N42">
        <v>4.64</v>
      </c>
      <c r="O42">
        <v>91000</v>
      </c>
      <c r="P42" t="inlineStr">
        <is>
          <t>68d42130702da10001312e38</t>
        </is>
      </c>
      <c r="Q42" t="inlineStr">
        <is>
          <t>🚫重复</t>
        </is>
      </c>
      <c r="R42" t="inlineStr">
        <is>
          <t>14周</t>
        </is>
      </c>
      <c r="S42" t="inlineStr">
        <is>
          <t>1.48</t>
        </is>
      </c>
      <c r="T42" t="inlineStr">
        <is>
          <t>服饰穿搭</t>
        </is>
      </c>
      <c r="U42" t="inlineStr">
        <is>
          <t>女装</t>
        </is>
      </c>
      <c r="V42" s="3">
        <v>46112.78107638889</v>
      </c>
      <c r="W42" t="inlineStr">
        <is>
          <t>2026-Q1</t>
        </is>
      </c>
    </row>
    <row r="43" ht="25.5" customHeight="1">
      <c r="A43" t="inlineStr">
        <is>
          <t>前10w单立减 30!女春夏季高腰宽松显瘦休闲直筒运动裤卫裤60%棉</t>
        </is>
      </c>
      <c r="B43" t="inlineStr">
        <is>
          <t>recvf5pAkIOEvv.jpg</t>
        </is>
      </c>
      <c r="C43" s="2" t="str">
        <f>=HYPERLINK("https://xhslink.com/m/4PpJ3wp0ZoT", "https://xhslink.com/m/4PpJ3wp0ZoT")</f>
        <v>https://xhslink.com/m/4PpJ3wp0ZoT</v>
      </c>
      <c r="D43"/>
      <c r="E43">
        <v>103000</v>
      </c>
      <c r="F43">
        <v>99.9</v>
      </c>
      <c r="G43">
        <v>64.5</v>
      </c>
      <c r="H43">
        <v>2000</v>
      </c>
      <c r="I43" t="inlineStr">
        <is>
          <t>直筒裤</t>
        </is>
      </c>
      <c r="J43" t="inlineStr">
        <is>
          <t>0.02</t>
        </is>
      </c>
      <c r="K43" t="inlineStr">
        <is>
          <t>🔥低粉爆款</t>
        </is>
      </c>
      <c r="L43" t="inlineStr">
        <is>
          <t>哆哆米米米的店</t>
        </is>
      </c>
      <c r="M43">
        <v>12000</v>
      </c>
      <c r="N43">
        <v>4.56</v>
      </c>
      <c r="O43">
        <v>103000</v>
      </c>
      <c r="P43" t="inlineStr">
        <is>
          <t>68e87b2f6a569a0015aabbad</t>
        </is>
      </c>
      <c r="Q43" t="inlineStr">
        <is>
          <t>🚫重复</t>
        </is>
      </c>
      <c r="R43" t="inlineStr">
        <is>
          <t>14周</t>
        </is>
      </c>
      <c r="S43" t="inlineStr">
        <is>
          <t>8.58</t>
        </is>
      </c>
      <c r="T43" t="inlineStr">
        <is>
          <t>服饰穿搭</t>
        </is>
      </c>
      <c r="U43" t="inlineStr">
        <is>
          <t>女装</t>
        </is>
      </c>
      <c r="V43" s="3">
        <v>46112.78107638889</v>
      </c>
      <c r="W43" t="inlineStr">
        <is>
          <t>2026-Q1</t>
        </is>
      </c>
    </row>
    <row r="44" ht="25.5" customHeight="1">
      <c r="A44" t="inlineStr">
        <is>
          <t>『红心牛奶木瓜』新鲜自然成熟热带水果现摘现发新鲜孕妇下奶</t>
        </is>
      </c>
      <c r="B44" t="inlineStr">
        <is>
          <t>recvfenb18rxzG.jpg</t>
        </is>
      </c>
      <c r="C44" s="2" t="str">
        <f>=HYPERLINK("https://xhslink.com/m/2mLE5OaaPAw", "https://xhslink.com/m/2mLE5OaaPAw")</f>
        <v>https://xhslink.com/m/2mLE5OaaPAw</v>
      </c>
      <c r="D44"/>
      <c r="E44">
        <v>274000</v>
      </c>
      <c r="F44">
        <v>22.6</v>
      </c>
      <c r="G44">
        <v>8.6</v>
      </c>
      <c r="H44">
        <v>2000</v>
      </c>
      <c r="I44" t="inlineStr">
        <is>
          <t>时令水果</t>
        </is>
      </c>
      <c r="J44" t="inlineStr">
        <is>
          <t>0.01</t>
        </is>
      </c>
      <c r="K44" t="inlineStr">
        <is>
          <t>🔥低粉爆款</t>
        </is>
      </c>
      <c r="L44" t="inlineStr">
        <is>
          <t>甜甜的小果园的店</t>
        </is>
      </c>
      <c r="M44">
        <v>205</v>
      </c>
      <c r="N44">
        <v>4.51</v>
      </c>
      <c r="O44">
        <v>78000</v>
      </c>
      <c r="P44" t="inlineStr">
        <is>
          <t>69a15cd387daa00001a2f32b</t>
        </is>
      </c>
      <c r="Q44"/>
      <c r="R44" t="inlineStr">
        <is>
          <t>14周</t>
        </is>
      </c>
      <c r="S44" t="inlineStr">
        <is>
          <t>1336.59</t>
        </is>
      </c>
      <c r="T44" t="inlineStr">
        <is>
          <t>美食滋补</t>
        </is>
      </c>
      <c r="U44" t="inlineStr">
        <is>
          <t>酒水冲饮</t>
        </is>
      </c>
      <c r="V44" s="3">
        <v>46112.78107638889</v>
      </c>
      <c r="W44" t="inlineStr">
        <is>
          <t>2026-Q1</t>
        </is>
      </c>
    </row>
    <row r="45" ht="25.5" customHeight="1">
      <c r="A45" t="inlineStr">
        <is>
          <t>COCO·春夏纯色系隐形透气避震不掉跟分趾船袜</t>
        </is>
      </c>
      <c r="B45" t="inlineStr">
        <is>
          <t>recvfqmLqZI1RN.jpg</t>
        </is>
      </c>
      <c r="C45" s="2" t="str">
        <f>=HYPERLINK("https://xhslink.com/m/AhdbM3oAFAT", "https://xhslink.com/m/AhdbM3oAFAT")</f>
        <v>https://xhslink.com/m/AhdbM3oAFAT</v>
      </c>
      <c r="D45"/>
      <c r="E45">
        <v>5601</v>
      </c>
      <c r="F45">
        <v>15.8</v>
      </c>
      <c r="G45">
        <v>12.9</v>
      </c>
      <c r="H45">
        <v>2000</v>
      </c>
      <c r="I45" t="inlineStr">
        <is>
          <t>船袜</t>
        </is>
      </c>
      <c r="J45" t="inlineStr">
        <is>
          <t>0.36</t>
        </is>
      </c>
      <c r="K45"/>
      <c r="L45" t="inlineStr">
        <is>
          <t>Cocos Box的店</t>
        </is>
      </c>
      <c r="M45">
        <v>1869</v>
      </c>
      <c r="N45">
        <v>4.73</v>
      </c>
      <c r="O45">
        <v>6165</v>
      </c>
      <c r="P45" t="inlineStr">
        <is>
          <t>69b91698e60de20001083cc8</t>
        </is>
      </c>
      <c r="Q45"/>
      <c r="R45" t="inlineStr">
        <is>
          <t>14周</t>
        </is>
      </c>
      <c r="S45" t="inlineStr">
        <is>
          <t>3.00</t>
        </is>
      </c>
      <c r="T45" t="inlineStr">
        <is>
          <t>服饰穿搭</t>
        </is>
      </c>
      <c r="U45" t="inlineStr">
        <is>
          <t>鞋靴箱包</t>
        </is>
      </c>
      <c r="V45" s="3">
        <v>46112.78107638889</v>
      </c>
      <c r="W45" t="inlineStr">
        <is>
          <t>2026-Q1</t>
        </is>
      </c>
    </row>
    <row r="46" ht="25.5" customHeight="1">
      <c r="A46" t="inlineStr">
        <is>
          <t>芭蕾款EVA一体式韩系甜美洞洞鞋（2.1cm增高）</t>
        </is>
      </c>
      <c r="B46" t="inlineStr">
        <is>
          <t>recvfD7quwVKTL.jpg</t>
        </is>
      </c>
      <c r="C46" s="2" t="str">
        <f>=HYPERLINK("https://xhslink.com/m/9AXC89yz3AL", "https://xhslink.com/m/9AXC89yz3AL")</f>
        <v>https://xhslink.com/m/9AXC89yz3AL</v>
      </c>
      <c r="D46"/>
      <c r="E46">
        <v>2892</v>
      </c>
      <c r="F46">
        <v>129</v>
      </c>
      <c r="G46">
        <v>47</v>
      </c>
      <c r="H46">
        <v>2000</v>
      </c>
      <c r="I46" t="inlineStr">
        <is>
          <t>百搭鞋子</t>
        </is>
      </c>
      <c r="J46" t="inlineStr">
        <is>
          <t>0.69</t>
        </is>
      </c>
      <c r="K46"/>
      <c r="L46" t="inlineStr">
        <is>
          <t>厂二代小张的店</t>
        </is>
      </c>
      <c r="M46">
        <v>3468</v>
      </c>
      <c r="N46">
        <v>4.51</v>
      </c>
      <c r="O46">
        <v>14000</v>
      </c>
      <c r="P46" t="inlineStr">
        <is>
          <t>69a41bf119f8df0015d685f8</t>
        </is>
      </c>
      <c r="Q46" t="inlineStr">
        <is>
          <t>🚫重复</t>
        </is>
      </c>
      <c r="R46" t="inlineStr">
        <is>
          <t>14周</t>
        </is>
      </c>
      <c r="S46" t="inlineStr">
        <is>
          <t>0.83</t>
        </is>
      </c>
      <c r="T46" t="inlineStr">
        <is>
          <t>服饰穿搭</t>
        </is>
      </c>
      <c r="U46" t="inlineStr">
        <is>
          <t>鞋靴箱包</t>
        </is>
      </c>
      <c r="V46" s="3">
        <v>46114.78872685185</v>
      </c>
      <c r="W46" t="inlineStr">
        <is>
          <t>2026-Q2</t>
        </is>
      </c>
    </row>
    <row r="47" ht="25.5" customHeight="1">
      <c r="A47" t="inlineStr">
        <is>
          <t>（28.8块！任选8个）低卡热手作夹心碱水球面包贝果欧包早餐代餐</t>
        </is>
      </c>
      <c r="B47" t="inlineStr">
        <is>
          <t>recvfP5nJf3gH7.jpg</t>
        </is>
      </c>
      <c r="C47" s="2" t="str">
        <f>=HYPERLINK("https://xhslink.com/m/AkrZzYMHepS", "https://xhslink.com/m/AkrZzYMHepS")</f>
        <v>https://xhslink.com/m/AkrZzYMHepS</v>
      </c>
      <c r="D47"/>
      <c r="E47">
        <v>156000</v>
      </c>
      <c r="F47">
        <v>9.6</v>
      </c>
      <c r="G47"/>
      <c r="H47">
        <v>2000</v>
      </c>
      <c r="I47" t="inlineStr">
        <is>
          <t>手作面包</t>
        </is>
      </c>
      <c r="J47" t="inlineStr">
        <is>
          <t>0.01</t>
        </is>
      </c>
      <c r="K47" t="inlineStr">
        <is>
          <t>🔥低粉爆款</t>
        </is>
      </c>
      <c r="L47" t="inlineStr">
        <is>
          <t>转山的喵.低卡手作的店</t>
        </is>
      </c>
      <c r="M47">
        <v>956</v>
      </c>
      <c r="N47">
        <v>4.33</v>
      </c>
      <c r="O47">
        <v>167000</v>
      </c>
      <c r="P47" t="inlineStr">
        <is>
          <t>69a00e966b5a8300015d42fa</t>
        </is>
      </c>
      <c r="Q47" t="inlineStr">
        <is>
          <t>🚫重复</t>
        </is>
      </c>
      <c r="R47" t="inlineStr">
        <is>
          <t>14周</t>
        </is>
      </c>
      <c r="S47" t="inlineStr">
        <is>
          <t>163.18</t>
        </is>
      </c>
      <c r="T47" t="inlineStr">
        <is>
          <t>美食滋补</t>
        </is>
      </c>
      <c r="U47" t="inlineStr">
        <is>
          <t>休闲零食</t>
        </is>
      </c>
      <c r="V47" s="3">
        <v>46116.835335648146</v>
      </c>
      <c r="W47" t="inlineStr">
        <is>
          <t>2026-Q2</t>
        </is>
      </c>
    </row>
    <row r="48" ht="25.5" customHeight="1">
      <c r="A48" t="inlineStr">
        <is>
          <t>【十指相扣小水母】原创治愈系水母好rua柔软解压多巴胺闺蜜挂件</t>
        </is>
      </c>
      <c r="B48" t="inlineStr">
        <is>
          <t>recvfP5nJftKYi.jpg</t>
        </is>
      </c>
      <c r="C48" s="2" t="str">
        <f>=HYPERLINK("https://xhslink.com/m/4Pae2ez7wxF", "https://xhslink.com/m/4Pae2ez7wxF")</f>
        <v>https://xhslink.com/m/4Pae2ez7wxF</v>
      </c>
      <c r="D48"/>
      <c r="E48">
        <v>11000</v>
      </c>
      <c r="F48">
        <v>20.9</v>
      </c>
      <c r="G48"/>
      <c r="H48">
        <v>2000</v>
      </c>
      <c r="I48" t="inlineStr">
        <is>
          <t>小物件</t>
        </is>
      </c>
      <c r="J48" t="inlineStr">
        <is>
          <t>0.18</t>
        </is>
      </c>
      <c r="K48"/>
      <c r="L48" t="inlineStr">
        <is>
          <t>辛安小角落的店</t>
        </is>
      </c>
      <c r="M48">
        <v>125000</v>
      </c>
      <c r="N48">
        <v>4.55</v>
      </c>
      <c r="O48">
        <v>140000</v>
      </c>
      <c r="P48" t="inlineStr">
        <is>
          <t>69622d2105a37f0001ebb328</t>
        </is>
      </c>
      <c r="Q48" t="inlineStr">
        <is>
          <t>🚫重复</t>
        </is>
      </c>
      <c r="R48" t="inlineStr">
        <is>
          <t>14周</t>
        </is>
      </c>
      <c r="S48" t="inlineStr">
        <is>
          <t>0.09</t>
        </is>
      </c>
      <c r="T48" t="inlineStr">
        <is>
          <t>家居生活</t>
        </is>
      </c>
      <c r="U48" t="inlineStr">
        <is>
          <t>家居日用</t>
        </is>
      </c>
      <c r="V48" s="3">
        <v>46116.835335648146</v>
      </c>
      <c r="W48" t="inlineStr">
        <is>
          <t>2026-Q2</t>
        </is>
      </c>
    </row>
    <row r="49" ht="25.5" customHeight="1">
      <c r="A49" t="inlineStr">
        <is>
          <t>【十指相扣小水母】原创治愈系水母好rua柔软解压多巴胺闺蜜挂件</t>
        </is>
      </c>
      <c r="B49" t="inlineStr">
        <is>
          <t>recvfP5nJf3qXm.jpg</t>
        </is>
      </c>
      <c r="C49" s="2" t="str">
        <f>=HYPERLINK("https://xhslink.com/m/440ahIs5dIj", "https://xhslink.com/m/440ahIs5dIj")</f>
        <v>https://xhslink.com/m/440ahIs5dIj</v>
      </c>
      <c r="D49"/>
      <c r="E49">
        <v>11000</v>
      </c>
      <c r="F49">
        <v>20.9</v>
      </c>
      <c r="G49"/>
      <c r="H49">
        <v>2000</v>
      </c>
      <c r="I49" t="inlineStr">
        <is>
          <t>小物件</t>
        </is>
      </c>
      <c r="J49" t="inlineStr">
        <is>
          <t>0.18</t>
        </is>
      </c>
      <c r="K49"/>
      <c r="L49" t="inlineStr">
        <is>
          <t>辛安小角落的店</t>
        </is>
      </c>
      <c r="M49">
        <v>125000</v>
      </c>
      <c r="N49">
        <v>4.55</v>
      </c>
      <c r="O49">
        <v>140000</v>
      </c>
      <c r="P49" t="inlineStr">
        <is>
          <t>690a85b31b78790001f539e0</t>
        </is>
      </c>
      <c r="Q49" t="inlineStr">
        <is>
          <t>🚫重复</t>
        </is>
      </c>
      <c r="R49" t="inlineStr">
        <is>
          <t>14周</t>
        </is>
      </c>
      <c r="S49" t="inlineStr">
        <is>
          <t>0.09</t>
        </is>
      </c>
      <c r="T49" t="inlineStr">
        <is>
          <t>家居生活</t>
        </is>
      </c>
      <c r="U49" t="inlineStr">
        <is>
          <t>家居日用</t>
        </is>
      </c>
      <c r="V49" s="3">
        <v>46116.835335648146</v>
      </c>
      <c r="W49" t="inlineStr">
        <is>
          <t>2026-Q2</t>
        </is>
      </c>
    </row>
    <row r="50" ht="25.5" customHeight="1">
      <c r="A50" t="inlineStr">
        <is>
          <t>麦米琪 · 【冰感防晒】377美白抗皱SPF50+PA+++高倍防晒喷雾</t>
        </is>
      </c>
      <c r="B50" t="inlineStr">
        <is>
          <t>recvfVt9jWcUeq.jpg</t>
        </is>
      </c>
      <c r="C50" s="2" t="str">
        <f>=HYPERLINK("https://xhslink.com/m/qoIqOveMCT", "https://xhslink.com/m/qoIqOveMCT")</f>
        <v>https://xhslink.com/m/qoIqOveMCT</v>
      </c>
      <c r="D50"/>
      <c r="E50">
        <v>23000</v>
      </c>
      <c r="F50">
        <v>63.8</v>
      </c>
      <c r="G50">
        <v>43.8</v>
      </c>
      <c r="H50">
        <v>2000</v>
      </c>
      <c r="I50" t="inlineStr">
        <is>
          <t>防晒</t>
        </is>
      </c>
      <c r="J50" t="inlineStr">
        <is>
          <t>0.09</t>
        </is>
      </c>
      <c r="K50" t="inlineStr">
        <is>
          <t>🔥低粉爆款</t>
        </is>
      </c>
      <c r="L50" t="inlineStr">
        <is>
          <t>这这火了🈶的店</t>
        </is>
      </c>
      <c r="M50">
        <v>2177</v>
      </c>
      <c r="N50">
        <v>4.34</v>
      </c>
      <c r="O50">
        <v>37000</v>
      </c>
      <c r="P50" t="inlineStr">
        <is>
          <t>680ae33091d86000019c93cc</t>
        </is>
      </c>
      <c r="Q50" t="inlineStr">
        <is>
          <t>🚫重复</t>
        </is>
      </c>
      <c r="R50" t="inlineStr">
        <is>
          <t>14周</t>
        </is>
      </c>
      <c r="S50" t="inlineStr">
        <is>
          <t>10.56</t>
        </is>
      </c>
      <c r="T50" t="inlineStr">
        <is>
          <t>美妆个护</t>
        </is>
      </c>
      <c r="U50" t="inlineStr">
        <is>
          <t>护肤彩妆</t>
        </is>
      </c>
      <c r="V50" s="3">
        <v>46117.927083333336</v>
      </c>
      <c r="W50" t="inlineStr">
        <is>
          <t>2026-Q2</t>
        </is>
      </c>
    </row>
    <row r="51" ht="25.5" customHeight="1">
      <c r="A51" t="inlineStr">
        <is>
          <t>un酱原创款~法式气质平顶防晒草帽女海边出游度假遮阳礼帽优雅夏</t>
        </is>
      </c>
      <c r="B51" t="inlineStr">
        <is>
          <t>recvg1BDH5sxyN.jpg</t>
        </is>
      </c>
      <c r="C51" s="2" t="str">
        <f>=HYPERLINK("https://xhslink.com/m/36TqhpufTmF", "https://xhslink.com/m/36TqhpufTmF")</f>
        <v>https://xhslink.com/m/36TqhpufTmF</v>
      </c>
      <c r="D51"/>
      <c r="E51">
        <v>86000</v>
      </c>
      <c r="F51">
        <v>36.98</v>
      </c>
      <c r="G51"/>
      <c r="H51">
        <v>2000</v>
      </c>
      <c r="I51" t="inlineStr">
        <is>
          <t>防晒</t>
        </is>
      </c>
      <c r="J51" t="inlineStr">
        <is>
          <t>0.02</t>
        </is>
      </c>
      <c r="K51" t="inlineStr">
        <is>
          <t>🔥低粉爆款</t>
        </is>
      </c>
      <c r="L51" t="inlineStr">
        <is>
          <t>UN酱的店</t>
        </is>
      </c>
      <c r="M51">
        <v>19000</v>
      </c>
      <c r="N51">
        <v>4.53</v>
      </c>
      <c r="O51">
        <v>221000</v>
      </c>
      <c r="P51" t="inlineStr">
        <is>
          <t>69c02216e6196b0001088d2d</t>
        </is>
      </c>
      <c r="Q51" t="inlineStr">
        <is>
          <t>🚫重复</t>
        </is>
      </c>
      <c r="R51" t="inlineStr">
        <is>
          <t>15周</t>
        </is>
      </c>
      <c r="S51" t="inlineStr">
        <is>
          <t>4.53</t>
        </is>
      </c>
      <c r="T51" t="inlineStr">
        <is>
          <t>美妆个护</t>
        </is>
      </c>
      <c r="U51" t="inlineStr">
        <is>
          <t>护肤彩妆</t>
        </is>
      </c>
      <c r="V51" s="3">
        <v>46118.97659722222</v>
      </c>
      <c r="W51" t="inlineStr">
        <is>
          <t>2026-Q2</t>
        </is>
      </c>
    </row>
    <row r="52" ht="25.5" customHeight="1">
      <c r="A52" t="inlineStr">
        <is>
          <t>原创自制｜软软云朵感｜超有安全感长款睡裙，行走的小被子</t>
        </is>
      </c>
      <c r="B52" t="inlineStr">
        <is>
          <t>recvg1BDH5dwOP.jpg</t>
        </is>
      </c>
      <c r="C52" s="2" t="str">
        <f>=HYPERLINK("https://xhslink.com/m/7VTZfqqpDMx", "https://xhslink.com/m/7VTZfqqpDMx")</f>
        <v>https://xhslink.com/m/7VTZfqqpDMx</v>
      </c>
      <c r="D52"/>
      <c r="E52">
        <v>16000</v>
      </c>
      <c r="F52">
        <v>69.8</v>
      </c>
      <c r="G52">
        <v>49.8</v>
      </c>
      <c r="H52">
        <v>2000</v>
      </c>
      <c r="I52" t="inlineStr">
        <is>
          <t>浴室用品</t>
        </is>
      </c>
      <c r="J52" t="inlineStr">
        <is>
          <t>0.12</t>
        </is>
      </c>
      <c r="K52"/>
      <c r="L52" t="inlineStr">
        <is>
          <t>Luna Na的店</t>
        </is>
      </c>
      <c r="M52">
        <v>29000</v>
      </c>
      <c r="N52">
        <v>4.69</v>
      </c>
      <c r="O52">
        <v>323000</v>
      </c>
      <c r="P52" t="inlineStr">
        <is>
          <t>68a1fb02d3dd4d00015ac26f</t>
        </is>
      </c>
      <c r="Q52" t="inlineStr">
        <is>
          <t>🚫重复</t>
        </is>
      </c>
      <c r="R52" t="inlineStr">
        <is>
          <t>15周</t>
        </is>
      </c>
      <c r="S52" t="inlineStr">
        <is>
          <t>0.55</t>
        </is>
      </c>
      <c r="T52" t="inlineStr">
        <is>
          <t>家居生活</t>
        </is>
      </c>
      <c r="U52" t="inlineStr">
        <is>
          <t>家居日用</t>
        </is>
      </c>
      <c r="V52" s="3">
        <v>46118.97659722222</v>
      </c>
      <c r="W52" t="inlineStr">
        <is>
          <t>2026-Q2</t>
        </is>
      </c>
    </row>
    <row r="53" ht="25.5" customHeight="1">
      <c r="A53" t="inlineStr">
        <is>
          <t>六种鲜蒸即食低卡减脂粗粮组合每日杂粮代餐零添加速食早餐饱腹</t>
        </is>
      </c>
      <c r="B53" t="inlineStr">
        <is>
          <t>recvgd5oYIYPRy.jpg</t>
        </is>
      </c>
      <c r="C53" s="2" t="str">
        <f>=HYPERLINK("https://xhslink.com/m/A0bpFE9UeOW", "https://xhslink.com/m/A0bpFE9UeOW")</f>
        <v>https://xhslink.com/m/A0bpFE9UeOW</v>
      </c>
      <c r="D53"/>
      <c r="E53">
        <v>4241</v>
      </c>
      <c r="F53">
        <v>28.9</v>
      </c>
      <c r="G53">
        <v>19.9</v>
      </c>
      <c r="H53">
        <v>2000</v>
      </c>
      <c r="I53" t="inlineStr">
        <is>
          <t>健康早餐</t>
        </is>
      </c>
      <c r="J53" t="inlineStr">
        <is>
          <t>0.47</t>
        </is>
      </c>
      <c r="K53" t="inlineStr">
        <is>
          <t>🔥低粉爆款</t>
        </is>
      </c>
      <c r="L53" t="inlineStr">
        <is>
          <t>木禾食光的店</t>
        </is>
      </c>
      <c r="M53">
        <v>411</v>
      </c>
      <c r="N53">
        <v>4.64</v>
      </c>
      <c r="O53">
        <v>4641</v>
      </c>
      <c r="P53" t="inlineStr">
        <is>
          <t>69aed725befcbd00012bbf3a</t>
        </is>
      </c>
      <c r="Q53" t="inlineStr">
        <is>
          <t>🚫重复</t>
        </is>
      </c>
      <c r="R53" t="inlineStr">
        <is>
          <t>15周</t>
        </is>
      </c>
      <c r="S53" t="inlineStr">
        <is>
          <t>10.32</t>
        </is>
      </c>
      <c r="T53" t="inlineStr">
        <is>
          <t>美食滋补</t>
        </is>
      </c>
      <c r="U53" t="inlineStr">
        <is>
          <t>休闲零食</t>
        </is>
      </c>
      <c r="V53" s="3">
        <v>46120.939930555556</v>
      </c>
      <c r="W53" t="inlineStr">
        <is>
          <t>2026-Q2</t>
        </is>
      </c>
    </row>
    <row r="54" ht="25.5" customHeight="1">
      <c r="A54" t="inlineStr">
        <is>
          <t>（现货 现发）U领T恤短袖女显瘦白色正肩t恤小个子款上衣穿搭学生</t>
        </is>
      </c>
      <c r="B54" t="inlineStr">
        <is>
          <t>recvgd5oYIGWDn.jpg</t>
        </is>
      </c>
      <c r="C54" s="2" t="str">
        <f>=HYPERLINK("https://xhslink.com/m/2cLN7FrlPeG", "https://xhslink.com/m/2cLN7FrlPeG")</f>
        <v>https://xhslink.com/m/2cLN7FrlPeG</v>
      </c>
      <c r="D54"/>
      <c r="E54">
        <v>17000</v>
      </c>
      <c r="F54">
        <v>47.8</v>
      </c>
      <c r="G54">
        <v>37.8</v>
      </c>
      <c r="H54">
        <v>2000</v>
      </c>
      <c r="I54" t="inlineStr">
        <is>
          <t>T恤</t>
        </is>
      </c>
      <c r="J54" t="inlineStr">
        <is>
          <t>0.12</t>
        </is>
      </c>
      <c r="K54" t="inlineStr">
        <is>
          <t>🔥低粉爆款</t>
        </is>
      </c>
      <c r="L54" t="inlineStr">
        <is>
          <t>轻拉短袖t恤的店</t>
        </is>
      </c>
      <c r="M54">
        <v>2373</v>
      </c>
      <c r="N54">
        <v>4.67</v>
      </c>
      <c r="O54">
        <v>17000</v>
      </c>
      <c r="P54" t="inlineStr">
        <is>
          <t>65fe9adb914685000111086d</t>
        </is>
      </c>
      <c r="Q54" t="inlineStr">
        <is>
          <t>🚫重复</t>
        </is>
      </c>
      <c r="R54" t="inlineStr">
        <is>
          <t>15周</t>
        </is>
      </c>
      <c r="S54" t="inlineStr">
        <is>
          <t>7.16</t>
        </is>
      </c>
      <c r="T54" t="inlineStr">
        <is>
          <t>服饰穿搭</t>
        </is>
      </c>
      <c r="U54" t="inlineStr">
        <is>
          <t>女装</t>
        </is>
      </c>
      <c r="V54" s="3">
        <v>46120.939930555556</v>
      </c>
      <c r="W54" t="inlineStr">
        <is>
          <t>2026-Q2</t>
        </is>
      </c>
    </row>
    <row r="55" ht="25.5" customHeight="1">
      <c r="A55" t="inlineStr">
        <is>
          <t>【海南金煌芒果】三亚芒果当季新鲜水果孕妇水仙芒纸核芒鲜甜5斤</t>
        </is>
      </c>
      <c r="B55" t="inlineStr">
        <is>
          <t>recvgoYCuBXaqK.jpg</t>
        </is>
      </c>
      <c r="C55" s="2" t="str">
        <f>=HYPERLINK("https://xhslink.com/m/AAmuZ2ATMvF", "https://xhslink.com/m/AAmuZ2ATMvF")</f>
        <v>https://xhslink.com/m/AAmuZ2ATMvF</v>
      </c>
      <c r="D55"/>
      <c r="E55">
        <v>450000</v>
      </c>
      <c r="F55">
        <v>67.9</v>
      </c>
      <c r="G55">
        <v>62.9</v>
      </c>
      <c r="H55">
        <v>2000</v>
      </c>
      <c r="I55" t="inlineStr">
        <is>
          <t>水果</t>
        </is>
      </c>
      <c r="J55" t="inlineStr">
        <is>
          <t>0.00</t>
        </is>
      </c>
      <c r="K55" t="inlineStr">
        <is>
          <t>🔥低粉爆款</t>
        </is>
      </c>
      <c r="L55" t="inlineStr">
        <is>
          <t>野里鲜果的店</t>
        </is>
      </c>
      <c r="M55">
        <v>3785</v>
      </c>
      <c r="N55">
        <v>4.51</v>
      </c>
      <c r="O55">
        <v>240000</v>
      </c>
      <c r="P55" t="inlineStr">
        <is>
          <t>69a707f03c16aa00013b832b</t>
        </is>
      </c>
      <c r="Q55" t="inlineStr">
        <is>
          <t>🚫重复</t>
        </is>
      </c>
      <c r="R55" t="inlineStr">
        <is>
          <t>15周</t>
        </is>
      </c>
      <c r="S55" t="inlineStr">
        <is>
          <t>118.89</t>
        </is>
      </c>
      <c r="T55" t="inlineStr">
        <is>
          <t>美食滋补</t>
        </is>
      </c>
      <c r="U55" t="inlineStr">
        <is>
          <t>生鲜特产</t>
        </is>
      </c>
      <c r="V55" s="3">
        <v>46122.97351851852</v>
      </c>
      <c r="W55" t="inlineStr">
        <is>
          <t>2026-Q2</t>
        </is>
      </c>
    </row>
    <row r="56" ht="25.5" customHeight="1">
      <c r="A56" t="inlineStr">
        <is>
          <t>旅行磁吸手机支架随身便携式旋转自拍直播旅行登山扣手机支架</t>
        </is>
      </c>
      <c r="B56" t="inlineStr">
        <is>
          <t>__upload_recvgAET7x9ZwM.jpg</t>
        </is>
      </c>
      <c r="C56" s="2" t="str">
        <f>=HYPERLINK("https://xhslink.com/m/5Zq7GR2xegw", "https://xhslink.com/m/5Zq7GR2xegw")</f>
        <v>https://xhslink.com/m/5Zq7GR2xegw</v>
      </c>
      <c r="D56"/>
      <c r="E56">
        <v>3004</v>
      </c>
      <c r="F56">
        <v>59.9</v>
      </c>
      <c r="G56">
        <v>38.9</v>
      </c>
      <c r="H56">
        <v>2000</v>
      </c>
      <c r="I56" t="inlineStr">
        <is>
          <t>手机支架</t>
        </is>
      </c>
      <c r="J56" t="inlineStr">
        <is>
          <t>0.67</t>
        </is>
      </c>
      <c r="K56" t="inlineStr">
        <is>
          <t>🔥低粉爆款</t>
        </is>
      </c>
      <c r="L56" t="inlineStr">
        <is>
          <t>天天百宝箱的店</t>
        </is>
      </c>
      <c r="M56">
        <v>57</v>
      </c>
      <c r="N56">
        <v>4.68</v>
      </c>
      <c r="O56">
        <v>14000</v>
      </c>
      <c r="P56" t="inlineStr">
        <is>
          <t>69845587e047060001c43a17</t>
        </is>
      </c>
      <c r="Q56"/>
      <c r="R56" t="inlineStr">
        <is>
          <t>15周</t>
        </is>
      </c>
      <c r="S56" t="inlineStr">
        <is>
          <t>52.70</t>
        </is>
      </c>
      <c r="T56" t="inlineStr">
        <is>
          <t>数码家电</t>
        </is>
      </c>
      <c r="U56" t="inlineStr">
        <is>
          <t>数码配件</t>
        </is>
      </c>
      <c r="V56" s="3">
        <v>46124.971342592595</v>
      </c>
      <c r="W56" t="inlineStr">
        <is>
          <t>2026-Q2</t>
        </is>
      </c>
    </row>
    <row r="57" ht="25.5" customHeight="1">
      <c r="A57" t="inlineStr">
        <is>
          <t>[7/2件] [9/3件] [15/5件 送1件] 自选福利发圈头绳 孤品数量有限</t>
        </is>
      </c>
      <c r="B57" t="inlineStr">
        <is>
          <t>__upload_recvgMo2ZYxop5.jpg</t>
        </is>
      </c>
      <c r="C57" s="2" t="str">
        <f>=HYPERLINK("https://xhslink.com/m/8lj8kfF4Wds", "https://xhslink.com/m/8lj8kfF4Wds")</f>
        <v>https://xhslink.com/m/8lj8kfF4Wds</v>
      </c>
      <c r="D57"/>
      <c r="E57">
        <v>364000</v>
      </c>
      <c r="F57">
        <v>4</v>
      </c>
      <c r="G57">
        <v>3.5</v>
      </c>
      <c r="H57">
        <v>2000</v>
      </c>
      <c r="I57" t="inlineStr">
        <is>
          <t>头饰</t>
        </is>
      </c>
      <c r="J57" t="inlineStr">
        <is>
          <t>0.01</t>
        </is>
      </c>
      <c r="K57"/>
      <c r="L57" t="inlineStr">
        <is>
          <t>winnie云妮的店</t>
        </is>
      </c>
      <c r="M57">
        <v>198000</v>
      </c>
      <c r="N57">
        <v>4.66</v>
      </c>
      <c r="O57">
        <v>1030000</v>
      </c>
      <c r="P57" t="inlineStr">
        <is>
          <t>694e4f2ed96c4500017b56fa</t>
        </is>
      </c>
      <c r="Q57" t="inlineStr">
        <is>
          <t>🚫重复</t>
        </is>
      </c>
      <c r="R57" t="inlineStr">
        <is>
          <t>16周</t>
        </is>
      </c>
      <c r="S57" t="inlineStr">
        <is>
          <t>1.84</t>
        </is>
      </c>
      <c r="T57" t="inlineStr">
        <is>
          <t>服饰穿搭</t>
        </is>
      </c>
      <c r="U57" t="inlineStr">
        <is>
          <t>配饰</t>
        </is>
      </c>
      <c r="V57" s="3">
        <v>46126.97719907408</v>
      </c>
      <c r="W57" t="inlineStr">
        <is>
          <t>2026-Q2</t>
        </is>
      </c>
    </row>
    <row r="58" ht="25.5" customHeight="1">
      <c r="A58" t="inlineStr">
        <is>
          <t>芮娜丝 · 【经典版】cotton系列短袖圆领正肩显瘦T恤夏紧身时尚</t>
        </is>
      </c>
      <c r="B58" t="inlineStr">
        <is>
          <t>__upload_recvgSimhWuU2q.jpg</t>
        </is>
      </c>
      <c r="C58" s="2" t="str">
        <f>=HYPERLINK("https://xhslink.com/m/6nfTZwlEmzZ", "https://xhslink.com/m/6nfTZwlEmzZ")</f>
        <v>https://xhslink.com/m/6nfTZwlEmzZ</v>
      </c>
      <c r="D58"/>
      <c r="E58">
        <v>18000</v>
      </c>
      <c r="F58">
        <v>109.9</v>
      </c>
      <c r="G58">
        <v>39.9</v>
      </c>
      <c r="H58">
        <v>2000</v>
      </c>
      <c r="I58" t="inlineStr">
        <is>
          <t>短袖</t>
        </is>
      </c>
      <c r="J58" t="inlineStr">
        <is>
          <t>0.11</t>
        </is>
      </c>
      <c r="K58"/>
      <c r="L58" t="inlineStr">
        <is>
          <t>芮娜丝的店的店</t>
        </is>
      </c>
      <c r="M58">
        <v>7302</v>
      </c>
      <c r="N58">
        <v>4.64</v>
      </c>
      <c r="O58">
        <v>26000</v>
      </c>
      <c r="P58" t="inlineStr">
        <is>
          <t>68bb71da5d276600016f4c82</t>
        </is>
      </c>
      <c r="Q58" t="inlineStr">
        <is>
          <t>🚫重复</t>
        </is>
      </c>
      <c r="R58" t="inlineStr">
        <is>
          <t>16周</t>
        </is>
      </c>
      <c r="S58" t="inlineStr">
        <is>
          <t>2.47</t>
        </is>
      </c>
      <c r="T58" t="inlineStr">
        <is>
          <t>服饰穿搭</t>
        </is>
      </c>
      <c r="U58" t="inlineStr">
        <is>
          <t>女装</t>
        </is>
      </c>
      <c r="V58" s="3">
        <v>46127.98767361111</v>
      </c>
      <c r="W58" t="inlineStr">
        <is>
          <t>2026-Q2</t>
        </is>
      </c>
    </row>
    <row r="59" ht="25.5" customHeight="1">
      <c r="A59" t="inlineStr">
        <is>
          <t>“肌肤天使”短袖版!!~ 韩系v领扭结上衣修身微透感T恤女夏季</t>
        </is>
      </c>
      <c r="B59" t="inlineStr">
        <is>
          <t>__upload_recvgSimhW2sGR.jpg</t>
        </is>
      </c>
      <c r="C59" s="2" t="str">
        <f>=HYPERLINK("https://xhslink.com/m/48obebGNnH9", "https://xhslink.com/m/48obebGNnH9")</f>
        <v>https://xhslink.com/m/48obebGNnH9</v>
      </c>
      <c r="D59"/>
      <c r="E59">
        <v>7874</v>
      </c>
      <c r="F59">
        <v>39.9</v>
      </c>
      <c r="G59"/>
      <c r="H59">
        <v>2000</v>
      </c>
      <c r="I59" t="inlineStr">
        <is>
          <t>短袖</t>
        </is>
      </c>
      <c r="J59" t="inlineStr">
        <is>
          <t>0.25</t>
        </is>
      </c>
      <c r="K59"/>
      <c r="L59" t="inlineStr">
        <is>
          <t>海鸥服装厂的店</t>
        </is>
      </c>
      <c r="M59">
        <v>93000</v>
      </c>
      <c r="N59">
        <v>4.47</v>
      </c>
      <c r="O59">
        <v>1120000</v>
      </c>
      <c r="P59" t="inlineStr">
        <is>
          <t>69c15fa615bd740001a53eba</t>
        </is>
      </c>
      <c r="Q59" t="inlineStr">
        <is>
          <t>🚫重复</t>
        </is>
      </c>
      <c r="R59" t="inlineStr">
        <is>
          <t>16周</t>
        </is>
      </c>
      <c r="S59" t="inlineStr">
        <is>
          <t>0.08</t>
        </is>
      </c>
      <c r="T59" t="inlineStr">
        <is>
          <t>服饰穿搭</t>
        </is>
      </c>
      <c r="U59" t="inlineStr">
        <is>
          <t>女装</t>
        </is>
      </c>
      <c r="V59" s="3">
        <v>46127.98767361111</v>
      </c>
      <c r="W59" t="inlineStr">
        <is>
          <t>2026-Q2</t>
        </is>
      </c>
    </row>
    <row r="60" ht="25.5" customHeight="1">
      <c r="A60" t="inlineStr">
        <is>
          <t>多巴胺粉色正肩短袖女t恤修身设计感小众收腰短款纯棉Polo衫上衣</t>
        </is>
      </c>
      <c r="B60" t="inlineStr">
        <is>
          <t>__upload_recvgSimhWWLsJ.jpg</t>
        </is>
      </c>
      <c r="C60" s="2" t="str">
        <f>=HYPERLINK("https://xhslink.com/m/7LXdA6VA8TT", "https://xhslink.com/m/7LXdA6VA8TT")</f>
        <v>https://xhslink.com/m/7LXdA6VA8TT</v>
      </c>
      <c r="D60"/>
      <c r="E60">
        <v>5844</v>
      </c>
      <c r="F60">
        <v>59.9</v>
      </c>
      <c r="G60">
        <v>39.9</v>
      </c>
      <c r="H60">
        <v>2000</v>
      </c>
      <c r="I60" t="inlineStr">
        <is>
          <t>短袖</t>
        </is>
      </c>
      <c r="J60" t="inlineStr">
        <is>
          <t>0.34</t>
        </is>
      </c>
      <c r="K60" t="inlineStr">
        <is>
          <t>🔥低粉爆款</t>
        </is>
      </c>
      <c r="L60" t="inlineStr">
        <is>
          <t>XIAO元爱穿搭的店</t>
        </is>
      </c>
      <c r="M60">
        <v>1178</v>
      </c>
      <c r="N60">
        <v>4.46</v>
      </c>
      <c r="O60">
        <v>22000</v>
      </c>
      <c r="P60" t="inlineStr">
        <is>
          <t>69cc9435c8c73300011ea4c6</t>
        </is>
      </c>
      <c r="Q60" t="inlineStr">
        <is>
          <t>🚫重复</t>
        </is>
      </c>
      <c r="R60" t="inlineStr">
        <is>
          <t>16周</t>
        </is>
      </c>
      <c r="S60" t="inlineStr">
        <is>
          <t>4.96</t>
        </is>
      </c>
      <c r="T60" t="inlineStr">
        <is>
          <t>服饰穿搭</t>
        </is>
      </c>
      <c r="U60" t="inlineStr">
        <is>
          <t>女装</t>
        </is>
      </c>
      <c r="V60" s="3">
        <v>46127.98767361111</v>
      </c>
      <c r="W60" t="inlineStr">
        <is>
          <t>2026-Q2</t>
        </is>
      </c>
    </row>
    <row r="61" ht="25.5" customHeight="1">
      <c r="A61" t="inlineStr">
        <is>
          <t>okbingbing · 【前15000单带运险险】宅女同款春夏贝壳纽扣双排扣褶皱领娃娃衫</t>
        </is>
      </c>
      <c r="B61" t="inlineStr">
        <is>
          <t>__upload_recvgSimhW74j7.jpg</t>
        </is>
      </c>
      <c r="C61" s="2" t="str">
        <f>=HYPERLINK("https://xhslink.com/m/2Wpa3SXnXoK", "https://xhslink.com/m/2Wpa3SXnXoK")</f>
        <v>https://xhslink.com/m/2Wpa3SXnXoK</v>
      </c>
      <c r="D61"/>
      <c r="E61">
        <v>10000</v>
      </c>
      <c r="F61">
        <v>79</v>
      </c>
      <c r="G61"/>
      <c r="H61">
        <v>2000</v>
      </c>
      <c r="I61" t="inlineStr">
        <is>
          <t>短袖</t>
        </is>
      </c>
      <c r="J61" t="inlineStr">
        <is>
          <t>0.20</t>
        </is>
      </c>
      <c r="K61" t="inlineStr">
        <is>
          <t>🔥低粉爆款</t>
        </is>
      </c>
      <c r="L61" t="inlineStr">
        <is>
          <t>欧可缤缤的店</t>
        </is>
      </c>
      <c r="M61">
        <v>178</v>
      </c>
      <c r="N61">
        <v>4.61</v>
      </c>
      <c r="O61">
        <v>13000</v>
      </c>
      <c r="P61" t="inlineStr">
        <is>
          <t>69b796ae7c9c8f0001f7a32b</t>
        </is>
      </c>
      <c r="Q61" t="inlineStr">
        <is>
          <t>🚫重复</t>
        </is>
      </c>
      <c r="R61" t="inlineStr">
        <is>
          <t>16周</t>
        </is>
      </c>
      <c r="S61" t="inlineStr">
        <is>
          <t>56.18</t>
        </is>
      </c>
      <c r="T61" t="inlineStr">
        <is>
          <t>服饰穿搭</t>
        </is>
      </c>
      <c r="U61" t="inlineStr">
        <is>
          <t>女装</t>
        </is>
      </c>
      <c r="V61" s="3">
        <v>46127.98767361111</v>
      </c>
      <c r="W61" t="inlineStr">
        <is>
          <t>2026-Q2</t>
        </is>
      </c>
    </row>
    <row r="62" ht="25.5" customHeight="1">
      <c r="A62" t="inlineStr">
        <is>
          <t>（28.8块！任选8个）低卡热手作夹心碱水球面包贝果欧包早餐代餐</t>
        </is>
      </c>
      <c r="B62" t="inlineStr">
        <is>
          <t>__upload_recvgY7N5zH6Lo.jpg</t>
        </is>
      </c>
      <c r="C62" s="2" t="str">
        <f>=HYPERLINK("https://xhslink.com/m/AvqMouETgYZ", "https://xhslink.com/m/AvqMouETgYZ")</f>
        <v>https://xhslink.com/m/AvqMouETgYZ</v>
      </c>
      <c r="D62"/>
      <c r="E62">
        <v>202000</v>
      </c>
      <c r="F62">
        <v>9.6</v>
      </c>
      <c r="G62"/>
      <c r="H62">
        <v>2000</v>
      </c>
      <c r="I62" t="inlineStr">
        <is>
          <t>早餐面包</t>
        </is>
      </c>
      <c r="J62" t="inlineStr">
        <is>
          <t>0.01</t>
        </is>
      </c>
      <c r="K62" t="inlineStr">
        <is>
          <t>🔥低粉爆款</t>
        </is>
      </c>
      <c r="L62" t="inlineStr">
        <is>
          <t>转山的喵.低卡手作的店</t>
        </is>
      </c>
      <c r="M62">
        <v>1222</v>
      </c>
      <c r="N62">
        <v>4.26</v>
      </c>
      <c r="O62">
        <v>218000</v>
      </c>
      <c r="P62" t="inlineStr">
        <is>
          <t>69a00e966b5a8300015d42e8</t>
        </is>
      </c>
      <c r="Q62" t="inlineStr">
        <is>
          <t>🚫重复</t>
        </is>
      </c>
      <c r="R62" t="inlineStr">
        <is>
          <t>16周</t>
        </is>
      </c>
      <c r="S62" t="inlineStr">
        <is>
          <t>165.30</t>
        </is>
      </c>
      <c r="T62" t="inlineStr">
        <is>
          <t>美食滋补</t>
        </is>
      </c>
      <c r="U62" t="inlineStr">
        <is>
          <t>休闲零食</t>
        </is>
      </c>
      <c r="V62" s="3">
        <v>46128.98467592592</v>
      </c>
      <c r="W62" t="inlineStr">
        <is>
          <t>2026-Q2</t>
        </is>
      </c>
    </row>
    <row r="63" ht="25.5" customHeight="1">
      <c r="A63" t="inlineStr">
        <is>
          <t>正宗红富士苹果新鲜水果当季脆甜多汁孕妇皮薄肉果园直发包邮</t>
        </is>
      </c>
      <c r="B63" t="inlineStr">
        <is>
          <t>__upload_recvh40CU0dVtI.jpg</t>
        </is>
      </c>
      <c r="C63" s="2" t="str">
        <f>=HYPERLINK("https://xhslink.com/m/637h01dNElp", "https://xhslink.com/m/637h01dNElp")</f>
        <v>https://xhslink.com/m/637h01dNElp</v>
      </c>
      <c r="D63"/>
      <c r="E63">
        <v>13000</v>
      </c>
      <c r="F63">
        <v>59.9</v>
      </c>
      <c r="G63">
        <v>46.8</v>
      </c>
      <c r="H63">
        <v>2000</v>
      </c>
      <c r="I63" t="inlineStr">
        <is>
          <t>水果</t>
        </is>
      </c>
      <c r="J63" t="inlineStr">
        <is>
          <t>0.15</t>
        </is>
      </c>
      <c r="K63" t="inlineStr">
        <is>
          <t>🔥低粉爆款</t>
        </is>
      </c>
      <c r="L63" t="inlineStr">
        <is>
          <t>清甜大果果的店</t>
        </is>
      </c>
      <c r="M63">
        <v>139</v>
      </c>
      <c r="N63">
        <v>4.04</v>
      </c>
      <c r="O63">
        <v>3417</v>
      </c>
      <c r="P63" t="inlineStr">
        <is>
          <t>69cf6580a4db7c000183033b</t>
        </is>
      </c>
      <c r="Q63"/>
      <c r="R63" t="inlineStr">
        <is>
          <t>16周</t>
        </is>
      </c>
      <c r="S63" t="inlineStr">
        <is>
          <t>93.53</t>
        </is>
      </c>
      <c r="T63" t="inlineStr">
        <is>
          <t>美食滋补</t>
        </is>
      </c>
      <c r="U63" t="inlineStr">
        <is>
          <t>生鲜特产</t>
        </is>
      </c>
      <c r="V63" s="3">
        <v>46129.991064814814</v>
      </c>
      <c r="W63" t="inlineStr">
        <is>
          <t>2026-Q2</t>
        </is>
      </c>
    </row>
    <row r="64" ht="25.5" customHeight="1">
      <c r="A64" t="inlineStr">
        <is>
          <t>（28.8块！任选8个）低卡热手作夹心碱水球面包贝果欧包早餐代餐</t>
        </is>
      </c>
      <c r="B64" t="inlineStr">
        <is>
          <t>__upload_recvh9P0bmhhms.jpg</t>
        </is>
      </c>
      <c r="C64" s="2" t="str">
        <f>=HYPERLINK("https://xhslink.com/m/AAvdb51XDuK", "https://xhslink.com/m/AAvdb51XDuK")</f>
        <v>https://xhslink.com/m/AAvdb51XDuK</v>
      </c>
      <c r="D64"/>
      <c r="E64">
        <v>208000</v>
      </c>
      <c r="F64">
        <v>9.6</v>
      </c>
      <c r="G64"/>
      <c r="H64">
        <v>2000</v>
      </c>
      <c r="I64" t="inlineStr">
        <is>
          <t>低热量零食</t>
        </is>
      </c>
      <c r="J64" t="inlineStr">
        <is>
          <t>0.01</t>
        </is>
      </c>
      <c r="K64" t="inlineStr">
        <is>
          <t>🔥低粉爆款</t>
        </is>
      </c>
      <c r="L64" t="inlineStr">
        <is>
          <t>转山的喵.低卡手作的店</t>
        </is>
      </c>
      <c r="M64">
        <v>1294</v>
      </c>
      <c r="N64">
        <v>4.26</v>
      </c>
      <c r="O64">
        <v>227000</v>
      </c>
      <c r="P64" t="inlineStr">
        <is>
          <t>69a00e966b5a8300015d42e5</t>
        </is>
      </c>
      <c r="Q64" t="inlineStr">
        <is>
          <t>🚫重复</t>
        </is>
      </c>
      <c r="R64" t="inlineStr">
        <is>
          <t>16周</t>
        </is>
      </c>
      <c r="S64" t="inlineStr">
        <is>
          <t>160.74</t>
        </is>
      </c>
      <c r="T64" t="inlineStr">
        <is>
          <t>美食滋补</t>
        </is>
      </c>
      <c r="U64" t="inlineStr">
        <is>
          <t>休闲零食</t>
        </is>
      </c>
      <c r="V64" s="3">
        <v>46130.98501157408</v>
      </c>
      <c r="W64" t="inlineStr">
        <is>
          <t>2026-Q2</t>
        </is>
      </c>
    </row>
    <row r="65" ht="25.5" customHeight="1">
      <c r="A65" t="inlineStr">
        <is>
          <t>（28.8块！任选8个）低卡热手作夹心碱水球面包贝果欧包早餐代餐</t>
        </is>
      </c>
      <c r="B65" t="inlineStr">
        <is>
          <t>__upload_recvh9P0bmqKyw.jpg</t>
        </is>
      </c>
      <c r="C65" s="2" t="str">
        <f>=HYPERLINK("https://xhslink.com/m/7EXxuoL30Oj", "https://xhslink.com/m/7EXxuoL30Oj")</f>
        <v>https://xhslink.com/m/7EXxuoL30Oj</v>
      </c>
      <c r="D65"/>
      <c r="E65">
        <v>208000</v>
      </c>
      <c r="F65">
        <v>9.6</v>
      </c>
      <c r="G65"/>
      <c r="H65">
        <v>2000</v>
      </c>
      <c r="I65" t="inlineStr">
        <is>
          <t>低热量零食</t>
        </is>
      </c>
      <c r="J65" t="inlineStr">
        <is>
          <t>0.01</t>
        </is>
      </c>
      <c r="K65" t="inlineStr">
        <is>
          <t>🔥低粉爆款</t>
        </is>
      </c>
      <c r="L65" t="inlineStr">
        <is>
          <t>转山的喵.低卡手作的店</t>
        </is>
      </c>
      <c r="M65">
        <v>1294</v>
      </c>
      <c r="N65">
        <v>4.26</v>
      </c>
      <c r="O65">
        <v>227000</v>
      </c>
      <c r="P65" t="inlineStr">
        <is>
          <t>69a013162080aa000132ff78</t>
        </is>
      </c>
      <c r="Q65" t="inlineStr">
        <is>
          <t>🚫重复</t>
        </is>
      </c>
      <c r="R65" t="inlineStr">
        <is>
          <t>16周</t>
        </is>
      </c>
      <c r="S65" t="inlineStr">
        <is>
          <t>160.74</t>
        </is>
      </c>
      <c r="T65" t="inlineStr">
        <is>
          <t>美食滋补</t>
        </is>
      </c>
      <c r="U65" t="inlineStr">
        <is>
          <t>休闲零食</t>
        </is>
      </c>
      <c r="V65" s="3">
        <v>46130.98501157408</v>
      </c>
      <c r="W65" t="inlineStr">
        <is>
          <t>2026-Q2</t>
        </is>
      </c>
    </row>
    <row r="66" ht="25.5" customHeight="1">
      <c r="A66" t="inlineStr">
        <is>
          <t>【开春福利】干噎酸奶希腊风味冷萃酸奶干嚼厚酸奶水果夹</t>
        </is>
      </c>
      <c r="B66" t="inlineStr">
        <is>
          <t>__upload_recvhfQmhq0L2h.jpg</t>
        </is>
      </c>
      <c r="C66" s="2" t="str">
        <f>=HYPERLINK("https://xhslink.com/m/55gPqsgvOBw", "https://xhslink.com/m/55gPqsgvOBw")</f>
        <v>https://xhslink.com/m/55gPqsgvOBw</v>
      </c>
      <c r="D66"/>
      <c r="E66">
        <v>24000</v>
      </c>
      <c r="F66">
        <v>24.99</v>
      </c>
      <c r="G66">
        <v>14.99</v>
      </c>
      <c r="H66">
        <v>2000</v>
      </c>
      <c r="I66" t="inlineStr">
        <is>
          <t>酸奶</t>
        </is>
      </c>
      <c r="J66" t="inlineStr">
        <is>
          <t>0.08</t>
        </is>
      </c>
      <c r="K66" t="inlineStr">
        <is>
          <t>🔥低粉爆款</t>
        </is>
      </c>
      <c r="L66" t="inlineStr">
        <is>
          <t>瑞的零食坊的店</t>
        </is>
      </c>
      <c r="M66">
        <v>4598</v>
      </c>
      <c r="N66">
        <v>4.3</v>
      </c>
      <c r="O66">
        <v>70000</v>
      </c>
      <c r="P66" t="inlineStr">
        <is>
          <t>69a4e56e094aed0001b2eaf0</t>
        </is>
      </c>
      <c r="Q66"/>
      <c r="R66" t="inlineStr">
        <is>
          <t>17周</t>
        </is>
      </c>
      <c r="S66" t="inlineStr">
        <is>
          <t>5.22</t>
        </is>
      </c>
      <c r="T66" t="inlineStr">
        <is>
          <t>美食滋补</t>
        </is>
      </c>
      <c r="U66" t="inlineStr">
        <is>
          <t>酒水冲饮</t>
        </is>
      </c>
      <c r="V66" s="3">
        <v>46132.014918981484</v>
      </c>
      <c r="W66" t="inlineStr">
        <is>
          <t>2026-Q2</t>
        </is>
      </c>
    </row>
    <row r="67" ht="25.5" customHeight="1">
      <c r="A67" t="inlineStr">
        <is>
          <t>「一条属于夏天的花裙子」带打底裤。粉色碎花半身裙a字短裙女夏</t>
        </is>
      </c>
      <c r="B67" t="inlineStr">
        <is>
          <t>__upload_recvhfQmhq0UEk.jpg</t>
        </is>
      </c>
      <c r="C67" s="2" t="str">
        <f>=HYPERLINK("https://xhslink.com/m/yJjxzf8UDM", "https://xhslink.com/m/yJjxzf8UDM")</f>
        <v>https://xhslink.com/m/yJjxzf8UDM</v>
      </c>
      <c r="D67"/>
      <c r="E67">
        <v>4681</v>
      </c>
      <c r="F67">
        <v>49.9</v>
      </c>
      <c r="G67"/>
      <c r="H67">
        <v>2000</v>
      </c>
      <c r="I67" t="inlineStr">
        <is>
          <t>半身裙</t>
        </is>
      </c>
      <c r="J67" t="inlineStr">
        <is>
          <t>0.43</t>
        </is>
      </c>
      <c r="K67"/>
      <c r="L67" t="inlineStr">
        <is>
          <t>海鸥服装厂的店</t>
        </is>
      </c>
      <c r="M67">
        <v>99000</v>
      </c>
      <c r="N67">
        <v>4.48</v>
      </c>
      <c r="O67">
        <v>1168000</v>
      </c>
      <c r="P67" t="inlineStr">
        <is>
          <t>69db5bcaab6f940001354acd</t>
        </is>
      </c>
      <c r="Q67" t="inlineStr">
        <is>
          <t>🚫重复</t>
        </is>
      </c>
      <c r="R67" t="inlineStr">
        <is>
          <t>17周</t>
        </is>
      </c>
      <c r="S67" t="inlineStr">
        <is>
          <t>0.05</t>
        </is>
      </c>
      <c r="T67" t="inlineStr">
        <is>
          <t>服饰穿搭</t>
        </is>
      </c>
      <c r="U67" t="inlineStr">
        <is>
          <t>女装</t>
        </is>
      </c>
      <c r="V67" s="3">
        <v>46132.014918981484</v>
      </c>
      <c r="W67" t="inlineStr">
        <is>
          <t>2026-Q2</t>
        </is>
      </c>
    </row>
    <row r="68" ht="25.5" customHeight="1">
      <c r="A68" t="inlineStr">
        <is>
          <t>春节不打烊［四色超模裤］ 四面弹高腰百搭修身微喇叭牛仔裤 8800</t>
        </is>
      </c>
      <c r="B68" t="inlineStr">
        <is>
          <t>recvcB48ezfJ2S.jpg</t>
        </is>
      </c>
      <c r="C68" s="2" t="str">
        <f>=HYPERLINK("https://xhslink.com/m/12nB8rHja6C", "https://xhslink.com/m/12nB8rHja6C")</f>
        <v>https://xhslink.com/m/12nB8rHja6C</v>
      </c>
      <c r="D68"/>
      <c r="E68">
        <v>24000</v>
      </c>
      <c r="F68">
        <v>285</v>
      </c>
      <c r="G68"/>
      <c r="H68">
        <v>1000</v>
      </c>
      <c r="I68" t="inlineStr">
        <is>
          <t>牛仔裤</t>
        </is>
      </c>
      <c r="J68" t="inlineStr">
        <is>
          <t>0.04</t>
        </is>
      </c>
      <c r="K68"/>
      <c r="L68" t="inlineStr">
        <is>
          <t>是啊噗噗噗的店</t>
        </is>
      </c>
      <c r="M68">
        <v>51000</v>
      </c>
      <c r="N68">
        <v>4.7</v>
      </c>
      <c r="O68">
        <v>28000</v>
      </c>
      <c r="P68" t="inlineStr">
        <is>
          <t>6894417c0e13d500018e87db</t>
        </is>
      </c>
      <c r="Q68" t="inlineStr">
        <is>
          <t>🚫重复</t>
        </is>
      </c>
      <c r="R68" t="inlineStr">
        <is>
          <t>14周</t>
        </is>
      </c>
      <c r="S68" t="inlineStr">
        <is>
          <t>0.47</t>
        </is>
      </c>
      <c r="T68" t="inlineStr">
        <is>
          <t>服饰穿搭</t>
        </is>
      </c>
      <c r="U68" t="inlineStr">
        <is>
          <t>女装</t>
        </is>
      </c>
      <c r="V68" s="3">
        <v>46112.78107638889</v>
      </c>
      <c r="W68" t="inlineStr">
        <is>
          <t>2026-Q1</t>
        </is>
      </c>
    </row>
    <row r="69" ht="25.5" customHeight="1">
      <c r="A69" t="inlineStr">
        <is>
          <t>2025春秋新款韩版百搭纯棉长袖衬衫高品质纯色宽松休闲衬衣</t>
        </is>
      </c>
      <c r="B69" t="inlineStr">
        <is>
          <t>recvcB48ezqU5h.jpg</t>
        </is>
      </c>
      <c r="C69" s="2" t="str">
        <f>=HYPERLINK("https://xhslink.com/m/81tKploi6r1", "https://xhslink.com/m/81tKploi6r1")</f>
        <v>https://xhslink.com/m/81tKploi6r1</v>
      </c>
      <c r="D69"/>
      <c r="E69">
        <v>2539</v>
      </c>
      <c r="F69">
        <v>69.9</v>
      </c>
      <c r="G69"/>
      <c r="H69">
        <v>1000</v>
      </c>
      <c r="I69" t="inlineStr">
        <is>
          <t>衬衫</t>
        </is>
      </c>
      <c r="J69" t="inlineStr">
        <is>
          <t>0.39</t>
        </is>
      </c>
      <c r="K69" t="inlineStr">
        <is>
          <t>🔥低粉爆款</t>
        </is>
      </c>
      <c r="L69" t="inlineStr">
        <is>
          <t>明天穿什么雅的店</t>
        </is>
      </c>
      <c r="M69">
        <v>244</v>
      </c>
      <c r="N69">
        <v>4.59</v>
      </c>
      <c r="O69">
        <v>2668</v>
      </c>
      <c r="P69" t="inlineStr">
        <is>
          <t>693e8aa37a38a6000122b0cb</t>
        </is>
      </c>
      <c r="Q69" t="inlineStr">
        <is>
          <t>🚫重复</t>
        </is>
      </c>
      <c r="R69" t="inlineStr">
        <is>
          <t>14周</t>
        </is>
      </c>
      <c r="S69" t="inlineStr">
        <is>
          <t>10.41</t>
        </is>
      </c>
      <c r="T69" t="inlineStr">
        <is>
          <t>服饰穿搭</t>
        </is>
      </c>
      <c r="U69" t="inlineStr">
        <is>
          <t>女装</t>
        </is>
      </c>
      <c r="V69" s="3">
        <v>46112.78107638889</v>
      </c>
      <c r="W69" t="inlineStr">
        <is>
          <t>2026-Q1</t>
        </is>
      </c>
    </row>
    <row r="70" ht="25.5" customHeight="1">
      <c r="A70" t="inlineStr">
        <is>
          <t>Luuu7定制韩女裤 自带丰胯垫~掐腰丰胯翘臀高腰弹力微喇裤 偏小！</t>
        </is>
      </c>
      <c r="B70" t="inlineStr">
        <is>
          <t>recvcB48ezgh0K.jpg</t>
        </is>
      </c>
      <c r="C70" s="2" t="str">
        <f>=HYPERLINK("https://xhslink.com/m/38iXJ3mvOrG", "https://xhslink.com/m/38iXJ3mvOrG")</f>
        <v>https://xhslink.com/m/38iXJ3mvOrG</v>
      </c>
      <c r="D70"/>
      <c r="E70">
        <v>70000</v>
      </c>
      <c r="F70">
        <v>119</v>
      </c>
      <c r="G70"/>
      <c r="H70">
        <v>1000</v>
      </c>
      <c r="I70" t="inlineStr">
        <is>
          <t>高腰裤</t>
        </is>
      </c>
      <c r="J70" t="inlineStr">
        <is>
          <t>0.01</t>
        </is>
      </c>
      <c r="K70"/>
      <c r="L70" t="inlineStr">
        <is>
          <t>67不吃辣的店</t>
        </is>
      </c>
      <c r="M70">
        <v>26000</v>
      </c>
      <c r="N70">
        <v>4.65</v>
      </c>
      <c r="O70">
        <v>141000</v>
      </c>
      <c r="P70" t="inlineStr">
        <is>
          <t>688489dc071cdc0001fee7eb</t>
        </is>
      </c>
      <c r="Q70" t="inlineStr">
        <is>
          <t>🚫重复</t>
        </is>
      </c>
      <c r="R70" t="inlineStr">
        <is>
          <t>14周</t>
        </is>
      </c>
      <c r="S70" t="inlineStr">
        <is>
          <t>2.69</t>
        </is>
      </c>
      <c r="T70" t="inlineStr">
        <is>
          <t>服饰穿搭</t>
        </is>
      </c>
      <c r="U70" t="inlineStr">
        <is>
          <t>女装</t>
        </is>
      </c>
      <c r="V70" s="3">
        <v>46112.78107638889</v>
      </c>
      <c r="W70" t="inlineStr">
        <is>
          <t>2026-Q1</t>
        </is>
      </c>
    </row>
    <row r="71" ht="25.5" customHeight="1">
      <c r="A71" t="inlineStr">
        <is>
          <t>春节不打烊［四色超模裤］ 四面弹高腰百搭修身微喇叭牛仔裤 8800</t>
        </is>
      </c>
      <c r="B71" t="inlineStr">
        <is>
          <t>recvcB48ezFk2b.jpg</t>
        </is>
      </c>
      <c r="C71" s="2" t="str">
        <f>=HYPERLINK("https://xhslink.com/m/QUBpIoF6zK", "https://xhslink.com/m/QUBpIoF6zK")</f>
        <v>https://xhslink.com/m/QUBpIoF6zK</v>
      </c>
      <c r="D71"/>
      <c r="E71">
        <v>24000</v>
      </c>
      <c r="F71">
        <v>285</v>
      </c>
      <c r="G71"/>
      <c r="H71">
        <v>1000</v>
      </c>
      <c r="I71" t="inlineStr">
        <is>
          <t>春装裤子</t>
        </is>
      </c>
      <c r="J71" t="inlineStr">
        <is>
          <t>0.04</t>
        </is>
      </c>
      <c r="K71"/>
      <c r="L71" t="inlineStr">
        <is>
          <t>是啊噗噗噗的店</t>
        </is>
      </c>
      <c r="M71">
        <v>51000</v>
      </c>
      <c r="N71">
        <v>4.7</v>
      </c>
      <c r="O71">
        <v>28000</v>
      </c>
      <c r="P71" t="inlineStr">
        <is>
          <t>6958bdc608cd900001c11a0d</t>
        </is>
      </c>
      <c r="Q71" t="inlineStr">
        <is>
          <t>🚫重复</t>
        </is>
      </c>
      <c r="R71" t="inlineStr">
        <is>
          <t>14周</t>
        </is>
      </c>
      <c r="S71" t="inlineStr">
        <is>
          <t>0.47</t>
        </is>
      </c>
      <c r="T71" t="inlineStr">
        <is>
          <t>服饰穿搭</t>
        </is>
      </c>
      <c r="U71" t="inlineStr">
        <is>
          <t>女装</t>
        </is>
      </c>
      <c r="V71" s="3">
        <v>46112.78107638889</v>
      </c>
      <c r="W71" t="inlineStr">
        <is>
          <t>2026-Q1</t>
        </is>
      </c>
    </row>
    <row r="72" ht="25.5" customHeight="1">
      <c r="A72" t="inlineStr">
        <is>
          <t>Z · 『V腰显瘦神裤』/v腰喇叭裤/v腰牛仔裤 炒鸡显腰细显瘦 显腿长！</t>
        </is>
      </c>
      <c r="B72" t="inlineStr">
        <is>
          <t>recvcB48ezFHtN.jpg</t>
        </is>
      </c>
      <c r="C72" s="2" t="str">
        <f>=HYPERLINK("https://xhslink.com/m/AFuATU4wMq3", "https://xhslink.com/m/AFuATU4wMq3")</f>
        <v>https://xhslink.com/m/AFuATU4wMq3</v>
      </c>
      <c r="D72"/>
      <c r="E72">
        <v>110000</v>
      </c>
      <c r="F72">
        <v>186</v>
      </c>
      <c r="G72"/>
      <c r="H72">
        <v>1000</v>
      </c>
      <c r="I72" t="inlineStr">
        <is>
          <t>牛仔裤</t>
        </is>
      </c>
      <c r="J72" t="inlineStr">
        <is>
          <t>0.01</t>
        </is>
      </c>
      <c r="K72" t="inlineStr">
        <is>
          <t>🔥低粉爆款</t>
        </is>
      </c>
      <c r="L72" t="inlineStr">
        <is>
          <t>Suny.女装店的店</t>
        </is>
      </c>
      <c r="M72">
        <v>25000</v>
      </c>
      <c r="N72">
        <v>4.56</v>
      </c>
      <c r="O72">
        <v>137000</v>
      </c>
      <c r="P72" t="inlineStr">
        <is>
          <t>68f9eb5ec4f8910001b9d057</t>
        </is>
      </c>
      <c r="Q72"/>
      <c r="R72" t="inlineStr">
        <is>
          <t>14周</t>
        </is>
      </c>
      <c r="S72" t="inlineStr">
        <is>
          <t>4.40</t>
        </is>
      </c>
      <c r="T72" t="inlineStr">
        <is>
          <t>服饰穿搭</t>
        </is>
      </c>
      <c r="U72" t="inlineStr">
        <is>
          <t>女装</t>
        </is>
      </c>
      <c r="V72" s="3">
        <v>46112.78107638889</v>
      </c>
      <c r="W72" t="inlineStr">
        <is>
          <t>2026-Q1</t>
        </is>
      </c>
    </row>
    <row r="73" ht="25.5" customHeight="1">
      <c r="A73" t="inlineStr">
        <is>
          <t>村驴家东北粘糊麻辣烫</t>
        </is>
      </c>
      <c r="B73" t="inlineStr">
        <is>
          <t>recvcMzZj8pATB.jpg</t>
        </is>
      </c>
      <c r="C73" s="2" t="str">
        <f>=HYPERLINK("https://xhslink.com/m/3PJg4Gq0yPK", "https://xhslink.com/m/3PJg4Gq0yPK")</f>
        <v>https://xhslink.com/m/3PJg4Gq0yPK</v>
      </c>
      <c r="D73"/>
      <c r="E73">
        <v>352000</v>
      </c>
      <c r="F73">
        <v>36.9</v>
      </c>
      <c r="G73"/>
      <c r="H73">
        <v>1000</v>
      </c>
      <c r="I73" t="inlineStr">
        <is>
          <t>黏糊麻辣烫</t>
        </is>
      </c>
      <c r="J73" t="inlineStr">
        <is>
          <t>0.00</t>
        </is>
      </c>
      <c r="K73"/>
      <c r="L73" t="inlineStr">
        <is>
          <t>村驴的店</t>
        </is>
      </c>
      <c r="M73">
        <v>3658000</v>
      </c>
      <c r="N73">
        <v>4.92</v>
      </c>
      <c r="O73">
        <v>834000</v>
      </c>
      <c r="P73" t="inlineStr">
        <is>
          <t>67dbbafdc259f30001e6367b</t>
        </is>
      </c>
      <c r="Q73"/>
      <c r="R73" t="inlineStr">
        <is>
          <t>14周</t>
        </is>
      </c>
      <c r="S73" t="inlineStr">
        <is>
          <t>0.10</t>
        </is>
      </c>
      <c r="T73" t="inlineStr">
        <is>
          <t>美食滋补</t>
        </is>
      </c>
      <c r="U73" t="inlineStr">
        <is>
          <t>休闲零食</t>
        </is>
      </c>
      <c r="V73" s="3">
        <v>46112.78107638889</v>
      </c>
      <c r="W73" t="inlineStr">
        <is>
          <t>2026-Q1</t>
        </is>
      </c>
    </row>
    <row r="74" ht="25.5" customHeight="1">
      <c r="A74" t="inlineStr">
        <is>
          <t>妙味哥 · 东北黏糊麻辣烫388克方便速食懒人夜宵</t>
        </is>
      </c>
      <c r="B74" t="inlineStr">
        <is>
          <t>recvcMzZj8bPSS.jpg</t>
        </is>
      </c>
      <c r="C74" s="2" t="str">
        <f>=HYPERLINK("https://xhslink.com/m/3Y8ZMi665Yv", "https://xhslink.com/m/3Y8ZMi665Yv")</f>
        <v>https://xhslink.com/m/3Y8ZMi665Yv</v>
      </c>
      <c r="D74"/>
      <c r="E74">
        <v>166000</v>
      </c>
      <c r="F74">
        <v>29.9</v>
      </c>
      <c r="G74">
        <v>16.9</v>
      </c>
      <c r="H74">
        <v>1000</v>
      </c>
      <c r="I74" t="inlineStr">
        <is>
          <t>黏糊麻辣烫</t>
        </is>
      </c>
      <c r="J74" t="inlineStr">
        <is>
          <t>0.01</t>
        </is>
      </c>
      <c r="K74"/>
      <c r="L74" t="inlineStr">
        <is>
          <t>妙味哥旗舰店</t>
        </is>
      </c>
      <c r="M74">
        <v>109000</v>
      </c>
      <c r="N74">
        <v>4.52</v>
      </c>
      <c r="O74">
        <v>366000</v>
      </c>
      <c r="P74" t="inlineStr">
        <is>
          <t>665b2fd6fc13120001f1f895</t>
        </is>
      </c>
      <c r="Q74" t="inlineStr">
        <is>
          <t>🚫重复</t>
        </is>
      </c>
      <c r="R74" t="inlineStr">
        <is>
          <t>14周</t>
        </is>
      </c>
      <c r="S74" t="inlineStr">
        <is>
          <t>1.52</t>
        </is>
      </c>
      <c r="T74" t="inlineStr">
        <is>
          <t>美食滋补</t>
        </is>
      </c>
      <c r="U74" t="inlineStr">
        <is>
          <t>休闲零食</t>
        </is>
      </c>
      <c r="V74" s="3">
        <v>46112.78107638889</v>
      </c>
      <c r="W74" t="inlineStr">
        <is>
          <t>2026-Q1</t>
        </is>
      </c>
    </row>
    <row r="75" ht="25.5" customHeight="1">
      <c r="A75" t="inlineStr">
        <is>
          <t>【任选5个改价30元】顺丰手工贝果碱水面包代餐欧包夹心早餐健身</t>
        </is>
      </c>
      <c r="B75" t="inlineStr">
        <is>
          <t>recvcMzZj8FXsO.jpg</t>
        </is>
      </c>
      <c r="C75" s="2" t="str">
        <f>=HYPERLINK("https://xhslink.com/m/1T6x5PM0otc", "https://xhslink.com/m/1T6x5PM0otc")</f>
        <v>https://xhslink.com/m/1T6x5PM0otc</v>
      </c>
      <c r="D75"/>
      <c r="E75">
        <v>221000</v>
      </c>
      <c r="F75">
        <v>20</v>
      </c>
      <c r="G75"/>
      <c r="H75">
        <v>1000</v>
      </c>
      <c r="I75" t="inlineStr">
        <is>
          <t>贝果</t>
        </is>
      </c>
      <c r="J75" t="inlineStr">
        <is>
          <t>0.00</t>
        </is>
      </c>
      <c r="K75" t="inlineStr">
        <is>
          <t>🔥低粉爆款</t>
        </is>
      </c>
      <c r="L75" t="inlineStr">
        <is>
          <t>焙客手作的店</t>
        </is>
      </c>
      <c r="M75">
        <v>908</v>
      </c>
      <c r="N75">
        <v>4.62</v>
      </c>
      <c r="O75">
        <v>225000</v>
      </c>
      <c r="P75" t="inlineStr">
        <is>
          <t>68ec9f17002e7e00013e3c96</t>
        </is>
      </c>
      <c r="Q75" t="inlineStr">
        <is>
          <t>🚫重复</t>
        </is>
      </c>
      <c r="R75" t="inlineStr">
        <is>
          <t>14周</t>
        </is>
      </c>
      <c r="S75" t="inlineStr">
        <is>
          <t>243.39</t>
        </is>
      </c>
      <c r="T75" t="inlineStr">
        <is>
          <t>美食滋补</t>
        </is>
      </c>
      <c r="U75" t="inlineStr">
        <is>
          <t>休闲零食</t>
        </is>
      </c>
      <c r="V75" s="3">
        <v>46112.78107638889</v>
      </c>
      <c r="W75" t="inlineStr">
        <is>
          <t>2026-Q1</t>
        </is>
      </c>
    </row>
    <row r="76" ht="25.5" customHeight="1">
      <c r="A76" t="inlineStr">
        <is>
          <t>【巨显瘦西装裤！】辣妹必备低腰阔腿微喇裤姐感裤子显高显瘦显腿</t>
        </is>
      </c>
      <c r="B76" t="inlineStr">
        <is>
          <t>recvdhGvoJS2xR.jpg</t>
        </is>
      </c>
      <c r="C76" s="2" t="str">
        <f>=HYPERLINK("https://xhslink.com/m/44N1bAScQY8", "https://xhslink.com/m/44N1bAScQY8")</f>
        <v>https://xhslink.com/m/44N1bAScQY8</v>
      </c>
      <c r="D76"/>
      <c r="E76">
        <v>75000</v>
      </c>
      <c r="F76">
        <v>89.9</v>
      </c>
      <c r="G76"/>
      <c r="H76">
        <v>1000</v>
      </c>
      <c r="I76" t="inlineStr">
        <is>
          <t>裤子</t>
        </is>
      </c>
      <c r="J76" t="inlineStr">
        <is>
          <t>0.01</t>
        </is>
      </c>
      <c r="K76"/>
      <c r="L76" t="inlineStr">
        <is>
          <t>ZHUTT的店</t>
        </is>
      </c>
      <c r="M76">
        <v>28000</v>
      </c>
      <c r="N76">
        <v>4.47</v>
      </c>
      <c r="O76">
        <v>172000</v>
      </c>
      <c r="P76" t="inlineStr">
        <is>
          <t>67290bc06a6c180001edee51</t>
        </is>
      </c>
      <c r="Q76" t="inlineStr">
        <is>
          <t>🚫重复</t>
        </is>
      </c>
      <c r="R76" t="inlineStr">
        <is>
          <t>14周</t>
        </is>
      </c>
      <c r="S76" t="inlineStr">
        <is>
          <t>2.68</t>
        </is>
      </c>
      <c r="T76" t="inlineStr">
        <is>
          <t>服饰穿搭</t>
        </is>
      </c>
      <c r="U76" t="inlineStr">
        <is>
          <t>女装</t>
        </is>
      </c>
      <c r="V76" s="3">
        <v>46112.78107638889</v>
      </c>
      <c r="W76" t="inlineStr">
        <is>
          <t>2026-Q1</t>
        </is>
      </c>
    </row>
    <row r="77" ht="25.5" customHeight="1">
      <c r="A77" t="inlineStr">
        <is>
          <t>季食本 · 宁波传统艾草麻糍手工制作 软糯口感 收到即食</t>
        </is>
      </c>
      <c r="B77" t="inlineStr">
        <is>
          <t>recvdhGvoJO199.jpg</t>
        </is>
      </c>
      <c r="C77" s="2" t="str">
        <f>=HYPERLINK("https://xhslink.com/m/64KybQ6o8iN", "https://xhslink.com/m/64KybQ6o8iN")</f>
        <v>https://xhslink.com/m/64KybQ6o8iN</v>
      </c>
      <c r="D77"/>
      <c r="E77">
        <v>6970</v>
      </c>
      <c r="F77">
        <v>888</v>
      </c>
      <c r="G77"/>
      <c r="H77">
        <v>1000</v>
      </c>
      <c r="I77" t="inlineStr">
        <is>
          <t>零食速食</t>
        </is>
      </c>
      <c r="J77" t="inlineStr">
        <is>
          <t>0.14</t>
        </is>
      </c>
      <c r="K77"/>
      <c r="L77" t="inlineStr">
        <is>
          <t>Spring的细微生活的店</t>
        </is>
      </c>
      <c r="M77">
        <v>17000</v>
      </c>
      <c r="N77">
        <v>4.57</v>
      </c>
      <c r="O77">
        <v>59000</v>
      </c>
      <c r="P77" t="inlineStr">
        <is>
          <t>67e925be84aef500011fc3e7</t>
        </is>
      </c>
      <c r="Q77" t="inlineStr">
        <is>
          <t>🚫重复</t>
        </is>
      </c>
      <c r="R77" t="inlineStr">
        <is>
          <t>14周</t>
        </is>
      </c>
      <c r="S77" t="inlineStr">
        <is>
          <t>0.41</t>
        </is>
      </c>
      <c r="T77" t="inlineStr">
        <is>
          <t>美食滋补</t>
        </is>
      </c>
      <c r="U77" t="inlineStr">
        <is>
          <t>休闲零食</t>
        </is>
      </c>
      <c r="V77" s="3">
        <v>46112.78107638889</v>
      </c>
      <c r="W77" t="inlineStr">
        <is>
          <t>2026-Q1</t>
        </is>
      </c>
    </row>
    <row r="78" ht="25.5" customHeight="1">
      <c r="A78" t="inlineStr">
        <is>
          <t>黛妃 · 巨巨巨好用A210斜角刀锋眼线刷眼脸下至刷卧蚕化妆刷精细眉刷沧州</t>
        </is>
      </c>
      <c r="B78" t="inlineStr">
        <is>
          <t>recvdxJg6GCgXn.jpg</t>
        </is>
      </c>
      <c r="C78" s="2" t="str">
        <f>=HYPERLINK("https://xhslink.com/m/4ROILEy08Uf", "https://xhslink.com/m/4ROILEy08Uf")</f>
        <v>https://xhslink.com/m/4ROILEy08Uf</v>
      </c>
      <c r="D78"/>
      <c r="E78">
        <v>131000</v>
      </c>
      <c r="F78">
        <v>48.9</v>
      </c>
      <c r="G78"/>
      <c r="H78">
        <v>1000</v>
      </c>
      <c r="I78" t="inlineStr">
        <is>
          <t>化妆刷</t>
        </is>
      </c>
      <c r="J78" t="inlineStr">
        <is>
          <t>0.01</t>
        </is>
      </c>
      <c r="K78" t="inlineStr">
        <is>
          <t>🔥低粉爆款</t>
        </is>
      </c>
      <c r="L78" t="inlineStr">
        <is>
          <t>黛妃化妆刷旗舰店</t>
        </is>
      </c>
      <c r="M78">
        <v>1671</v>
      </c>
      <c r="N78">
        <v>4.61</v>
      </c>
      <c r="O78">
        <v>149000</v>
      </c>
      <c r="P78" t="inlineStr">
        <is>
          <t>68a58326f38f970001a37fcc</t>
        </is>
      </c>
      <c r="Q78" t="inlineStr">
        <is>
          <t>🚫重复</t>
        </is>
      </c>
      <c r="R78" t="inlineStr">
        <is>
          <t>14周</t>
        </is>
      </c>
      <c r="S78" t="inlineStr">
        <is>
          <t>78.40</t>
        </is>
      </c>
      <c r="T78" t="inlineStr">
        <is>
          <t>美妆个护</t>
        </is>
      </c>
      <c r="U78" t="inlineStr">
        <is>
          <t>护肤彩妆</t>
        </is>
      </c>
      <c r="V78" s="3">
        <v>46112.78107638889</v>
      </c>
      <c r="W78" t="inlineStr">
        <is>
          <t>2026-Q1</t>
        </is>
      </c>
    </row>
    <row r="79" ht="25.5" customHeight="1">
      <c r="A79" t="inlineStr">
        <is>
          <t>【巨显瘦西装裤！】辣妹必备低腰阔腿微喇姐感裤显高显瘦显腿长</t>
        </is>
      </c>
      <c r="B79" t="inlineStr">
        <is>
          <t>recvdKDRQh1nvV.jpg</t>
        </is>
      </c>
      <c r="C79" s="2" t="str">
        <f>=HYPERLINK("https://xhslink.com/m/414EEthlxUa", "https://xhslink.com/m/414EEthlxUa")</f>
        <v>https://xhslink.com/m/414EEthlxUa</v>
      </c>
      <c r="D79"/>
      <c r="E79">
        <v>77000</v>
      </c>
      <c r="F79">
        <v>89.9</v>
      </c>
      <c r="G79"/>
      <c r="H79">
        <v>1000</v>
      </c>
      <c r="I79" t="inlineStr">
        <is>
          <t>裤子</t>
        </is>
      </c>
      <c r="J79" t="inlineStr">
        <is>
          <t>0.01</t>
        </is>
      </c>
      <c r="K79"/>
      <c r="L79" t="inlineStr">
        <is>
          <t>ZHUTT的店</t>
        </is>
      </c>
      <c r="M79">
        <v>29000</v>
      </c>
      <c r="N79">
        <v>4.48</v>
      </c>
      <c r="O79">
        <v>180000</v>
      </c>
      <c r="P79" t="inlineStr">
        <is>
          <t>67290bc06a6c180001edee54</t>
        </is>
      </c>
      <c r="Q79" t="inlineStr">
        <is>
          <t>🚫重复</t>
        </is>
      </c>
      <c r="R79" t="inlineStr">
        <is>
          <t>14周</t>
        </is>
      </c>
      <c r="S79" t="inlineStr">
        <is>
          <t>2.66</t>
        </is>
      </c>
      <c r="T79" t="inlineStr">
        <is>
          <t>服饰穿搭</t>
        </is>
      </c>
      <c r="U79" t="inlineStr">
        <is>
          <t>女装</t>
        </is>
      </c>
      <c r="V79" s="3">
        <v>46112.78107638889</v>
      </c>
      <c r="W79" t="inlineStr">
        <is>
          <t>2026-Q1</t>
        </is>
      </c>
    </row>
    <row r="80" ht="25.5" customHeight="1">
      <c r="A80" t="inlineStr">
        <is>
          <t>【巨显瘦西装裤！】辣妹必备低腰阔腿微喇姐感裤显高显瘦显腿长</t>
        </is>
      </c>
      <c r="B80" t="inlineStr">
        <is>
          <t>recvdKDRQh6QZ1.jpg</t>
        </is>
      </c>
      <c r="C80" s="2" t="str">
        <f>=HYPERLINK("https://xhslink.com/m/4jGoD6e4KRT", "https://xhslink.com/m/4jGoD6e4KRT")</f>
        <v>https://xhslink.com/m/4jGoD6e4KRT</v>
      </c>
      <c r="D80"/>
      <c r="E80">
        <v>77000</v>
      </c>
      <c r="F80">
        <v>89.9</v>
      </c>
      <c r="G80"/>
      <c r="H80">
        <v>1000</v>
      </c>
      <c r="I80" t="inlineStr">
        <is>
          <t>阔腿西装裤</t>
        </is>
      </c>
      <c r="J80" t="inlineStr">
        <is>
          <t>0.01</t>
        </is>
      </c>
      <c r="K80"/>
      <c r="L80" t="inlineStr">
        <is>
          <t>ZHUTT的店</t>
        </is>
      </c>
      <c r="M80">
        <v>29000</v>
      </c>
      <c r="N80">
        <v>4.48</v>
      </c>
      <c r="O80">
        <v>180000</v>
      </c>
      <c r="P80" t="inlineStr">
        <is>
          <t>67290bc06a6c180001edee60</t>
        </is>
      </c>
      <c r="Q80" t="inlineStr">
        <is>
          <t>🚫重复</t>
        </is>
      </c>
      <c r="R80" t="inlineStr">
        <is>
          <t>14周</t>
        </is>
      </c>
      <c r="S80" t="inlineStr">
        <is>
          <t>2.66</t>
        </is>
      </c>
      <c r="T80" t="inlineStr">
        <is>
          <t>服饰穿搭</t>
        </is>
      </c>
      <c r="U80" t="inlineStr">
        <is>
          <t>女装</t>
        </is>
      </c>
      <c r="V80" s="3">
        <v>46112.78107638889</v>
      </c>
      <c r="W80" t="inlineStr">
        <is>
          <t>2026-Q1</t>
        </is>
      </c>
    </row>
    <row r="81" ht="25.5" customHeight="1">
      <c r="A81" t="inlineStr">
        <is>
          <t>Mikiko娃娃脸老奶油蛋糕（白脱硬奶油）ButterCream</t>
        </is>
      </c>
      <c r="B81" t="inlineStr">
        <is>
          <t>recvdOJ3S2DVKx.jpg</t>
        </is>
      </c>
      <c r="C81" s="2" t="str">
        <f>=HYPERLINK("https://xhslink.com/m/8CJ3LSu2ajY", "https://xhslink.com/m/8CJ3LSu2ajY")</f>
        <v>https://xhslink.com/m/8CJ3LSu2ajY</v>
      </c>
      <c r="D81"/>
      <c r="E81">
        <v>96000</v>
      </c>
      <c r="F81">
        <v>56</v>
      </c>
      <c r="G81"/>
      <c r="H81">
        <v>1000</v>
      </c>
      <c r="I81" t="inlineStr">
        <is>
          <t>糕点</t>
        </is>
      </c>
      <c r="J81" t="inlineStr">
        <is>
          <t>0.01</t>
        </is>
      </c>
      <c r="K81"/>
      <c r="L81" t="inlineStr">
        <is>
          <t>Mikiko的店</t>
        </is>
      </c>
      <c r="M81">
        <v>48000</v>
      </c>
      <c r="N81">
        <v>4.58</v>
      </c>
      <c r="O81">
        <v>108000</v>
      </c>
      <c r="P81" t="inlineStr">
        <is>
          <t>6538bbbe236b460001d0ee85</t>
        </is>
      </c>
      <c r="Q81" t="inlineStr">
        <is>
          <t>🚫重复</t>
        </is>
      </c>
      <c r="R81" t="inlineStr">
        <is>
          <t>14周</t>
        </is>
      </c>
      <c r="S81" t="inlineStr">
        <is>
          <t>2.00</t>
        </is>
      </c>
      <c r="T81" t="inlineStr">
        <is>
          <t>美食滋补</t>
        </is>
      </c>
      <c r="U81" t="inlineStr">
        <is>
          <t>休闲零食</t>
        </is>
      </c>
      <c r="V81" s="3">
        <v>46112.78107638889</v>
      </c>
      <c r="W81" t="inlineStr">
        <is>
          <t>2026-Q1</t>
        </is>
      </c>
    </row>
    <row r="82" ht="25.5" customHeight="1">
      <c r="A82" t="inlineStr">
        <is>
          <t>NETST · 美白烟酰胺身体乳保湿美白润肤乳提亮肤色改善暗沉秋冬滋润不黏腻</t>
        </is>
      </c>
      <c r="B82" t="inlineStr">
        <is>
          <t>recvdRkif4l9GR.jpg</t>
        </is>
      </c>
      <c r="C82" s="2" t="str">
        <f>=HYPERLINK("https://xhslink.com/m/7VrdnjQRhlc", "https://xhslink.com/m/7VrdnjQRhlc")</f>
        <v>https://xhslink.com/m/7VrdnjQRhlc</v>
      </c>
      <c r="D82"/>
      <c r="E82">
        <v>3460</v>
      </c>
      <c r="F82">
        <v>99.9</v>
      </c>
      <c r="G82">
        <v>37.9</v>
      </c>
      <c r="H82">
        <v>1000</v>
      </c>
      <c r="I82" t="inlineStr">
        <is>
          <t>美白</t>
        </is>
      </c>
      <c r="J82" t="inlineStr">
        <is>
          <t>0.29</t>
        </is>
      </c>
      <c r="K82" t="inlineStr">
        <is>
          <t>🔥低粉爆款</t>
        </is>
      </c>
      <c r="L82" t="inlineStr">
        <is>
          <t>透白肌社的店</t>
        </is>
      </c>
      <c r="M82">
        <v>240</v>
      </c>
      <c r="N82">
        <v>4.44</v>
      </c>
      <c r="O82">
        <v>3569</v>
      </c>
      <c r="P82" t="inlineStr">
        <is>
          <t>696232b47d28460001512888</t>
        </is>
      </c>
      <c r="Q82" t="inlineStr">
        <is>
          <t>🚫重复</t>
        </is>
      </c>
      <c r="R82" t="inlineStr">
        <is>
          <t>14周</t>
        </is>
      </c>
      <c r="S82" t="inlineStr">
        <is>
          <t>14.42</t>
        </is>
      </c>
      <c r="T82" t="inlineStr">
        <is>
          <t>美妆个护</t>
        </is>
      </c>
      <c r="U82" t="inlineStr">
        <is>
          <t>个人护理</t>
        </is>
      </c>
      <c r="V82" s="3">
        <v>46112.78107638889</v>
      </c>
      <c r="W82" t="inlineStr">
        <is>
          <t>2026-Q1</t>
        </is>
      </c>
    </row>
    <row r="83" ht="25.5" customHeight="1">
      <c r="A83" t="inlineStr">
        <is>
          <t>现摘现发！正宗海南金钻凤梨！香甜多汁！海南热带新鲜水果！</t>
        </is>
      </c>
      <c r="B83" t="inlineStr">
        <is>
          <t>recvdUhmdaxG0W.jpg</t>
        </is>
      </c>
      <c r="C83" s="2" t="str">
        <f>=HYPERLINK("https://xhslink.com/m/8j2AHKCFoTf", "https://xhslink.com/m/8j2AHKCFoTf")</f>
        <v>https://xhslink.com/m/8j2AHKCFoTf</v>
      </c>
      <c r="D83"/>
      <c r="E83">
        <v>112000</v>
      </c>
      <c r="F83">
        <v>28.6</v>
      </c>
      <c r="G83">
        <v>14.6</v>
      </c>
      <c r="H83">
        <v>1000</v>
      </c>
      <c r="I83" t="inlineStr">
        <is>
          <t>夏季水果</t>
        </is>
      </c>
      <c r="J83" t="inlineStr">
        <is>
          <t>0.01</t>
        </is>
      </c>
      <c r="K83" t="inlineStr">
        <is>
          <t>🔥低粉爆款</t>
        </is>
      </c>
      <c r="L83" t="inlineStr">
        <is>
          <t>硕果鲜香（助农版）的店</t>
        </is>
      </c>
      <c r="M83">
        <v>2856</v>
      </c>
      <c r="N83">
        <v>4.48</v>
      </c>
      <c r="O83">
        <v>27000</v>
      </c>
      <c r="P83" t="inlineStr">
        <is>
          <t>6960ca0fe25fce00013111a3</t>
        </is>
      </c>
      <c r="Q83"/>
      <c r="R83" t="inlineStr">
        <is>
          <t>14周</t>
        </is>
      </c>
      <c r="S83" t="inlineStr">
        <is>
          <t>39.22</t>
        </is>
      </c>
      <c r="T83" t="inlineStr">
        <is>
          <t>美食滋补</t>
        </is>
      </c>
      <c r="U83" t="inlineStr">
        <is>
          <t>生鲜特产</t>
        </is>
      </c>
      <c r="V83" s="3">
        <v>46112.78107638889</v>
      </c>
      <c r="W83" t="inlineStr">
        <is>
          <t>2026-Q1</t>
        </is>
      </c>
    </row>
    <row r="84" ht="25.5" customHeight="1">
      <c r="A84" t="inlineStr">
        <is>
          <t>【正宗小米蕉】广西小米蕉新鲜水果软糯香甜现摘芭蕉产地直发包邮</t>
        </is>
      </c>
      <c r="B84" t="inlineStr">
        <is>
          <t>recvdUhmdad5As.jpg</t>
        </is>
      </c>
      <c r="C84" s="2" t="str">
        <f>=HYPERLINK("https://xhslink.com/m/3yzFurVmOVq", "https://xhslink.com/m/3yzFurVmOVq")</f>
        <v>https://xhslink.com/m/3yzFurVmOVq</v>
      </c>
      <c r="D84"/>
      <c r="E84">
        <v>3402</v>
      </c>
      <c r="F84">
        <v>16.8</v>
      </c>
      <c r="G84">
        <v>6.8</v>
      </c>
      <c r="H84">
        <v>1000</v>
      </c>
      <c r="I84" t="inlineStr">
        <is>
          <t>夏季水果</t>
        </is>
      </c>
      <c r="J84" t="inlineStr">
        <is>
          <t>0.29</t>
        </is>
      </c>
      <c r="K84" t="inlineStr">
        <is>
          <t>🔥低粉爆款</t>
        </is>
      </c>
      <c r="L84" t="inlineStr">
        <is>
          <t>青果青晨的店</t>
        </is>
      </c>
      <c r="M84">
        <v>53</v>
      </c>
      <c r="N84">
        <v>4.52</v>
      </c>
      <c r="O84">
        <v>42000</v>
      </c>
      <c r="P84" t="inlineStr">
        <is>
          <t>69ae993e70850a00015dd066</t>
        </is>
      </c>
      <c r="Q84" t="inlineStr">
        <is>
          <t>🚫重复</t>
        </is>
      </c>
      <c r="R84" t="inlineStr">
        <is>
          <t>14周</t>
        </is>
      </c>
      <c r="S84" t="inlineStr">
        <is>
          <t>64.19</t>
        </is>
      </c>
      <c r="T84" t="inlineStr">
        <is>
          <t>美食滋补</t>
        </is>
      </c>
      <c r="U84" t="inlineStr">
        <is>
          <t>生鲜特产</t>
        </is>
      </c>
      <c r="V84" s="3">
        <v>46112.78107638889</v>
      </c>
      <c r="W84" t="inlineStr">
        <is>
          <t>2026-Q1</t>
        </is>
      </c>
    </row>
    <row r="85" ht="25.5" customHeight="1">
      <c r="A85" t="inlineStr">
        <is>
          <t>Mikiko娃娃脸老奶油蛋糕（白脱硬奶油）ButterCream</t>
        </is>
      </c>
      <c r="B85" t="inlineStr">
        <is>
          <t>recvdWIhrw6T9M.jpg</t>
        </is>
      </c>
      <c r="C85" s="2" t="str">
        <f>=HYPERLINK("https://xhslink.com/m/63SqjCWbD5W", "https://xhslink.com/m/63SqjCWbD5W")</f>
        <v>https://xhslink.com/m/63SqjCWbD5W</v>
      </c>
      <c r="D85"/>
      <c r="E85">
        <v>96000</v>
      </c>
      <c r="F85">
        <v>52</v>
      </c>
      <c r="G85"/>
      <c r="H85">
        <v>1000</v>
      </c>
      <c r="I85" t="inlineStr">
        <is>
          <t>零食</t>
        </is>
      </c>
      <c r="J85" t="inlineStr">
        <is>
          <t>0.01</t>
        </is>
      </c>
      <c r="K85"/>
      <c r="L85" t="inlineStr">
        <is>
          <t>Mikiko的店</t>
        </is>
      </c>
      <c r="M85">
        <v>49000</v>
      </c>
      <c r="N85">
        <v>4.6</v>
      </c>
      <c r="O85">
        <v>109000</v>
      </c>
      <c r="P85" t="inlineStr">
        <is>
          <t>6538bbbe236b460001d0ee76</t>
        </is>
      </c>
      <c r="Q85" t="inlineStr">
        <is>
          <t>🚫重复</t>
        </is>
      </c>
      <c r="R85" t="inlineStr">
        <is>
          <t>14周</t>
        </is>
      </c>
      <c r="S85" t="inlineStr">
        <is>
          <t>1.96</t>
        </is>
      </c>
      <c r="T85" t="inlineStr">
        <is>
          <t>美食滋补</t>
        </is>
      </c>
      <c r="U85" t="inlineStr">
        <is>
          <t>休闲零食</t>
        </is>
      </c>
      <c r="V85" s="3">
        <v>46112.78107638889</v>
      </c>
      <c r="W85" t="inlineStr">
        <is>
          <t>2026-Q1</t>
        </is>
      </c>
    </row>
    <row r="86" ht="25.5" customHeight="1">
      <c r="A86" t="inlineStr">
        <is>
          <t>大头围春夏百搭遮阳渔夫帽子女韩版百搭休闲帽明星同款鸭舌盆帽</t>
        </is>
      </c>
      <c r="B86" t="inlineStr">
        <is>
          <t>recve0Cd8qqDYs.jpg</t>
        </is>
      </c>
      <c r="C86" s="2" t="str">
        <f>=HYPERLINK("https://xhslink.com/m/8zjIyZeyFKs", "https://xhslink.com/m/8zjIyZeyFKs")</f>
        <v>https://xhslink.com/m/8zjIyZeyFKs</v>
      </c>
      <c r="D86"/>
      <c r="E86">
        <v>10000</v>
      </c>
      <c r="F86">
        <v>36</v>
      </c>
      <c r="G86"/>
      <c r="H86">
        <v>1000</v>
      </c>
      <c r="I86" t="inlineStr">
        <is>
          <t>穿搭</t>
        </is>
      </c>
      <c r="J86" t="inlineStr">
        <is>
          <t>0.10</t>
        </is>
      </c>
      <c r="K86" t="inlineStr">
        <is>
          <t>🔥低粉爆款</t>
        </is>
      </c>
      <c r="L86" t="inlineStr">
        <is>
          <t>神秘帽号的店</t>
        </is>
      </c>
      <c r="M86">
        <v>2298</v>
      </c>
      <c r="N86">
        <v>4.57</v>
      </c>
      <c r="O86">
        <v>14000</v>
      </c>
      <c r="P86" t="inlineStr">
        <is>
          <t>65fada1c3403350001f8499f</t>
        </is>
      </c>
      <c r="Q86" t="inlineStr">
        <is>
          <t>🚫重复</t>
        </is>
      </c>
      <c r="R86" t="inlineStr">
        <is>
          <t>14周</t>
        </is>
      </c>
      <c r="S86" t="inlineStr">
        <is>
          <t>4.35</t>
        </is>
      </c>
      <c r="T86" t="inlineStr">
        <is>
          <t>服饰穿搭</t>
        </is>
      </c>
      <c r="U86" t="inlineStr">
        <is>
          <t>配饰</t>
        </is>
      </c>
      <c r="V86" s="3">
        <v>46112.78107638889</v>
      </c>
      <c r="W86" t="inlineStr">
        <is>
          <t>2026-Q1</t>
        </is>
      </c>
    </row>
    <row r="87" ht="25.5" customHeight="1">
      <c r="A87" t="inlineStr">
        <is>
          <t>【拍一发2】C深顶大头围字母棒球帽女遮阳百搭刺绣显脸小鸭舌帽</t>
        </is>
      </c>
      <c r="B87" t="inlineStr">
        <is>
          <t>recve0Cd8qS5Vf.jpg</t>
        </is>
      </c>
      <c r="C87" s="2" t="str">
        <f>=HYPERLINK("https://xhslink.com/m/9jKQ5ppDKEi", "https://xhslink.com/m/9jKQ5ppDKEi")</f>
        <v>https://xhslink.com/m/9jKQ5ppDKEi</v>
      </c>
      <c r="D87"/>
      <c r="E87">
        <v>651000</v>
      </c>
      <c r="F87">
        <v>29.9</v>
      </c>
      <c r="G87"/>
      <c r="H87">
        <v>1000</v>
      </c>
      <c r="I87" t="inlineStr">
        <is>
          <t>运动</t>
        </is>
      </c>
      <c r="J87" t="inlineStr">
        <is>
          <t>0.00</t>
        </is>
      </c>
      <c r="K87" t="inlineStr">
        <is>
          <t>🔥低粉爆款</t>
        </is>
      </c>
      <c r="L87" t="inlineStr">
        <is>
          <t>盖个帽儿总店铺的店</t>
        </is>
      </c>
      <c r="M87">
        <v>150000</v>
      </c>
      <c r="N87">
        <v>4.56</v>
      </c>
      <c r="O87">
        <v>1586000</v>
      </c>
      <c r="P87" t="inlineStr">
        <is>
          <t>6696482b76267a0001fe387b</t>
        </is>
      </c>
      <c r="Q87" t="inlineStr">
        <is>
          <t>🚫重复</t>
        </is>
      </c>
      <c r="R87" t="inlineStr">
        <is>
          <t>14周</t>
        </is>
      </c>
      <c r="S87" t="inlineStr">
        <is>
          <t>4.34</t>
        </is>
      </c>
      <c r="T87" t="inlineStr">
        <is>
          <t>运动潮玩</t>
        </is>
      </c>
      <c r="U87" t="inlineStr">
        <is>
          <t>运动户外装备</t>
        </is>
      </c>
      <c r="V87" s="3">
        <v>46112.78107638889</v>
      </c>
      <c r="W87" t="inlineStr">
        <is>
          <t>2026-Q1</t>
        </is>
      </c>
    </row>
    <row r="88" ht="25.5" customHeight="1">
      <c r="A88" t="inlineStr">
        <is>
          <t>【前1000单特价】双面磁吸手机支架学习追剧便携懒人桌面支架</t>
        </is>
      </c>
      <c r="B88" t="inlineStr">
        <is>
          <t>recve60dL6RZhb.jpg</t>
        </is>
      </c>
      <c r="C88" s="2" t="str">
        <f>=HYPERLINK("https://xhslink.com/m/8cC0DKxu0v", "https://xhslink.com/m/8cC0DKxu0v")</f>
        <v>https://xhslink.com/m/8cC0DKxu0v</v>
      </c>
      <c r="D88"/>
      <c r="E88">
        <v>41000</v>
      </c>
      <c r="F88">
        <v>78</v>
      </c>
      <c r="G88">
        <v>33.9</v>
      </c>
      <c r="H88">
        <v>1000</v>
      </c>
      <c r="I88" t="inlineStr">
        <is>
          <t>手机支架</t>
        </is>
      </c>
      <c r="J88" t="inlineStr">
        <is>
          <t>0.02</t>
        </is>
      </c>
      <c r="K88" t="inlineStr">
        <is>
          <t>🔥低粉爆款</t>
        </is>
      </c>
      <c r="L88" t="inlineStr">
        <is>
          <t>Oops条条的店</t>
        </is>
      </c>
      <c r="M88">
        <v>600</v>
      </c>
      <c r="N88">
        <v>4.64</v>
      </c>
      <c r="O88">
        <v>48000</v>
      </c>
      <c r="P88" t="inlineStr">
        <is>
          <t>68c16fd7f9d8290001a79720</t>
        </is>
      </c>
      <c r="Q88" t="inlineStr">
        <is>
          <t>🚫重复</t>
        </is>
      </c>
      <c r="R88" t="inlineStr">
        <is>
          <t>14周</t>
        </is>
      </c>
      <c r="S88" t="inlineStr">
        <is>
          <t>68.33</t>
        </is>
      </c>
      <c r="T88" t="inlineStr">
        <is>
          <t>数码家电</t>
        </is>
      </c>
      <c r="U88" t="inlineStr">
        <is>
          <t>数码配件</t>
        </is>
      </c>
      <c r="V88" s="3">
        <v>46112.78107638889</v>
      </c>
      <c r="W88" t="inlineStr">
        <is>
          <t>2026-Q1</t>
        </is>
      </c>
    </row>
    <row r="89" ht="25.5" customHeight="1">
      <c r="A89" t="inlineStr">
        <is>
          <t>【顺丰发货】唐山春雪水蜜桃脆甜多汁新鲜桃子果园直发</t>
        </is>
      </c>
      <c r="B89" t="inlineStr">
        <is>
          <t>recveckoIEOeyy.jpg</t>
        </is>
      </c>
      <c r="C89" s="2" t="str">
        <f>=HYPERLINK("https://xhslink.com/m/4n7C1sqllGp", "https://xhslink.com/m/4n7C1sqllGp")</f>
        <v>https://xhslink.com/m/4n7C1sqllGp</v>
      </c>
      <c r="D89"/>
      <c r="E89">
        <v>2407</v>
      </c>
      <c r="F89">
        <v>49.9</v>
      </c>
      <c r="G89">
        <v>19.9</v>
      </c>
      <c r="H89">
        <v>1000</v>
      </c>
      <c r="I89" t="inlineStr">
        <is>
          <t>水果</t>
        </is>
      </c>
      <c r="J89" t="inlineStr">
        <is>
          <t>0.42</t>
        </is>
      </c>
      <c r="K89" t="inlineStr">
        <is>
          <t>🔥低粉爆款</t>
        </is>
      </c>
      <c r="L89" t="inlineStr">
        <is>
          <t>唐山桃子姐🍑的店</t>
        </is>
      </c>
      <c r="M89">
        <v>148</v>
      </c>
      <c r="N89">
        <v>3.97</v>
      </c>
      <c r="O89">
        <v>2378</v>
      </c>
      <c r="P89" t="inlineStr">
        <is>
          <t>69aa8b643014430001bbf6c3</t>
        </is>
      </c>
      <c r="Q89"/>
      <c r="R89" t="inlineStr">
        <is>
          <t>14周</t>
        </is>
      </c>
      <c r="S89" t="inlineStr">
        <is>
          <t>16.26</t>
        </is>
      </c>
      <c r="T89" t="inlineStr">
        <is>
          <t>美食滋补</t>
        </is>
      </c>
      <c r="U89" t="inlineStr">
        <is>
          <t>生鲜特产</t>
        </is>
      </c>
      <c r="V89" s="3">
        <v>46112.78107638889</v>
      </c>
      <c r="W89" t="inlineStr">
        <is>
          <t>2026-Q1</t>
        </is>
      </c>
    </row>
    <row r="90" ht="25.5" customHeight="1">
      <c r="A90" t="inlineStr">
        <is>
          <t>AFJKL · 大U遮副乳自带罩杯女士背心高弹舒适柔软亲肤简约百搭时尚美背吊</t>
        </is>
      </c>
      <c r="B90" t="inlineStr">
        <is>
          <t>recved8o2Do5Vo.jpg</t>
        </is>
      </c>
      <c r="C90" s="2" t="str">
        <f>=HYPERLINK("https://xhslink.com/m/9xTxXIHYTnE", "https://xhslink.com/m/9xTxXIHYTnE")</f>
        <v>https://xhslink.com/m/9xTxXIHYTnE</v>
      </c>
      <c r="D90"/>
      <c r="E90">
        <v>93000</v>
      </c>
      <c r="F90">
        <v>69</v>
      </c>
      <c r="G90"/>
      <c r="H90">
        <v>1000</v>
      </c>
      <c r="I90" t="inlineStr">
        <is>
          <t>吊带内搭</t>
        </is>
      </c>
      <c r="J90" t="inlineStr">
        <is>
          <t>0.01</t>
        </is>
      </c>
      <c r="K90"/>
      <c r="L90" t="inlineStr">
        <is>
          <t>AFJKL旗舰店</t>
        </is>
      </c>
      <c r="M90">
        <v>90000</v>
      </c>
      <c r="N90">
        <v>4.5</v>
      </c>
      <c r="O90">
        <v>253000</v>
      </c>
      <c r="P90" t="inlineStr">
        <is>
          <t>67922345f4d65700018c8a0b</t>
        </is>
      </c>
      <c r="Q90"/>
      <c r="R90" t="inlineStr">
        <is>
          <t>14周</t>
        </is>
      </c>
      <c r="S90" t="inlineStr">
        <is>
          <t>1.03</t>
        </is>
      </c>
      <c r="T90" t="inlineStr">
        <is>
          <t>服饰穿搭</t>
        </is>
      </c>
      <c r="U90" t="inlineStr">
        <is>
          <t>女装</t>
        </is>
      </c>
      <c r="V90" s="3">
        <v>46112.78107638889</v>
      </c>
      <c r="W90" t="inlineStr">
        <is>
          <t>2026-Q1</t>
        </is>
      </c>
    </row>
    <row r="91" ht="25.5" customHeight="1">
      <c r="A91" t="inlineStr">
        <is>
          <t>【顺丰特快/空运】云南蓝莓抚仙湖蓝莓高山蓝莓25号花香蓝莓</t>
        </is>
      </c>
      <c r="B91" t="inlineStr">
        <is>
          <t>recvei9USZtOoZ.jpg</t>
        </is>
      </c>
      <c r="C91" s="2" t="str">
        <f>=HYPERLINK("https://xhslink.com/m/82WrA9q1keF", "https://xhslink.com/m/82WrA9q1keF")</f>
        <v>https://xhslink.com/m/82WrA9q1keF</v>
      </c>
      <c r="D91"/>
      <c r="E91">
        <v>425000</v>
      </c>
      <c r="F91">
        <v>43.8</v>
      </c>
      <c r="G91"/>
      <c r="H91">
        <v>1000</v>
      </c>
      <c r="I91" t="inlineStr">
        <is>
          <t>水果</t>
        </is>
      </c>
      <c r="J91" t="inlineStr">
        <is>
          <t>0.00</t>
        </is>
      </c>
      <c r="K91"/>
      <c r="L91" t="inlineStr">
        <is>
          <t>洋洋乡村生活~的店</t>
        </is>
      </c>
      <c r="M91">
        <v>146000</v>
      </c>
      <c r="N91">
        <v>4.62</v>
      </c>
      <c r="O91">
        <v>1773000</v>
      </c>
      <c r="P91" t="inlineStr">
        <is>
          <t>679ce086bac2510001a5fcec</t>
        </is>
      </c>
      <c r="Q91" t="inlineStr">
        <is>
          <t>🚫重复</t>
        </is>
      </c>
      <c r="R91" t="inlineStr">
        <is>
          <t>14周</t>
        </is>
      </c>
      <c r="S91" t="inlineStr">
        <is>
          <t>2.91</t>
        </is>
      </c>
      <c r="T91" t="inlineStr">
        <is>
          <t>美食滋补</t>
        </is>
      </c>
      <c r="U91" t="inlineStr">
        <is>
          <t>生鲜特产</t>
        </is>
      </c>
      <c r="V91" s="3">
        <v>46112.78107638889</v>
      </c>
      <c r="W91" t="inlineStr">
        <is>
          <t>2026-Q1</t>
        </is>
      </c>
    </row>
    <row r="92" ht="25.5" customHeight="1">
      <c r="A92" t="inlineStr">
        <is>
          <t>圆圆呀aaa__｛现货48小时内发｝3厘米绸缎高级高跟气质女鞋</t>
        </is>
      </c>
      <c r="B92" t="inlineStr">
        <is>
          <t>recvekduUIVzRt.jpg</t>
        </is>
      </c>
      <c r="C92" s="2" t="str">
        <f>=HYPERLINK("https://xhslink.com/m/3yiZbZbmFfr", "https://xhslink.com/m/3yiZbZbmFfr")</f>
        <v>https://xhslink.com/m/3yiZbZbmFfr</v>
      </c>
      <c r="D92"/>
      <c r="E92">
        <v>11000</v>
      </c>
      <c r="F92">
        <v>180</v>
      </c>
      <c r="G92">
        <v>132</v>
      </c>
      <c r="H92">
        <v>1000</v>
      </c>
      <c r="I92" t="inlineStr">
        <is>
          <t>鞋靴</t>
        </is>
      </c>
      <c r="J92" t="inlineStr">
        <is>
          <t>0.09</t>
        </is>
      </c>
      <c r="K92"/>
      <c r="L92" t="inlineStr">
        <is>
          <t>圆圆呀aaa__的店</t>
        </is>
      </c>
      <c r="M92">
        <v>11000</v>
      </c>
      <c r="N92">
        <v>4.61</v>
      </c>
      <c r="O92">
        <v>46000</v>
      </c>
      <c r="P92" t="inlineStr">
        <is>
          <t>69526ffbac83a2000166d9be</t>
        </is>
      </c>
      <c r="Q92" t="inlineStr">
        <is>
          <t>🚫重复</t>
        </is>
      </c>
      <c r="R92" t="inlineStr">
        <is>
          <t>14周</t>
        </is>
      </c>
      <c r="S92" t="inlineStr">
        <is>
          <t>1.00</t>
        </is>
      </c>
      <c r="T92" t="inlineStr">
        <is>
          <t>服饰穿搭</t>
        </is>
      </c>
      <c r="U92" t="inlineStr">
        <is>
          <t>鞋靴箱包</t>
        </is>
      </c>
      <c r="V92" s="3">
        <v>46112.78107638889</v>
      </c>
      <c r="W92" t="inlineStr">
        <is>
          <t>2026-Q1</t>
        </is>
      </c>
    </row>
    <row r="93" ht="25.5" customHeight="1">
      <c r="A93" t="inlineStr">
        <is>
          <t>egg. 鸡蛋家天丝羊毛巨好穿的软糯弹力打底百搭打底衫T恤女</t>
        </is>
      </c>
      <c r="B93" t="inlineStr">
        <is>
          <t>recveqrflnWcYR.jpg</t>
        </is>
      </c>
      <c r="C93" s="2" t="str">
        <f>=HYPERLINK("https://xhslink.com/m/LAGUSazEOF", "https://xhslink.com/m/LAGUSazEOF")</f>
        <v>https://xhslink.com/m/LAGUSazEOF</v>
      </c>
      <c r="D93"/>
      <c r="E93">
        <v>52000</v>
      </c>
      <c r="F93">
        <v>109</v>
      </c>
      <c r="G93">
        <v>89.9</v>
      </c>
      <c r="H93">
        <v>1000</v>
      </c>
      <c r="I93" t="inlineStr">
        <is>
          <t>T恤</t>
        </is>
      </c>
      <c r="J93" t="inlineStr">
        <is>
          <t>0.02</t>
        </is>
      </c>
      <c r="K93" t="inlineStr">
        <is>
          <t>🔥低粉爆款</t>
        </is>
      </c>
      <c r="L93" t="inlineStr">
        <is>
          <t>泡菜小富婆的店</t>
        </is>
      </c>
      <c r="M93">
        <v>6038</v>
      </c>
      <c r="N93">
        <v>4.69</v>
      </c>
      <c r="O93">
        <v>58000</v>
      </c>
      <c r="P93" t="inlineStr">
        <is>
          <t>6884d9574daa710001b1b3d3</t>
        </is>
      </c>
      <c r="Q93"/>
      <c r="R93" t="inlineStr">
        <is>
          <t>14周</t>
        </is>
      </c>
      <c r="S93" t="inlineStr">
        <is>
          <t>8.61</t>
        </is>
      </c>
      <c r="T93" t="inlineStr">
        <is>
          <t>服饰穿搭</t>
        </is>
      </c>
      <c r="U93" t="inlineStr">
        <is>
          <t>女装</t>
        </is>
      </c>
      <c r="V93" s="3">
        <v>46112.78107638889</v>
      </c>
      <c r="W93" t="inlineStr">
        <is>
          <t>2026-Q1</t>
        </is>
      </c>
    </row>
    <row r="94" ht="25.5" customHeight="1">
      <c r="A94" t="inlineStr">
        <is>
          <t>egg.鸡蛋家天丝羊毛巨好穿的软糯弹力打底百搭打底衫T恤女</t>
        </is>
      </c>
      <c r="B94" t="inlineStr">
        <is>
          <t>recveqrflnVMAH.jpg</t>
        </is>
      </c>
      <c r="C94" s="2" t="str">
        <f>=HYPERLINK("https://xhslink.com/m/8ENDYljUggs", "https://xhslink.com/m/8ENDYljUggs")</f>
        <v>https://xhslink.com/m/8ENDYljUggs</v>
      </c>
      <c r="D94"/>
      <c r="E94">
        <v>63000</v>
      </c>
      <c r="F94">
        <v>129.9</v>
      </c>
      <c r="G94">
        <v>89.9</v>
      </c>
      <c r="H94">
        <v>1000</v>
      </c>
      <c r="I94" t="inlineStr">
        <is>
          <t>T恤</t>
        </is>
      </c>
      <c r="J94" t="inlineStr">
        <is>
          <t>0.02</t>
        </is>
      </c>
      <c r="K94" t="inlineStr">
        <is>
          <t>🔥低粉爆款</t>
        </is>
      </c>
      <c r="L94" t="inlineStr">
        <is>
          <t>桑高娜的店</t>
        </is>
      </c>
      <c r="M94">
        <v>6602</v>
      </c>
      <c r="N94">
        <v>4.7</v>
      </c>
      <c r="O94">
        <v>81000</v>
      </c>
      <c r="P94" t="inlineStr">
        <is>
          <t>68e3df4753446d0001e28e69</t>
        </is>
      </c>
      <c r="Q94" t="inlineStr">
        <is>
          <t>🚫重复</t>
        </is>
      </c>
      <c r="R94" t="inlineStr">
        <is>
          <t>14周</t>
        </is>
      </c>
      <c r="S94" t="inlineStr">
        <is>
          <t>9.54</t>
        </is>
      </c>
      <c r="T94" t="inlineStr">
        <is>
          <t>服饰穿搭</t>
        </is>
      </c>
      <c r="U94" t="inlineStr">
        <is>
          <t>女装</t>
        </is>
      </c>
      <c r="V94" s="3">
        <v>46112.78107638889</v>
      </c>
      <c r="W94" t="inlineStr">
        <is>
          <t>2026-Q1</t>
        </is>
      </c>
    </row>
    <row r="95" ht="25.5" customHeight="1">
      <c r="A95" t="inlineStr">
        <is>
          <t>【莫名其妙吃了一番茄·落肩短袖】搞怪纯棉印花男女同款短袖T恤</t>
        </is>
      </c>
      <c r="B95" t="inlineStr">
        <is>
          <t>recveqrflnGtLr.jpg</t>
        </is>
      </c>
      <c r="C95" s="2" t="str">
        <f>=HYPERLINK("https://xhslink.com/m/7Msm48NurUb", "https://xhslink.com/m/7Msm48NurUb")</f>
        <v>https://xhslink.com/m/7Msm48NurUb</v>
      </c>
      <c r="D95"/>
      <c r="E95">
        <v>2161</v>
      </c>
      <c r="F95">
        <v>38.9</v>
      </c>
      <c r="G95">
        <v>34.23</v>
      </c>
      <c r="H95">
        <v>1000</v>
      </c>
      <c r="I95" t="inlineStr">
        <is>
          <t>T恤</t>
        </is>
      </c>
      <c r="J95" t="inlineStr">
        <is>
          <t>0.46</t>
        </is>
      </c>
      <c r="K95"/>
      <c r="L95" t="inlineStr">
        <is>
          <t>小Y手绘衣坊的店</t>
        </is>
      </c>
      <c r="M95">
        <v>768</v>
      </c>
      <c r="N95">
        <v>4.76</v>
      </c>
      <c r="O95">
        <v>7041</v>
      </c>
      <c r="P95" t="inlineStr">
        <is>
          <t>69ad764b970f000001fc2094</t>
        </is>
      </c>
      <c r="Q95" t="inlineStr">
        <is>
          <t>🚫重复</t>
        </is>
      </c>
      <c r="R95" t="inlineStr">
        <is>
          <t>14周</t>
        </is>
      </c>
      <c r="S95" t="inlineStr">
        <is>
          <t>2.81</t>
        </is>
      </c>
      <c r="T95" t="inlineStr">
        <is>
          <t>服饰穿搭</t>
        </is>
      </c>
      <c r="U95" t="inlineStr">
        <is>
          <t>女装</t>
        </is>
      </c>
      <c r="V95" s="3">
        <v>46112.78107638889</v>
      </c>
      <c r="W95" t="inlineStr">
        <is>
          <t>2026-Q1</t>
        </is>
      </c>
    </row>
    <row r="96" ht="25.5" customHeight="1">
      <c r="A96" t="inlineStr">
        <is>
          <t>柔丝绒衬衫 新款氛围感多巴胺色系百搭衬衣上衣女</t>
        </is>
      </c>
      <c r="B96" t="inlineStr">
        <is>
          <t>recveqrflnaZ7S.jpg</t>
        </is>
      </c>
      <c r="C96" s="2" t="str">
        <f>=HYPERLINK("https://xhslink.com/m/68qZ2rFNhx9", "https://xhslink.com/m/68qZ2rFNhx9")</f>
        <v>https://xhslink.com/m/68qZ2rFNhx9</v>
      </c>
      <c r="D96"/>
      <c r="E96">
        <v>14000</v>
      </c>
      <c r="F96">
        <v>89</v>
      </c>
      <c r="G96">
        <v>86</v>
      </c>
      <c r="H96">
        <v>1000</v>
      </c>
      <c r="I96" t="inlineStr">
        <is>
          <t>T恤</t>
        </is>
      </c>
      <c r="J96" t="inlineStr">
        <is>
          <t>0.07</t>
        </is>
      </c>
      <c r="K96"/>
      <c r="L96" t="inlineStr">
        <is>
          <t>土豆啵啵的店</t>
        </is>
      </c>
      <c r="M96">
        <v>20000</v>
      </c>
      <c r="N96">
        <v>4.57</v>
      </c>
      <c r="O96">
        <v>62000</v>
      </c>
      <c r="P96" t="inlineStr">
        <is>
          <t>653b21bd842ba6000178b339</t>
        </is>
      </c>
      <c r="Q96"/>
      <c r="R96" t="inlineStr">
        <is>
          <t>14周</t>
        </is>
      </c>
      <c r="S96" t="inlineStr">
        <is>
          <t>0.70</t>
        </is>
      </c>
      <c r="T96" t="inlineStr">
        <is>
          <t>服饰穿搭</t>
        </is>
      </c>
      <c r="U96" t="inlineStr">
        <is>
          <t>女装</t>
        </is>
      </c>
      <c r="V96" s="3">
        <v>46112.78107638889</v>
      </c>
      <c r="W96" t="inlineStr">
        <is>
          <t>2026-Q1</t>
        </is>
      </c>
    </row>
    <row r="97" ht="25.5" customHeight="1">
      <c r="A97" t="inlineStr">
        <is>
          <t>复活款~升级2.0版!(巨好穿)韩系v领打底针织衫毛衣内搭上衣女秋冬</t>
        </is>
      </c>
      <c r="B97" t="inlineStr">
        <is>
          <t>recveqrflnxSKj.jpg</t>
        </is>
      </c>
      <c r="C97" s="2" t="str">
        <f>=HYPERLINK("https://xhslink.com/m/7oPuz50A1lC", "https://xhslink.com/m/7oPuz50A1lC")</f>
        <v>https://xhslink.com/m/7oPuz50A1lC</v>
      </c>
      <c r="D97"/>
      <c r="E97">
        <v>251000</v>
      </c>
      <c r="F97">
        <v>39.9</v>
      </c>
      <c r="G97"/>
      <c r="H97">
        <v>1000</v>
      </c>
      <c r="I97" t="inlineStr">
        <is>
          <t>T恤</t>
        </is>
      </c>
      <c r="J97" t="inlineStr">
        <is>
          <t>0.00</t>
        </is>
      </c>
      <c r="K97" t="inlineStr">
        <is>
          <t>🔥低粉爆款</t>
        </is>
      </c>
      <c r="L97" t="inlineStr">
        <is>
          <t>海鸥服装厂的店</t>
        </is>
      </c>
      <c r="M97">
        <v>77000</v>
      </c>
      <c r="N97">
        <v>4.46</v>
      </c>
      <c r="O97">
        <v>1003000</v>
      </c>
      <c r="P97" t="inlineStr">
        <is>
          <t>68d5efdcc630ec0001c4b3a1</t>
        </is>
      </c>
      <c r="Q97" t="inlineStr">
        <is>
          <t>🚫重复</t>
        </is>
      </c>
      <c r="R97" t="inlineStr">
        <is>
          <t>14周</t>
        </is>
      </c>
      <c r="S97" t="inlineStr">
        <is>
          <t>3.26</t>
        </is>
      </c>
      <c r="T97" t="inlineStr">
        <is>
          <t>服饰穿搭</t>
        </is>
      </c>
      <c r="U97" t="inlineStr">
        <is>
          <t>女装</t>
        </is>
      </c>
      <c r="V97" s="3">
        <v>46112.78107638889</v>
      </c>
      <c r="W97" t="inlineStr">
        <is>
          <t>2026-Q1</t>
        </is>
      </c>
    </row>
    <row r="98" ht="25.5" customHeight="1">
      <c r="A98" t="inlineStr">
        <is>
          <t>【棉质系列】圆领抗菌沙漏腰正肩短袖显瘦运动健身t恤春夏</t>
        </is>
      </c>
      <c r="B98" t="inlineStr">
        <is>
          <t>recveqrfln4PXm.jpg</t>
        </is>
      </c>
      <c r="C98" s="2" t="str">
        <f>=HYPERLINK("https://xhslink.com/m/9RUiESmvXVR", "https://xhslink.com/m/9RUiESmvXVR")</f>
        <v>https://xhslink.com/m/9RUiESmvXVR</v>
      </c>
      <c r="D98"/>
      <c r="E98">
        <v>12000</v>
      </c>
      <c r="F98">
        <v>139</v>
      </c>
      <c r="G98">
        <v>69</v>
      </c>
      <c r="H98">
        <v>1000</v>
      </c>
      <c r="I98" t="inlineStr">
        <is>
          <t>T恤</t>
        </is>
      </c>
      <c r="J98" t="inlineStr">
        <is>
          <t>0.08</t>
        </is>
      </c>
      <c r="K98"/>
      <c r="L98" t="inlineStr">
        <is>
          <t>淋了个鱼的店</t>
        </is>
      </c>
      <c r="M98">
        <v>15000</v>
      </c>
      <c r="N98">
        <v>4.7</v>
      </c>
      <c r="O98">
        <v>153000</v>
      </c>
      <c r="P98" t="inlineStr">
        <is>
          <t>67de78a5e317a30001768b8a</t>
        </is>
      </c>
      <c r="Q98" t="inlineStr">
        <is>
          <t>🚫重复</t>
        </is>
      </c>
      <c r="R98" t="inlineStr">
        <is>
          <t>14周</t>
        </is>
      </c>
      <c r="S98" t="inlineStr">
        <is>
          <t>0.80</t>
        </is>
      </c>
      <c r="T98" t="inlineStr">
        <is>
          <t>服饰穿搭</t>
        </is>
      </c>
      <c r="U98" t="inlineStr">
        <is>
          <t>女装</t>
        </is>
      </c>
      <c r="V98" s="3">
        <v>46112.78107638889</v>
      </c>
      <c r="W98" t="inlineStr">
        <is>
          <t>2026-Q1</t>
        </is>
      </c>
    </row>
    <row r="99" ht="25.5" customHeight="1">
      <c r="A99" t="inlineStr">
        <is>
          <t>圆领自制款~(真的好好穿!!)纯色圆领针织衫毛衣内搭打底衫上衣女</t>
        </is>
      </c>
      <c r="B99" t="inlineStr">
        <is>
          <t>recveqrfln7hOb.jpg</t>
        </is>
      </c>
      <c r="C99" s="2" t="str">
        <f>=HYPERLINK("https://xhslink.com/m/ASkuW6FX8Ft", "https://xhslink.com/m/ASkuW6FX8Ft")</f>
        <v>https://xhslink.com/m/ASkuW6FX8Ft</v>
      </c>
      <c r="D99"/>
      <c r="E99">
        <v>133000</v>
      </c>
      <c r="F99">
        <v>39.9</v>
      </c>
      <c r="G99"/>
      <c r="H99">
        <v>1000</v>
      </c>
      <c r="I99" t="inlineStr">
        <is>
          <t>T恤</t>
        </is>
      </c>
      <c r="J99" t="inlineStr">
        <is>
          <t>0.01</t>
        </is>
      </c>
      <c r="K99"/>
      <c r="L99" t="inlineStr">
        <is>
          <t>海鸥服装厂的店</t>
        </is>
      </c>
      <c r="M99">
        <v>77000</v>
      </c>
      <c r="N99">
        <v>4.46</v>
      </c>
      <c r="O99">
        <v>1003000</v>
      </c>
      <c r="P99" t="inlineStr">
        <is>
          <t>68f30c64e3794300012d18d5</t>
        </is>
      </c>
      <c r="Q99" t="inlineStr">
        <is>
          <t>🚫重复</t>
        </is>
      </c>
      <c r="R99" t="inlineStr">
        <is>
          <t>14周</t>
        </is>
      </c>
      <c r="S99" t="inlineStr">
        <is>
          <t>1.73</t>
        </is>
      </c>
      <c r="T99" t="inlineStr">
        <is>
          <t>服饰穿搭</t>
        </is>
      </c>
      <c r="U99" t="inlineStr">
        <is>
          <t>女装</t>
        </is>
      </c>
      <c r="V99" s="3">
        <v>46112.78107638889</v>
      </c>
      <c r="W99" t="inlineStr">
        <is>
          <t>2026-Q1</t>
        </is>
      </c>
    </row>
    <row r="100" ht="25.5" customHeight="1">
      <c r="A100" t="inlineStr">
        <is>
          <t>舒适薄款小清新少女内衣品牌清仓盲盒3件装！贴身衣物不退不换</t>
        </is>
      </c>
      <c r="B100" t="inlineStr">
        <is>
          <t>recveqrflnWJUu.jpg</t>
        </is>
      </c>
      <c r="C100" s="2" t="str">
        <f>=HYPERLINK("https://xhslink.com/m/AHyNkQBb6u8", "https://xhslink.com/m/AHyNkQBb6u8")</f>
        <v>https://xhslink.com/m/AHyNkQBb6u8</v>
      </c>
      <c r="D100"/>
      <c r="E100">
        <v>42000</v>
      </c>
      <c r="F100">
        <v>79.9</v>
      </c>
      <c r="G100">
        <v>49.9</v>
      </c>
      <c r="H100">
        <v>1000</v>
      </c>
      <c r="I100" t="inlineStr">
        <is>
          <t>内衣</t>
        </is>
      </c>
      <c r="J100" t="inlineStr">
        <is>
          <t>0.02</t>
        </is>
      </c>
      <c r="K100" t="inlineStr">
        <is>
          <t>🔥低粉爆款</t>
        </is>
      </c>
      <c r="L100" t="inlineStr">
        <is>
          <t>柚美里物Youmei的店</t>
        </is>
      </c>
      <c r="M100">
        <v>8691</v>
      </c>
      <c r="N100">
        <v>4.55</v>
      </c>
      <c r="O100">
        <v>54000</v>
      </c>
      <c r="P100" t="inlineStr">
        <is>
          <t>695226be110a7f0001534af8</t>
        </is>
      </c>
      <c r="Q100"/>
      <c r="R100" t="inlineStr">
        <is>
          <t>14周</t>
        </is>
      </c>
      <c r="S100" t="inlineStr">
        <is>
          <t>4.83</t>
        </is>
      </c>
      <c r="T100" t="inlineStr">
        <is>
          <t>运动潮玩</t>
        </is>
      </c>
      <c r="U100" t="inlineStr">
        <is>
          <t>潮玩手办</t>
        </is>
      </c>
      <c r="V100" s="3">
        <v>46112.78107638889</v>
      </c>
      <c r="W100" t="inlineStr">
        <is>
          <t>2026-Q1</t>
        </is>
      </c>
    </row>
    <row r="101" ht="25.5" customHeight="1">
      <c r="A101" t="inlineStr">
        <is>
          <t>【一颗发财树】汽车摆件微观创意仿真苔藓小树摆件家居桌面摆件</t>
        </is>
      </c>
      <c r="B101" t="inlineStr">
        <is>
          <t>recveqrflnOovL.jpg</t>
        </is>
      </c>
      <c r="C101" s="2" t="str">
        <f>=HYPERLINK("https://xhslink.com/m/4pdyB3jyfFr", "https://xhslink.com/m/4pdyB3jyfFr")</f>
        <v>https://xhslink.com/m/4pdyB3jyfFr</v>
      </c>
      <c r="D101"/>
      <c r="E101">
        <v>1488</v>
      </c>
      <c r="F101">
        <v>9.99</v>
      </c>
      <c r="G101"/>
      <c r="H101">
        <v>1000</v>
      </c>
      <c r="I101" t="inlineStr">
        <is>
          <t>摆件</t>
        </is>
      </c>
      <c r="J101" t="inlineStr">
        <is>
          <t>0.67</t>
        </is>
      </c>
      <c r="K101"/>
      <c r="L101" t="inlineStr">
        <is>
          <t>SANMXE 三木雪的店</t>
        </is>
      </c>
      <c r="M101">
        <v>2176</v>
      </c>
      <c r="N101">
        <v>4.61</v>
      </c>
      <c r="O101">
        <v>84000</v>
      </c>
      <c r="P101" t="inlineStr">
        <is>
          <t>69b3d7335e5f050001193b26</t>
        </is>
      </c>
      <c r="Q101"/>
      <c r="R101" t="inlineStr">
        <is>
          <t>14周</t>
        </is>
      </c>
      <c r="S101" t="inlineStr">
        <is>
          <t>0.68</t>
        </is>
      </c>
      <c r="T101" t="inlineStr">
        <is>
          <t>家居生活</t>
        </is>
      </c>
      <c r="U101" t="inlineStr">
        <is>
          <t>家具家装</t>
        </is>
      </c>
      <c r="V101" s="3">
        <v>46112.78107638889</v>
      </c>
      <c r="W101" t="inlineStr">
        <is>
          <t>2026-Q1</t>
        </is>
      </c>
    </row>
    <row r="102" ht="25.5" customHeight="1">
      <c r="A102" t="inlineStr">
        <is>
          <t>瑜伽服运动速干衣女健身房跑步训练T恤紧身短袖上衣套装修身背心</t>
        </is>
      </c>
      <c r="B102" t="inlineStr">
        <is>
          <t>recveqrflnBTlj.jpg</t>
        </is>
      </c>
      <c r="C102" s="2" t="str">
        <f>=HYPERLINK("https://xhslink.com/m/8JY3VRm0I0I", "https://xhslink.com/m/8JY3VRm0I0I")</f>
        <v>https://xhslink.com/m/8JY3VRm0I0I</v>
      </c>
      <c r="D102"/>
      <c r="E102">
        <v>21000</v>
      </c>
      <c r="F102">
        <v>59</v>
      </c>
      <c r="G102">
        <v>39</v>
      </c>
      <c r="H102">
        <v>1000</v>
      </c>
      <c r="I102" t="inlineStr">
        <is>
          <t>瑜伽健身</t>
        </is>
      </c>
      <c r="J102" t="inlineStr">
        <is>
          <t>0.05</t>
        </is>
      </c>
      <c r="K102" t="inlineStr">
        <is>
          <t>🔥低粉爆款</t>
        </is>
      </c>
      <c r="L102" t="inlineStr">
        <is>
          <t>韵宝Yoga的店</t>
        </is>
      </c>
      <c r="M102">
        <v>1769</v>
      </c>
      <c r="N102">
        <v>4.65</v>
      </c>
      <c r="O102">
        <v>31000</v>
      </c>
      <c r="P102" t="inlineStr">
        <is>
          <t>6858a797d67cc200011fe1bc</t>
        </is>
      </c>
      <c r="Q102" t="inlineStr">
        <is>
          <t>🚫重复</t>
        </is>
      </c>
      <c r="R102" t="inlineStr">
        <is>
          <t>14周</t>
        </is>
      </c>
      <c r="S102" t="inlineStr">
        <is>
          <t>11.87</t>
        </is>
      </c>
      <c r="T102" t="inlineStr">
        <is>
          <t>服饰穿搭</t>
        </is>
      </c>
      <c r="U102" t="inlineStr">
        <is>
          <t>女装</t>
        </is>
      </c>
      <c r="V102" s="3">
        <v>46112.78107638889</v>
      </c>
      <c r="W102" t="inlineStr">
        <is>
          <t>2026-Q1</t>
        </is>
      </c>
    </row>
    <row r="103" ht="25.5" customHeight="1">
      <c r="A103" t="inlineStr">
        <is>
          <t>美式春夏慵懒风垂感裤 休闲弹力裤 宽松直筒显瘦拖地裤</t>
        </is>
      </c>
      <c r="B103" t="inlineStr">
        <is>
          <t>recveqrflnkuNu.jpg</t>
        </is>
      </c>
      <c r="C103" s="2" t="str">
        <f>=HYPERLINK("https://xhslink.com/m/5Cyu74gCH6S", "https://xhslink.com/m/5Cyu74gCH6S")</f>
        <v>https://xhslink.com/m/5Cyu74gCH6S</v>
      </c>
      <c r="D103"/>
      <c r="E103">
        <v>182000</v>
      </c>
      <c r="F103">
        <v>69.9</v>
      </c>
      <c r="G103"/>
      <c r="H103">
        <v>1000</v>
      </c>
      <c r="I103" t="inlineStr">
        <is>
          <t>休闲裤</t>
        </is>
      </c>
      <c r="J103" t="inlineStr">
        <is>
          <t>0.01</t>
        </is>
      </c>
      <c r="K103"/>
      <c r="L103" t="inlineStr">
        <is>
          <t>小鹅学姐穿搭的店的店</t>
        </is>
      </c>
      <c r="M103">
        <v>229000</v>
      </c>
      <c r="N103">
        <v>4.39</v>
      </c>
      <c r="O103">
        <v>1482000</v>
      </c>
      <c r="P103" t="inlineStr">
        <is>
          <t>681717fcdd59fa00016d63ba</t>
        </is>
      </c>
      <c r="Q103" t="inlineStr">
        <is>
          <t>🚫重复</t>
        </is>
      </c>
      <c r="R103" t="inlineStr">
        <is>
          <t>14周</t>
        </is>
      </c>
      <c r="S103" t="inlineStr">
        <is>
          <t>0.79</t>
        </is>
      </c>
      <c r="T103" t="inlineStr">
        <is>
          <t>服饰穿搭</t>
        </is>
      </c>
      <c r="U103" t="inlineStr">
        <is>
          <t>女装</t>
        </is>
      </c>
      <c r="V103" s="3">
        <v>46112.78107638889</v>
      </c>
      <c r="W103" t="inlineStr">
        <is>
          <t>2026-Q1</t>
        </is>
      </c>
    </row>
    <row r="104" ht="25.5" customHeight="1">
      <c r="A104" t="inlineStr">
        <is>
          <t>克丽安 · 韩国进口CROWN苹果味夹心华夫饼干办公室休闲食品解馋零食</t>
        </is>
      </c>
      <c r="B104" t="inlineStr">
        <is>
          <t>recveqrfln7V6Q.jpg</t>
        </is>
      </c>
      <c r="C104" s="2" t="str">
        <f>=HYPERLINK("https://xhslink.com/m/AIyEPMRslNn", "https://xhslink.com/m/AIyEPMRslNn")</f>
        <v>https://xhslink.com/m/AIyEPMRslNn</v>
      </c>
      <c r="D104"/>
      <c r="E104">
        <v>8066</v>
      </c>
      <c r="F104">
        <v>36.9</v>
      </c>
      <c r="G104">
        <v>16.9</v>
      </c>
      <c r="H104">
        <v>1000</v>
      </c>
      <c r="I104" t="inlineStr">
        <is>
          <t>零食</t>
        </is>
      </c>
      <c r="J104" t="inlineStr">
        <is>
          <t>0.12</t>
        </is>
      </c>
      <c r="K104"/>
      <c r="L104" t="inlineStr">
        <is>
          <t>拉面口袋的店</t>
        </is>
      </c>
      <c r="M104">
        <v>163000</v>
      </c>
      <c r="N104">
        <v>4.51</v>
      </c>
      <c r="O104">
        <v>406000</v>
      </c>
      <c r="P104" t="inlineStr">
        <is>
          <t>690ef5a42fdb7c00019330b3</t>
        </is>
      </c>
      <c r="Q104" t="inlineStr">
        <is>
          <t>🚫重复</t>
        </is>
      </c>
      <c r="R104" t="inlineStr">
        <is>
          <t>14周</t>
        </is>
      </c>
      <c r="S104" t="inlineStr">
        <is>
          <t>0.05</t>
        </is>
      </c>
      <c r="T104" t="inlineStr">
        <is>
          <t>美食滋补</t>
        </is>
      </c>
      <c r="U104" t="inlineStr">
        <is>
          <t>休闲零食</t>
        </is>
      </c>
      <c r="V104" s="3">
        <v>46112.78107638889</v>
      </c>
      <c r="W104" t="inlineStr">
        <is>
          <t>2026-Q1</t>
        </is>
      </c>
    </row>
    <row r="105" ht="25.5" customHeight="1">
      <c r="A105" t="inlineStr">
        <is>
          <t>【现货】小陪伴猫猫日常盲盒办公室桌面摆件可爱女生生日礼物</t>
        </is>
      </c>
      <c r="B105" t="inlineStr">
        <is>
          <t>recveqrflnu5yN.jpg</t>
        </is>
      </c>
      <c r="C105" s="2" t="str">
        <f>=HYPERLINK("https://xhslink.com/m/5Fri5E70UJ", "https://xhslink.com/m/5Fri5E70UJ")</f>
        <v>https://xhslink.com/m/5Fri5E70UJ</v>
      </c>
      <c r="D105"/>
      <c r="E105">
        <v>52000</v>
      </c>
      <c r="F105">
        <v>28.8</v>
      </c>
      <c r="G105"/>
      <c r="H105">
        <v>1000</v>
      </c>
      <c r="I105" t="inlineStr">
        <is>
          <t>摆件</t>
        </is>
      </c>
      <c r="J105" t="inlineStr">
        <is>
          <t>0.02</t>
        </is>
      </c>
      <c r="K105" t="inlineStr">
        <is>
          <t>🔥低粉爆款</t>
        </is>
      </c>
      <c r="L105" t="inlineStr">
        <is>
          <t>咪咪使者的店</t>
        </is>
      </c>
      <c r="M105">
        <v>7241</v>
      </c>
      <c r="N105">
        <v>4.65</v>
      </c>
      <c r="O105">
        <v>67000</v>
      </c>
      <c r="P105" t="inlineStr">
        <is>
          <t>693501087a38a600016470d9</t>
        </is>
      </c>
      <c r="Q105" t="inlineStr">
        <is>
          <t>🚫重复</t>
        </is>
      </c>
      <c r="R105" t="inlineStr">
        <is>
          <t>14周</t>
        </is>
      </c>
      <c r="S105" t="inlineStr">
        <is>
          <t>7.18</t>
        </is>
      </c>
      <c r="T105" t="inlineStr">
        <is>
          <t>家居生活</t>
        </is>
      </c>
      <c r="U105" t="inlineStr">
        <is>
          <t>家具家装</t>
        </is>
      </c>
      <c r="V105" s="3">
        <v>46112.78107638889</v>
      </c>
      <c r="W105" t="inlineStr">
        <is>
          <t>2026-Q1</t>
        </is>
      </c>
    </row>
    <row r="106" ht="25.5" customHeight="1">
      <c r="A106" t="inlineStr">
        <is>
          <t>半山音 · 升级短款ACE女团假睫毛加宽梗清透根根分明透明梗韩系自然仿真9mm</t>
        </is>
      </c>
      <c r="B106" t="inlineStr">
        <is>
          <t>recveyWM0otd0h.jpg</t>
        </is>
      </c>
      <c r="C106" s="2" t="str">
        <f>=HYPERLINK("https://xhslink.com/m/2LiyeCw4GJB", "https://xhslink.com/m/2LiyeCw4GJB")</f>
        <v>https://xhslink.com/m/2LiyeCw4GJB</v>
      </c>
      <c r="D106"/>
      <c r="E106">
        <v>305000</v>
      </c>
      <c r="F106">
        <v>13.5</v>
      </c>
      <c r="G106"/>
      <c r="H106">
        <v>1000</v>
      </c>
      <c r="I106" t="inlineStr">
        <is>
          <t>美妆</t>
        </is>
      </c>
      <c r="J106" t="inlineStr">
        <is>
          <t>0.00</t>
        </is>
      </c>
      <c r="K106" t="inlineStr">
        <is>
          <t>🔥低粉爆款</t>
        </is>
      </c>
      <c r="L106" t="inlineStr">
        <is>
          <t>半山音假睫毛的店</t>
        </is>
      </c>
      <c r="M106">
        <v>76000</v>
      </c>
      <c r="N106">
        <v>4.62</v>
      </c>
      <c r="O106">
        <v>1738000</v>
      </c>
      <c r="P106" t="inlineStr">
        <is>
          <t>675661c1ada65900010b6efd</t>
        </is>
      </c>
      <c r="Q106" t="inlineStr">
        <is>
          <t>🚫重复</t>
        </is>
      </c>
      <c r="R106" t="inlineStr">
        <is>
          <t>14周</t>
        </is>
      </c>
      <c r="S106" t="inlineStr">
        <is>
          <t>4.01</t>
        </is>
      </c>
      <c r="T106" t="inlineStr">
        <is>
          <t>美妆个护</t>
        </is>
      </c>
      <c r="U106" t="inlineStr">
        <is>
          <t>护肤彩妆</t>
        </is>
      </c>
      <c r="V106" s="3">
        <v>46112.78107638889</v>
      </c>
      <c r="W106" t="inlineStr">
        <is>
          <t>2026-Q1</t>
        </is>
      </c>
    </row>
    <row r="107" ht="25.5" customHeight="1">
      <c r="A107" t="inlineStr">
        <is>
          <t>兔奶奶 · T28白月光韩系Jennie同款眼尾拉长千禧辣妹日常卷翘小烟熏假睫毛</t>
        </is>
      </c>
      <c r="B107" t="inlineStr">
        <is>
          <t>recveyWM0oFpqh.jpg</t>
        </is>
      </c>
      <c r="C107" s="2" t="str">
        <f>=HYPERLINK("https://xhslink.com/m/1AFkAhdyYbn", "https://xhslink.com/m/1AFkAhdyYbn")</f>
        <v>https://xhslink.com/m/1AFkAhdyYbn</v>
      </c>
      <c r="D107"/>
      <c r="E107">
        <v>108000</v>
      </c>
      <c r="F107">
        <v>10.8</v>
      </c>
      <c r="G107"/>
      <c r="H107">
        <v>1000</v>
      </c>
      <c r="I107" t="inlineStr">
        <is>
          <t>美妆</t>
        </is>
      </c>
      <c r="J107" t="inlineStr">
        <is>
          <t>0.01</t>
        </is>
      </c>
      <c r="K107"/>
      <c r="L107" t="inlineStr">
        <is>
          <t>兔奶奶🧡贵妇猫假睫毛的店</t>
        </is>
      </c>
      <c r="M107">
        <v>52000</v>
      </c>
      <c r="N107">
        <v>4.58</v>
      </c>
      <c r="O107">
        <v>1085000</v>
      </c>
      <c r="P107" t="inlineStr">
        <is>
          <t>6870a71e44854600018e7f1d</t>
        </is>
      </c>
      <c r="Q107"/>
      <c r="R107" t="inlineStr">
        <is>
          <t>14周</t>
        </is>
      </c>
      <c r="S107" t="inlineStr">
        <is>
          <t>2.08</t>
        </is>
      </c>
      <c r="T107" t="inlineStr">
        <is>
          <t>美妆个护</t>
        </is>
      </c>
      <c r="U107" t="inlineStr">
        <is>
          <t>护肤彩妆</t>
        </is>
      </c>
      <c r="V107" s="3">
        <v>46112.78107638889</v>
      </c>
      <c r="W107" t="inlineStr">
        <is>
          <t>2026-Q1</t>
        </is>
      </c>
    </row>
    <row r="108" ht="25.5" customHeight="1">
      <c r="A108" t="inlineStr">
        <is>
          <t>圆圆呀aaa__细闪绸缎高跟鞋气质优雅通勤女鞋</t>
        </is>
      </c>
      <c r="B108" t="inlineStr">
        <is>
          <t>recveyWM0oSONh.jpg</t>
        </is>
      </c>
      <c r="C108" s="2" t="str">
        <f>=HYPERLINK("https://xhslink.com/m/9WAy1EeeTBQ", "https://xhslink.com/m/9WAy1EeeTBQ")</f>
        <v>https://xhslink.com/m/9WAy1EeeTBQ</v>
      </c>
      <c r="D108"/>
      <c r="E108">
        <v>24000</v>
      </c>
      <c r="F108">
        <v>185</v>
      </c>
      <c r="G108">
        <v>152</v>
      </c>
      <c r="H108">
        <v>1000</v>
      </c>
      <c r="I108" t="inlineStr">
        <is>
          <t>单鞋</t>
        </is>
      </c>
      <c r="J108" t="inlineStr">
        <is>
          <t>0.04</t>
        </is>
      </c>
      <c r="K108"/>
      <c r="L108" t="inlineStr">
        <is>
          <t>圆圆呀aaa__的店</t>
        </is>
      </c>
      <c r="M108">
        <v>11000</v>
      </c>
      <c r="N108">
        <v>4.61</v>
      </c>
      <c r="O108">
        <v>48000</v>
      </c>
      <c r="P108" t="inlineStr">
        <is>
          <t>6903833ee0dd170001161d64</t>
        </is>
      </c>
      <c r="Q108" t="inlineStr">
        <is>
          <t>🚫重复</t>
        </is>
      </c>
      <c r="R108" t="inlineStr">
        <is>
          <t>14周</t>
        </is>
      </c>
      <c r="S108" t="inlineStr">
        <is>
          <t>2.18</t>
        </is>
      </c>
      <c r="T108" t="inlineStr">
        <is>
          <t>服饰穿搭</t>
        </is>
      </c>
      <c r="U108" t="inlineStr">
        <is>
          <t>鞋靴箱包</t>
        </is>
      </c>
      <c r="V108" s="3">
        <v>46112.78107638889</v>
      </c>
      <c r="W108" t="inlineStr">
        <is>
          <t>2026-Q1</t>
        </is>
      </c>
    </row>
    <row r="109" ht="25.5" customHeight="1">
      <c r="A109" t="inlineStr">
        <is>
          <t>兮草记 · 【佛手柑柠檬】温和植物花果香洗发皂| 老师傅手工研磨|赠起泡网</t>
        </is>
      </c>
      <c r="B109" t="inlineStr">
        <is>
          <t>recveyWM0o99L3.jpg</t>
        </is>
      </c>
      <c r="C109" s="2" t="str">
        <f>=HYPERLINK("https://xhslink.com/m/42FqrwEpNwv", "https://xhslink.com/m/42FqrwEpNwv")</f>
        <v>https://xhslink.com/m/42FqrwEpNwv</v>
      </c>
      <c r="D109"/>
      <c r="E109">
        <v>773</v>
      </c>
      <c r="F109">
        <v>26.8</v>
      </c>
      <c r="G109"/>
      <c r="H109">
        <v>1000</v>
      </c>
      <c r="I109" t="inlineStr">
        <is>
          <t>头发护理</t>
        </is>
      </c>
      <c r="J109" t="inlineStr">
        <is>
          <t>1.29</t>
        </is>
      </c>
      <c r="K109"/>
      <c r="L109" t="inlineStr">
        <is>
          <t>Abeeer熊崽工作室的店</t>
        </is>
      </c>
      <c r="M109">
        <v>6953</v>
      </c>
      <c r="N109">
        <v>4.44</v>
      </c>
      <c r="O109">
        <v>264000</v>
      </c>
      <c r="P109" t="inlineStr">
        <is>
          <t>69ae4073f209ba0001f1680d</t>
        </is>
      </c>
      <c r="Q109" t="inlineStr">
        <is>
          <t>🚫重复</t>
        </is>
      </c>
      <c r="R109" t="inlineStr">
        <is>
          <t>14周</t>
        </is>
      </c>
      <c r="S109" t="inlineStr">
        <is>
          <t>0.11</t>
        </is>
      </c>
      <c r="T109" t="inlineStr">
        <is>
          <t>美妆个护</t>
        </is>
      </c>
      <c r="U109" t="inlineStr">
        <is>
          <t>个人护理</t>
        </is>
      </c>
      <c r="V109" s="3">
        <v>46112.78107638889</v>
      </c>
      <c r="W109" t="inlineStr">
        <is>
          <t>2026-Q1</t>
        </is>
      </c>
    </row>
    <row r="110" ht="25.5" customHeight="1">
      <c r="A110" t="inlineStr">
        <is>
          <t>圣诞树开瓶器家用磁吸冰箱贴多功能省力开罐器拉易拉罐</t>
        </is>
      </c>
      <c r="B110" t="inlineStr">
        <is>
          <t>recveyWM0ocLIs.jpg</t>
        </is>
      </c>
      <c r="C110" s="2" t="str">
        <f>=HYPERLINK("https://xhslink.com/m/1LwiMw0nlRi", "https://xhslink.com/m/1LwiMw0nlRi")</f>
        <v>https://xhslink.com/m/1LwiMw0nlRi</v>
      </c>
      <c r="D110"/>
      <c r="E110">
        <v>6001</v>
      </c>
      <c r="F110">
        <v>29.9</v>
      </c>
      <c r="G110">
        <v>19.9</v>
      </c>
      <c r="H110">
        <v>1000</v>
      </c>
      <c r="I110" t="inlineStr">
        <is>
          <t>日用品</t>
        </is>
      </c>
      <c r="J110" t="inlineStr">
        <is>
          <t>0.17</t>
        </is>
      </c>
      <c r="K110"/>
      <c r="L110" t="inlineStr">
        <is>
          <t>我是静静吖的店</t>
        </is>
      </c>
      <c r="M110">
        <v>207000</v>
      </c>
      <c r="N110">
        <v>4.71</v>
      </c>
      <c r="O110">
        <v>1021000</v>
      </c>
      <c r="P110" t="inlineStr">
        <is>
          <t>697da46028de74001506957e</t>
        </is>
      </c>
      <c r="Q110" t="inlineStr">
        <is>
          <t>🚫重复</t>
        </is>
      </c>
      <c r="R110" t="inlineStr">
        <is>
          <t>14周</t>
        </is>
      </c>
      <c r="S110" t="inlineStr">
        <is>
          <t>0.03</t>
        </is>
      </c>
      <c r="T110" t="inlineStr">
        <is>
          <t>数码家电</t>
        </is>
      </c>
      <c r="U110" t="inlineStr">
        <is>
          <t>大家电</t>
        </is>
      </c>
      <c r="V110" s="3">
        <v>46112.78107638889</v>
      </c>
      <c r="W110" t="inlineStr">
        <is>
          <t>2026-Q1</t>
        </is>
      </c>
    </row>
    <row r="111" ht="25.5" customHeight="1">
      <c r="A111" t="inlineStr">
        <is>
          <t>【小葵•制梳】何首乌草本天然手工经络梳养发梳合香梳</t>
        </is>
      </c>
      <c r="B111" t="inlineStr">
        <is>
          <t>recveyWM0oGdHL.jpg</t>
        </is>
      </c>
      <c r="C111" s="2" t="str">
        <f>=HYPERLINK("https://xhslink.com/m/5e0UUnxEVY9", "https://xhslink.com/m/5e0UUnxEVY9")</f>
        <v>https://xhslink.com/m/5e0UUnxEVY9</v>
      </c>
      <c r="D111"/>
      <c r="E111">
        <v>230000</v>
      </c>
      <c r="F111">
        <v>59.8</v>
      </c>
      <c r="G111">
        <v>19.8</v>
      </c>
      <c r="H111">
        <v>1000</v>
      </c>
      <c r="I111" t="inlineStr">
        <is>
          <t>实用好物</t>
        </is>
      </c>
      <c r="J111" t="inlineStr">
        <is>
          <t>0.00</t>
        </is>
      </c>
      <c r="K111" t="inlineStr">
        <is>
          <t>🔥低粉爆款</t>
        </is>
      </c>
      <c r="L111" t="inlineStr">
        <is>
          <t>Puree小葵工作室的店</t>
        </is>
      </c>
      <c r="M111">
        <v>39000</v>
      </c>
      <c r="N111">
        <v>4.59</v>
      </c>
      <c r="O111">
        <v>300000</v>
      </c>
      <c r="P111" t="inlineStr">
        <is>
          <t>68e8a4ae53446d0001fc8bae</t>
        </is>
      </c>
      <c r="Q111" t="inlineStr">
        <is>
          <t>🚫重复</t>
        </is>
      </c>
      <c r="R111" t="inlineStr">
        <is>
          <t>14周</t>
        </is>
      </c>
      <c r="S111" t="inlineStr">
        <is>
          <t>5.90</t>
        </is>
      </c>
      <c r="T111" t="inlineStr">
        <is>
          <t>美妆个护</t>
        </is>
      </c>
      <c r="U111" t="inlineStr">
        <is>
          <t>个人护理</t>
        </is>
      </c>
      <c r="V111" s="3">
        <v>46112.78107638889</v>
      </c>
      <c r="W111" t="inlineStr">
        <is>
          <t>2026-Q1</t>
        </is>
      </c>
    </row>
    <row r="112" ht="25.5" customHeight="1">
      <c r="A112" t="inlineStr">
        <is>
          <t>前600单特价！双面磁吸手机支架合金材质桌面支架赠磁吸环</t>
        </is>
      </c>
      <c r="B112" t="inlineStr">
        <is>
          <t>recveyWM0op2GV.jpg</t>
        </is>
      </c>
      <c r="C112" s="2" t="str">
        <f>=HYPERLINK("https://xhslink.com/m/5JLxPgleSBg", "https://xhslink.com/m/5JLxPgleSBg")</f>
        <v>https://xhslink.com/m/5JLxPgleSBg</v>
      </c>
      <c r="D112"/>
      <c r="E112">
        <v>36000</v>
      </c>
      <c r="F112">
        <v>34.9</v>
      </c>
      <c r="G112">
        <v>32.9</v>
      </c>
      <c r="H112">
        <v>1000</v>
      </c>
      <c r="I112" t="inlineStr">
        <is>
          <t>实用好物</t>
        </is>
      </c>
      <c r="J112" t="inlineStr">
        <is>
          <t>0.03</t>
        </is>
      </c>
      <c r="K112" t="inlineStr">
        <is>
          <t>🔥低粉爆款</t>
        </is>
      </c>
      <c r="L112" t="inlineStr">
        <is>
          <t>可可乐乐儿的店</t>
        </is>
      </c>
      <c r="M112">
        <v>1396</v>
      </c>
      <c r="N112">
        <v>4.59</v>
      </c>
      <c r="O112">
        <v>38000</v>
      </c>
      <c r="P112" t="inlineStr">
        <is>
          <t>68dcd192b56f160001be07fd</t>
        </is>
      </c>
      <c r="Q112" t="inlineStr">
        <is>
          <t>🚫重复</t>
        </is>
      </c>
      <c r="R112" t="inlineStr">
        <is>
          <t>14周</t>
        </is>
      </c>
      <c r="S112" t="inlineStr">
        <is>
          <t>25.79</t>
        </is>
      </c>
      <c r="T112" t="inlineStr">
        <is>
          <t>数码家电</t>
        </is>
      </c>
      <c r="U112" t="inlineStr">
        <is>
          <t>数码配件</t>
        </is>
      </c>
      <c r="V112" s="3">
        <v>46112.78107638889</v>
      </c>
      <c r="W112" t="inlineStr">
        <is>
          <t>2026-Q1</t>
        </is>
      </c>
    </row>
    <row r="113" ht="25.5" customHeight="1">
      <c r="A113" t="inlineStr">
        <is>
          <t>爱物极物 · 小扫把腮红刷上妆腮红膏清透自然美妆刷子坡面粉底刷软毛化妆刷</t>
        </is>
      </c>
      <c r="B113" t="inlineStr">
        <is>
          <t>recveyWM0oWFyN.jpg</t>
        </is>
      </c>
      <c r="C113" s="2" t="str">
        <f>=HYPERLINK("https://xhslink.com/m/2HUv5mYD6fN", "https://xhslink.com/m/2HUv5mYD6fN")</f>
        <v>https://xhslink.com/m/2HUv5mYD6fN</v>
      </c>
      <c r="D113"/>
      <c r="E113">
        <v>312000</v>
      </c>
      <c r="F113">
        <v>16.9</v>
      </c>
      <c r="G113">
        <v>14.87</v>
      </c>
      <c r="H113">
        <v>1000</v>
      </c>
      <c r="I113" t="inlineStr">
        <is>
          <t>实用好物</t>
        </is>
      </c>
      <c r="J113" t="inlineStr">
        <is>
          <t>0.00</t>
        </is>
      </c>
      <c r="K113" t="inlineStr">
        <is>
          <t>🔥低粉爆款</t>
        </is>
      </c>
      <c r="L113" t="inlineStr">
        <is>
          <t>爱物极物旗舰店</t>
        </is>
      </c>
      <c r="M113">
        <v>55000</v>
      </c>
      <c r="N113">
        <v>4.82</v>
      </c>
      <c r="O113">
        <v>2103000</v>
      </c>
      <c r="P113" t="inlineStr">
        <is>
          <t>66921681e7b33d000133b7ca</t>
        </is>
      </c>
      <c r="Q113" t="inlineStr">
        <is>
          <t>🚫重复</t>
        </is>
      </c>
      <c r="R113" t="inlineStr">
        <is>
          <t>14周</t>
        </is>
      </c>
      <c r="S113" t="inlineStr">
        <is>
          <t>5.67</t>
        </is>
      </c>
      <c r="T113" t="inlineStr">
        <is>
          <t>美妆个护</t>
        </is>
      </c>
      <c r="U113" t="inlineStr">
        <is>
          <t>护肤彩妆</t>
        </is>
      </c>
      <c r="V113" s="3">
        <v>46112.78107638889</v>
      </c>
      <c r="W113" t="inlineStr">
        <is>
          <t>2026-Q1</t>
        </is>
      </c>
    </row>
    <row r="114" ht="25.5" customHeight="1">
      <c r="A114" t="inlineStr">
        <is>
          <t>东方食何 · 江阴刀鱼馄饨（12个/盒）</t>
        </is>
      </c>
      <c r="B114" t="inlineStr">
        <is>
          <t>recveyWM0ofE8d.jpg</t>
        </is>
      </c>
      <c r="C114" s="2" t="str">
        <f>=HYPERLINK("https://xhslink.com/m/AaVCGi4OSXC", "https://xhslink.com/m/AaVCGi4OSXC")</f>
        <v>https://xhslink.com/m/AaVCGi4OSXC</v>
      </c>
      <c r="D114"/>
      <c r="E114">
        <v>2638</v>
      </c>
      <c r="F114">
        <v>299</v>
      </c>
      <c r="G114"/>
      <c r="H114">
        <v>1000</v>
      </c>
      <c r="I114" t="inlineStr">
        <is>
          <t>早餐</t>
        </is>
      </c>
      <c r="J114" t="inlineStr">
        <is>
          <t>0.38</t>
        </is>
      </c>
      <c r="K114" t="inlineStr">
        <is>
          <t>🔥低粉爆款</t>
        </is>
      </c>
      <c r="L114" t="inlineStr">
        <is>
          <t>东方食何旗舰店</t>
        </is>
      </c>
      <c r="M114">
        <v>208</v>
      </c>
      <c r="N114">
        <v>4.53</v>
      </c>
      <c r="O114">
        <v>2714</v>
      </c>
      <c r="P114" t="inlineStr">
        <is>
          <t>67d1373052503c000169941f</t>
        </is>
      </c>
      <c r="Q114"/>
      <c r="R114" t="inlineStr">
        <is>
          <t>14周</t>
        </is>
      </c>
      <c r="S114" t="inlineStr">
        <is>
          <t>12.68</t>
        </is>
      </c>
      <c r="T114" t="inlineStr">
        <is>
          <t>美食滋补</t>
        </is>
      </c>
      <c r="U114" t="inlineStr">
        <is>
          <t>休闲零食</t>
        </is>
      </c>
      <c r="V114" s="3">
        <v>46112.78107638889</v>
      </c>
      <c r="W114" t="inlineStr">
        <is>
          <t>2026-Q1</t>
        </is>
      </c>
    </row>
    <row r="115" ht="25.5" customHeight="1">
      <c r="A115" t="inlineStr">
        <is>
          <t>甜心少女香蕉夹月光波点撞色发夹蝴蝶结发夹甜美少女心百搭高马尾 · 米色</t>
        </is>
      </c>
      <c r="B115" t="inlineStr">
        <is>
          <t>recveCblQ95TUm.jpg</t>
        </is>
      </c>
      <c r="C115" s="2" t="str">
        <f>=HYPERLINK("https://xhslink.com/m/5FFqnOhKjWZ", "https://xhslink.com/m/5FFqnOhKjWZ")</f>
        <v>https://xhslink.com/m/5FFqnOhKjWZ</v>
      </c>
      <c r="D115"/>
      <c r="E115">
        <v>59000</v>
      </c>
      <c r="F115">
        <v>24.8</v>
      </c>
      <c r="G115">
        <v>14.8</v>
      </c>
      <c r="H115">
        <v>1000</v>
      </c>
      <c r="I115" t="inlineStr">
        <is>
          <t>发卡</t>
        </is>
      </c>
      <c r="J115" t="inlineStr">
        <is>
          <t>0.02</t>
        </is>
      </c>
      <c r="K115"/>
      <c r="L115" t="inlineStr">
        <is>
          <t>fairy mu的店的店</t>
        </is>
      </c>
      <c r="M115">
        <v>46000</v>
      </c>
      <c r="N115">
        <v>4.54</v>
      </c>
      <c r="O115">
        <v>334000</v>
      </c>
      <c r="P115" t="inlineStr">
        <is>
          <t>69631f5faae29400013d0fcc</t>
        </is>
      </c>
      <c r="Q115" t="inlineStr">
        <is>
          <t>🚫重复</t>
        </is>
      </c>
      <c r="R115" t="inlineStr">
        <is>
          <t>14周</t>
        </is>
      </c>
      <c r="S115" t="inlineStr">
        <is>
          <t>1.28</t>
        </is>
      </c>
      <c r="T115" t="inlineStr">
        <is>
          <t>服饰穿搭</t>
        </is>
      </c>
      <c r="U115" t="inlineStr">
        <is>
          <t>配饰</t>
        </is>
      </c>
      <c r="V115" s="3">
        <v>46112.78107638889</v>
      </c>
      <c r="W115" t="inlineStr">
        <is>
          <t>2026-Q1</t>
        </is>
      </c>
    </row>
    <row r="116" ht="25.5" customHeight="1">
      <c r="A116" t="inlineStr">
        <is>
          <t>小个子梨形身材美式复古宽松阔腿裤设计感口袋百搭显瘦弯刀牛仔裤</t>
        </is>
      </c>
      <c r="B116" t="inlineStr">
        <is>
          <t>recveCblQ9XpmS.jpg</t>
        </is>
      </c>
      <c r="C116" s="2" t="str">
        <f>=HYPERLINK("https://xhslink.com/m/3sdBni8LbUt", "https://xhslink.com/m/3sdBni8LbUt")</f>
        <v>https://xhslink.com/m/3sdBni8LbUt</v>
      </c>
      <c r="D116"/>
      <c r="E116">
        <v>34000</v>
      </c>
      <c r="F116">
        <v>218</v>
      </c>
      <c r="G116">
        <v>98</v>
      </c>
      <c r="H116">
        <v>1000</v>
      </c>
      <c r="I116" t="inlineStr">
        <is>
          <t>牛仔裤</t>
        </is>
      </c>
      <c r="J116" t="inlineStr">
        <is>
          <t>0.03</t>
        </is>
      </c>
      <c r="K116" t="inlineStr">
        <is>
          <t>🔥低粉爆款</t>
        </is>
      </c>
      <c r="L116" t="inlineStr">
        <is>
          <t>郑源源的店</t>
        </is>
      </c>
      <c r="M116">
        <v>742</v>
      </c>
      <c r="N116">
        <v>4.62</v>
      </c>
      <c r="O116">
        <v>41000</v>
      </c>
      <c r="P116" t="inlineStr">
        <is>
          <t>68d93b30d3eed20001e963f2</t>
        </is>
      </c>
      <c r="Q116" t="inlineStr">
        <is>
          <t>🚫重复</t>
        </is>
      </c>
      <c r="R116" t="inlineStr">
        <is>
          <t>14周</t>
        </is>
      </c>
      <c r="S116" t="inlineStr">
        <is>
          <t>45.82</t>
        </is>
      </c>
      <c r="T116" t="inlineStr">
        <is>
          <t>服饰穿搭</t>
        </is>
      </c>
      <c r="U116" t="inlineStr">
        <is>
          <t>女装</t>
        </is>
      </c>
      <c r="V116" s="3">
        <v>46112.78107638889</v>
      </c>
      <c r="W116" t="inlineStr">
        <is>
          <t>2026-Q1</t>
        </is>
      </c>
    </row>
    <row r="117" ht="25.5" customHeight="1">
      <c r="A117" t="inlineStr">
        <is>
          <t>甜心少女香蕉夹月光波点撞色发夹蝴蝶结发夹甜美少女心百搭高马尾</t>
        </is>
      </c>
      <c r="B117" t="inlineStr">
        <is>
          <t>recveCblQ9YIzw.jpg</t>
        </is>
      </c>
      <c r="C117" s="2" t="str">
        <f>=HYPERLINK("https://xhslink.com/m/7Ow8e7INlYc", "https://xhslink.com/m/7Ow8e7INlYc")</f>
        <v>https://xhslink.com/m/7Ow8e7INlYc</v>
      </c>
      <c r="D117"/>
      <c r="E117">
        <v>59000</v>
      </c>
      <c r="F117">
        <v>24.8</v>
      </c>
      <c r="G117">
        <v>14.8</v>
      </c>
      <c r="H117">
        <v>1000</v>
      </c>
      <c r="I117" t="inlineStr">
        <is>
          <t>发夹</t>
        </is>
      </c>
      <c r="J117" t="inlineStr">
        <is>
          <t>0.02</t>
        </is>
      </c>
      <c r="K117"/>
      <c r="L117" t="inlineStr">
        <is>
          <t>fairy mu的店的店</t>
        </is>
      </c>
      <c r="M117">
        <v>46000</v>
      </c>
      <c r="N117">
        <v>4.54</v>
      </c>
      <c r="O117">
        <v>334000</v>
      </c>
      <c r="P117" t="inlineStr">
        <is>
          <t>69631f5faae29400013d0fcf</t>
        </is>
      </c>
      <c r="Q117" t="inlineStr">
        <is>
          <t>🚫重复</t>
        </is>
      </c>
      <c r="R117" t="inlineStr">
        <is>
          <t>14周</t>
        </is>
      </c>
      <c r="S117" t="inlineStr">
        <is>
          <t>1.28</t>
        </is>
      </c>
      <c r="T117" t="inlineStr">
        <is>
          <t>服饰穿搭</t>
        </is>
      </c>
      <c r="U117" t="inlineStr">
        <is>
          <t>配饰</t>
        </is>
      </c>
      <c r="V117" s="3">
        <v>46112.78107638889</v>
      </c>
      <c r="W117" t="inlineStr">
        <is>
          <t>2026-Q1</t>
        </is>
      </c>
    </row>
    <row r="118" ht="25.5" customHeight="1">
      <c r="A118" t="inlineStr">
        <is>
          <t>【限时冲量9.9包邮一箱】黑芝麻杂粮坚果全麦面包五黑椰蓉欧包</t>
        </is>
      </c>
      <c r="B118" t="inlineStr">
        <is>
          <t>recveKOBkWTz55.jpg</t>
        </is>
      </c>
      <c r="C118" s="2" t="str">
        <f>=HYPERLINK("https://xhslink.com/m/3HTOGc75wv6", "https://xhslink.com/m/3HTOGc75wv6")</f>
        <v>https://xhslink.com/m/3HTOGc75wv6</v>
      </c>
      <c r="D118"/>
      <c r="E118">
        <v>3365</v>
      </c>
      <c r="F118">
        <v>21.9</v>
      </c>
      <c r="G118">
        <v>11.9</v>
      </c>
      <c r="H118">
        <v>1000</v>
      </c>
      <c r="I118" t="inlineStr">
        <is>
          <t>早八</t>
        </is>
      </c>
      <c r="J118" t="inlineStr">
        <is>
          <t>0.30</t>
        </is>
      </c>
      <c r="K118" t="inlineStr">
        <is>
          <t>🔥低粉爆款</t>
        </is>
      </c>
      <c r="L118" t="inlineStr">
        <is>
          <t>半甜集序的店</t>
        </is>
      </c>
      <c r="M118">
        <v>336</v>
      </c>
      <c r="N118">
        <v>4.71</v>
      </c>
      <c r="O118">
        <v>5800</v>
      </c>
      <c r="P118" t="inlineStr">
        <is>
          <t>69a3d3aa63db6a00151a2cb0</t>
        </is>
      </c>
      <c r="Q118" t="inlineStr">
        <is>
          <t>🚫重复</t>
        </is>
      </c>
      <c r="R118" t="inlineStr">
        <is>
          <t>14周</t>
        </is>
      </c>
      <c r="S118" t="inlineStr">
        <is>
          <t>10.01</t>
        </is>
      </c>
      <c r="T118" t="inlineStr">
        <is>
          <t>美食滋补</t>
        </is>
      </c>
      <c r="U118" t="inlineStr">
        <is>
          <t>休闲零食</t>
        </is>
      </c>
      <c r="V118" s="3">
        <v>46112.78107638889</v>
      </c>
      <c r="W118" t="inlineStr">
        <is>
          <t>2026-Q1</t>
        </is>
      </c>
    </row>
    <row r="119" ht="25.5" customHeight="1">
      <c r="A119" t="inlineStr">
        <is>
          <t>小个子梨形身材美式复古宽松阔腿裤设计感口袋百搭显瘦弯刀牛仔裤</t>
        </is>
      </c>
      <c r="B119" t="inlineStr">
        <is>
          <t>recveKOBkWhRw9.jpg</t>
        </is>
      </c>
      <c r="C119" s="2" t="str">
        <f>=HYPERLINK("https://xhslink.com/m/3HO9fVgYjq5", "https://xhslink.com/m/3HO9fVgYjq5")</f>
        <v>https://xhslink.com/m/3HO9fVgYjq5</v>
      </c>
      <c r="D119"/>
      <c r="E119">
        <v>34000</v>
      </c>
      <c r="F119">
        <v>218</v>
      </c>
      <c r="G119">
        <v>98</v>
      </c>
      <c r="H119">
        <v>1000</v>
      </c>
      <c r="I119" t="inlineStr">
        <is>
          <t>牛仔裤</t>
        </is>
      </c>
      <c r="J119" t="inlineStr">
        <is>
          <t>0.03</t>
        </is>
      </c>
      <c r="K119" t="inlineStr">
        <is>
          <t>🔥低粉爆款</t>
        </is>
      </c>
      <c r="L119" t="inlineStr">
        <is>
          <t>郑源源的店</t>
        </is>
      </c>
      <c r="M119">
        <v>752</v>
      </c>
      <c r="N119">
        <v>4.62</v>
      </c>
      <c r="O119">
        <v>42000</v>
      </c>
      <c r="P119" t="inlineStr">
        <is>
          <t>68d93b30d3eed20001e963bc</t>
        </is>
      </c>
      <c r="Q119" t="inlineStr">
        <is>
          <t>🚫重复</t>
        </is>
      </c>
      <c r="R119" t="inlineStr">
        <is>
          <t>14周</t>
        </is>
      </c>
      <c r="S119" t="inlineStr">
        <is>
          <t>45.21</t>
        </is>
      </c>
      <c r="T119" t="inlineStr">
        <is>
          <t>服饰穿搭</t>
        </is>
      </c>
      <c r="U119" t="inlineStr">
        <is>
          <t>女装</t>
        </is>
      </c>
      <c r="V119" s="3">
        <v>46112.78107638889</v>
      </c>
      <c r="W119" t="inlineStr">
        <is>
          <t>2026-Q1</t>
        </is>
      </c>
    </row>
    <row r="120" ht="25.5" customHeight="1">
      <c r="A120" t="inlineStr">
        <is>
          <t>【5元包邮】满10-1 2026春夏日韩流行新款发圈氛围感穿搭头绳头饰</t>
        </is>
      </c>
      <c r="B120" t="inlineStr">
        <is>
          <t>recveKOBkWWdgQ.jpg</t>
        </is>
      </c>
      <c r="C120" s="2" t="str">
        <f>=HYPERLINK("https://xhslink.com/m/fLMHUFY4M2", "https://xhslink.com/m/fLMHUFY4M2")</f>
        <v>https://xhslink.com/m/fLMHUFY4M2</v>
      </c>
      <c r="D120"/>
      <c r="E120">
        <v>7419</v>
      </c>
      <c r="F120">
        <v>5</v>
      </c>
      <c r="G120"/>
      <c r="H120">
        <v>1000</v>
      </c>
      <c r="I120" t="inlineStr">
        <is>
          <t>饰品</t>
        </is>
      </c>
      <c r="J120" t="inlineStr">
        <is>
          <t>0.13</t>
        </is>
      </c>
      <c r="K120"/>
      <c r="L120" t="inlineStr">
        <is>
          <t>winnie云妮的店</t>
        </is>
      </c>
      <c r="M120">
        <v>187000</v>
      </c>
      <c r="N120">
        <v>4.67</v>
      </c>
      <c r="O120">
        <v>919000</v>
      </c>
      <c r="P120" t="inlineStr">
        <is>
          <t>69143125a524ee000179def5</t>
        </is>
      </c>
      <c r="Q120" t="inlineStr">
        <is>
          <t>🚫重复</t>
        </is>
      </c>
      <c r="R120" t="inlineStr">
        <is>
          <t>14周</t>
        </is>
      </c>
      <c r="S120" t="inlineStr">
        <is>
          <t>0.04</t>
        </is>
      </c>
      <c r="T120" t="inlineStr">
        <is>
          <t>服饰穿搭</t>
        </is>
      </c>
      <c r="U120" t="inlineStr">
        <is>
          <t>配饰</t>
        </is>
      </c>
      <c r="V120" s="3">
        <v>46112.78107638889</v>
      </c>
      <c r="W120" t="inlineStr">
        <is>
          <t>2026-Q1</t>
        </is>
      </c>
    </row>
    <row r="121" ht="25.5" customHeight="1">
      <c r="A121" t="inlineStr">
        <is>
          <t>Kitty系列鸭嘴夹女发夹金属定位夹前额侧边夹化妆洗脸无痕夹发</t>
        </is>
      </c>
      <c r="B121" t="inlineStr">
        <is>
          <t>recveKOBkWSOLk.jpg</t>
        </is>
      </c>
      <c r="C121" s="2" t="str">
        <f>=HYPERLINK("https://xhslink.com/m/18qteu0EgEb", "https://xhslink.com/m/18qteu0EgEb")</f>
        <v>https://xhslink.com/m/18qteu0EgEb</v>
      </c>
      <c r="D121"/>
      <c r="E121">
        <v>53000</v>
      </c>
      <c r="F121">
        <v>23.9</v>
      </c>
      <c r="G121">
        <v>9.9</v>
      </c>
      <c r="H121">
        <v>1000</v>
      </c>
      <c r="I121" t="inlineStr">
        <is>
          <t>发夹</t>
        </is>
      </c>
      <c r="J121" t="inlineStr">
        <is>
          <t>0.02</t>
        </is>
      </c>
      <c r="K121"/>
      <c r="L121" t="inlineStr">
        <is>
          <t>薄荷巧克力ii的店</t>
        </is>
      </c>
      <c r="M121">
        <v>82000</v>
      </c>
      <c r="N121">
        <v>4.43</v>
      </c>
      <c r="O121">
        <v>769000</v>
      </c>
      <c r="P121" t="inlineStr">
        <is>
          <t>68503ab16d19100001be1599</t>
        </is>
      </c>
      <c r="Q121" t="inlineStr">
        <is>
          <t>🚫重复</t>
        </is>
      </c>
      <c r="R121" t="inlineStr">
        <is>
          <t>14周</t>
        </is>
      </c>
      <c r="S121" t="inlineStr">
        <is>
          <t>0.65</t>
        </is>
      </c>
      <c r="T121" t="inlineStr">
        <is>
          <t>服饰穿搭</t>
        </is>
      </c>
      <c r="U121" t="inlineStr">
        <is>
          <t>配饰</t>
        </is>
      </c>
      <c r="V121" s="3">
        <v>46112.78107638889</v>
      </c>
      <c r="W121" t="inlineStr">
        <is>
          <t>2026-Q1</t>
        </is>
      </c>
    </row>
    <row r="122" ht="25.5" customHeight="1">
      <c r="A122" t="inlineStr">
        <is>
          <t>77瑜伽健身服女紧身显瘦瑜伽服短袖圆领透气跑步运动t恤普拉提女</t>
        </is>
      </c>
      <c r="B122" t="inlineStr">
        <is>
          <t>recveKOBkWwYTU.jpg</t>
        </is>
      </c>
      <c r="C122" s="2" t="str">
        <f>=HYPERLINK("https://xhslink.com/m/1lMOVHlPg04", "https://xhslink.com/m/1lMOVHlPg04")</f>
        <v>https://xhslink.com/m/1lMOVHlPg04</v>
      </c>
      <c r="D122"/>
      <c r="E122">
        <v>11000</v>
      </c>
      <c r="F122">
        <v>39</v>
      </c>
      <c r="G122"/>
      <c r="H122">
        <v>1000</v>
      </c>
      <c r="I122" t="inlineStr">
        <is>
          <t>运动T袖</t>
        </is>
      </c>
      <c r="J122" t="inlineStr">
        <is>
          <t>0.09</t>
        </is>
      </c>
      <c r="K122"/>
      <c r="L122" t="inlineStr">
        <is>
          <t>瑜伽少女Yoga的店</t>
        </is>
      </c>
      <c r="M122">
        <v>10000</v>
      </c>
      <c r="N122">
        <v>4.72</v>
      </c>
      <c r="O122">
        <v>244000</v>
      </c>
      <c r="P122" t="inlineStr">
        <is>
          <t>6933a69d127fb60001e8d4f7</t>
        </is>
      </c>
      <c r="Q122" t="inlineStr">
        <is>
          <t>🚫重复</t>
        </is>
      </c>
      <c r="R122" t="inlineStr">
        <is>
          <t>14周</t>
        </is>
      </c>
      <c r="S122" t="inlineStr">
        <is>
          <t>1.10</t>
        </is>
      </c>
      <c r="T122" t="inlineStr">
        <is>
          <t>运动潮玩</t>
        </is>
      </c>
      <c r="U122" t="inlineStr">
        <is>
          <t>运动户外装备</t>
        </is>
      </c>
      <c r="V122" s="3">
        <v>46112.78107638889</v>
      </c>
      <c r="W122" t="inlineStr">
        <is>
          <t>2026-Q1</t>
        </is>
      </c>
    </row>
    <row r="123" ht="25.5" customHeight="1">
      <c r="A123" t="inlineStr">
        <is>
          <t>瑜伽服运动速干衣女健身房跑步训练T恤紧身短袖上衣套装修身背心</t>
        </is>
      </c>
      <c r="B123" t="inlineStr">
        <is>
          <t>recveNXG9tViqM.jpg</t>
        </is>
      </c>
      <c r="C123" s="2" t="str">
        <f>=HYPERLINK("https://xhslink.com/m/2k4ejoz4UTt", "https://xhslink.com/m/2k4ejoz4UTt")</f>
        <v>https://xhslink.com/m/2k4ejoz4UTt</v>
      </c>
      <c r="D123"/>
      <c r="E123">
        <v>23000</v>
      </c>
      <c r="F123">
        <v>59</v>
      </c>
      <c r="G123">
        <v>39</v>
      </c>
      <c r="H123">
        <v>1000</v>
      </c>
      <c r="I123" t="inlineStr">
        <is>
          <t>速干T恤</t>
        </is>
      </c>
      <c r="J123" t="inlineStr">
        <is>
          <t>0.04</t>
        </is>
      </c>
      <c r="K123" t="inlineStr">
        <is>
          <t>🔥低粉爆款</t>
        </is>
      </c>
      <c r="L123" t="inlineStr">
        <is>
          <t>韵宝Yoga的店</t>
        </is>
      </c>
      <c r="M123">
        <v>1815</v>
      </c>
      <c r="N123">
        <v>4.67</v>
      </c>
      <c r="O123">
        <v>33000</v>
      </c>
      <c r="P123" t="inlineStr">
        <is>
          <t>6858a797d67cc200011fe1a4</t>
        </is>
      </c>
      <c r="Q123" t="inlineStr">
        <is>
          <t>🚫重复</t>
        </is>
      </c>
      <c r="R123" t="inlineStr">
        <is>
          <t>14周</t>
        </is>
      </c>
      <c r="S123" t="inlineStr">
        <is>
          <t>12.67</t>
        </is>
      </c>
      <c r="T123" t="inlineStr">
        <is>
          <t>服饰穿搭</t>
        </is>
      </c>
      <c r="U123" t="inlineStr">
        <is>
          <t>女装</t>
        </is>
      </c>
      <c r="V123" s="3">
        <v>46112.78107638889</v>
      </c>
      <c r="W123" t="inlineStr">
        <is>
          <t>2026-Q1</t>
        </is>
      </c>
    </row>
    <row r="124" ht="25.5" customHeight="1">
      <c r="A124" t="inlineStr">
        <is>
          <t>其他 · 花姐家·古法【活性醪糟】手工醪糟酒酿 月子酒 自然发酵 顺丰包邮</t>
        </is>
      </c>
      <c r="B124" t="inlineStr">
        <is>
          <t>recveNXG9txZkz.jpg</t>
        </is>
      </c>
      <c r="C124" s="2" t="str">
        <f>=HYPERLINK("https://xhslink.com/m/6veAOoLlTbV", "https://xhslink.com/m/6veAOoLlTbV")</f>
        <v>https://xhslink.com/m/6veAOoLlTbV</v>
      </c>
      <c r="D124"/>
      <c r="E124">
        <v>17000</v>
      </c>
      <c r="F124">
        <v>55.8</v>
      </c>
      <c r="G124">
        <v>54.8</v>
      </c>
      <c r="H124">
        <v>1000</v>
      </c>
      <c r="I124" t="inlineStr">
        <is>
          <t>饮品</t>
        </is>
      </c>
      <c r="J124" t="inlineStr">
        <is>
          <t>0.06</t>
        </is>
      </c>
      <c r="K124" t="inlineStr">
        <is>
          <t>🔥低粉爆款</t>
        </is>
      </c>
      <c r="L124" t="inlineStr">
        <is>
          <t>花姐的古法醪糟米酒的店</t>
        </is>
      </c>
      <c r="M124">
        <v>2391</v>
      </c>
      <c r="N124">
        <v>4.61</v>
      </c>
      <c r="O124">
        <v>17000</v>
      </c>
      <c r="P124" t="inlineStr">
        <is>
          <t>68c4cdac34db2a00013e4fd9</t>
        </is>
      </c>
      <c r="Q124" t="inlineStr">
        <is>
          <t>🚫重复</t>
        </is>
      </c>
      <c r="R124" t="inlineStr">
        <is>
          <t>14周</t>
        </is>
      </c>
      <c r="S124" t="inlineStr">
        <is>
          <t>7.11</t>
        </is>
      </c>
      <c r="T124" t="inlineStr">
        <is>
          <t>美食滋补</t>
        </is>
      </c>
      <c r="U124" t="inlineStr">
        <is>
          <t>酒水冲饮</t>
        </is>
      </c>
      <c r="V124" s="3">
        <v>46112.78107638889</v>
      </c>
      <c r="W124" t="inlineStr">
        <is>
          <t>2026-Q1</t>
        </is>
      </c>
    </row>
    <row r="125" ht="25.5" customHeight="1">
      <c r="A125" t="inlineStr">
        <is>
          <t>77瑜伽健身服女紧身显瘦瑜伽服短袖圆领透气跑步运动t恤普拉提女</t>
        </is>
      </c>
      <c r="B125" t="inlineStr">
        <is>
          <t>recveNXG9t7inh.jpg</t>
        </is>
      </c>
      <c r="C125" s="2" t="str">
        <f>=HYPERLINK("https://xhslink.com/m/2BGmGz6T02K", "https://xhslink.com/m/2BGmGz6T02K")</f>
        <v>https://xhslink.com/m/2BGmGz6T02K</v>
      </c>
      <c r="D125"/>
      <c r="E125">
        <v>11000</v>
      </c>
      <c r="F125">
        <v>39</v>
      </c>
      <c r="G125"/>
      <c r="H125">
        <v>1000</v>
      </c>
      <c r="I125" t="inlineStr">
        <is>
          <t>T恤</t>
        </is>
      </c>
      <c r="J125" t="inlineStr">
        <is>
          <t>0.09</t>
        </is>
      </c>
      <c r="K125"/>
      <c r="L125" t="inlineStr">
        <is>
          <t>瑜伽少女Yoga的店</t>
        </is>
      </c>
      <c r="M125">
        <v>10000</v>
      </c>
      <c r="N125">
        <v>4.72</v>
      </c>
      <c r="O125">
        <v>244000</v>
      </c>
      <c r="P125" t="inlineStr">
        <is>
          <t>6933a69d127fb60001e8d4ee</t>
        </is>
      </c>
      <c r="Q125" t="inlineStr">
        <is>
          <t>🚫重复</t>
        </is>
      </c>
      <c r="R125" t="inlineStr">
        <is>
          <t>14周</t>
        </is>
      </c>
      <c r="S125" t="inlineStr">
        <is>
          <t>1.10</t>
        </is>
      </c>
      <c r="T125" t="inlineStr">
        <is>
          <t>运动潮玩</t>
        </is>
      </c>
      <c r="U125" t="inlineStr">
        <is>
          <t>运动户外装备</t>
        </is>
      </c>
      <c r="V125" s="3">
        <v>46112.78107638889</v>
      </c>
      <c r="W125" t="inlineStr">
        <is>
          <t>2026-Q1</t>
        </is>
      </c>
    </row>
    <row r="126" ht="25.5" customHeight="1">
      <c r="A126" t="inlineStr">
        <is>
          <t>77瑜伽健身服女紧身显瘦瑜伽服短袖圆领透气跑步运动t恤普拉提女</t>
        </is>
      </c>
      <c r="B126" t="inlineStr">
        <is>
          <t>recveNXG9tFCAL.jpg</t>
        </is>
      </c>
      <c r="C126" s="2" t="str">
        <f>=HYPERLINK("https://xhslink.com/m/8vJYfVgaep8", "https://xhslink.com/m/8vJYfVgaep8")</f>
        <v>https://xhslink.com/m/8vJYfVgaep8</v>
      </c>
      <c r="D126"/>
      <c r="E126">
        <v>11000</v>
      </c>
      <c r="F126">
        <v>39</v>
      </c>
      <c r="G126"/>
      <c r="H126">
        <v>1000</v>
      </c>
      <c r="I126" t="inlineStr">
        <is>
          <t>运动T恤</t>
        </is>
      </c>
      <c r="J126" t="inlineStr">
        <is>
          <t>0.09</t>
        </is>
      </c>
      <c r="K126"/>
      <c r="L126" t="inlineStr">
        <is>
          <t>瑜伽少女Yoga的店</t>
        </is>
      </c>
      <c r="M126">
        <v>10000</v>
      </c>
      <c r="N126">
        <v>4.72</v>
      </c>
      <c r="O126">
        <v>244000</v>
      </c>
      <c r="P126" t="inlineStr">
        <is>
          <t>6968a2ab9c8a6a0001b30aa7</t>
        </is>
      </c>
      <c r="Q126" t="inlineStr">
        <is>
          <t>🚫重复</t>
        </is>
      </c>
      <c r="R126" t="inlineStr">
        <is>
          <t>14周</t>
        </is>
      </c>
      <c r="S126" t="inlineStr">
        <is>
          <t>1.10</t>
        </is>
      </c>
      <c r="T126" t="inlineStr">
        <is>
          <t>运动潮玩</t>
        </is>
      </c>
      <c r="U126" t="inlineStr">
        <is>
          <t>运动户外装备</t>
        </is>
      </c>
      <c r="V126" s="3">
        <v>46112.78107638889</v>
      </c>
      <c r="W126" t="inlineStr">
        <is>
          <t>2026-Q1</t>
        </is>
      </c>
    </row>
    <row r="127" ht="25.5" customHeight="1">
      <c r="A127" t="inlineStr">
        <is>
          <t>【新店开业*每日仅限100单！】手作奶酥碱水棒 低卡代餐饱腹</t>
        </is>
      </c>
      <c r="B127" t="inlineStr">
        <is>
          <t>recveNXG9tYt8k.jpg</t>
        </is>
      </c>
      <c r="C127" s="2" t="str">
        <f>=HYPERLINK("https://xhslink.com/m/5lBpqc4S4C7", "https://xhslink.com/m/5lBpqc4S4C7")</f>
        <v>https://xhslink.com/m/5lBpqc4S4C7</v>
      </c>
      <c r="D127"/>
      <c r="E127">
        <v>70000</v>
      </c>
      <c r="F127">
        <v>22.8</v>
      </c>
      <c r="G127">
        <v>13.2</v>
      </c>
      <c r="H127">
        <v>1000</v>
      </c>
      <c r="I127" t="inlineStr">
        <is>
          <t>早餐</t>
        </is>
      </c>
      <c r="J127" t="inlineStr">
        <is>
          <t>0.01</t>
        </is>
      </c>
      <c r="K127" t="inlineStr">
        <is>
          <t>🔥低粉爆款</t>
        </is>
      </c>
      <c r="L127" t="inlineStr">
        <is>
          <t>紫面包Handmade的店</t>
        </is>
      </c>
      <c r="M127">
        <v>3290</v>
      </c>
      <c r="N127">
        <v>4.45</v>
      </c>
      <c r="O127">
        <v>70000</v>
      </c>
      <c r="P127" t="inlineStr">
        <is>
          <t>69a1555936330e0001e58b1a</t>
        </is>
      </c>
      <c r="Q127" t="inlineStr">
        <is>
          <t>🚫重复</t>
        </is>
      </c>
      <c r="R127" t="inlineStr">
        <is>
          <t>14周</t>
        </is>
      </c>
      <c r="S127" t="inlineStr">
        <is>
          <t>21.28</t>
        </is>
      </c>
      <c r="T127" t="inlineStr">
        <is>
          <t>美食滋补</t>
        </is>
      </c>
      <c r="U127" t="inlineStr">
        <is>
          <t>休闲零食</t>
        </is>
      </c>
      <c r="V127" s="3">
        <v>46112.78107638889</v>
      </c>
      <c r="W127" t="inlineStr">
        <is>
          <t>2026-Q1</t>
        </is>
      </c>
    </row>
    <row r="128" ht="25.5" customHeight="1">
      <c r="A128" t="inlineStr">
        <is>
          <t>瑜伽服运动速干衣女健身房跑步训练T恤紧身短袖上衣套装修身背心</t>
        </is>
      </c>
      <c r="B128" t="inlineStr">
        <is>
          <t>recveNXG9tFaNo.jpg</t>
        </is>
      </c>
      <c r="C128" s="2" t="str">
        <f>=HYPERLINK("https://xhslink.com/m/63gfMtRR1ZP", "https://xhslink.com/m/63gfMtRR1ZP")</f>
        <v>https://xhslink.com/m/63gfMtRR1ZP</v>
      </c>
      <c r="D128"/>
      <c r="E128">
        <v>23000</v>
      </c>
      <c r="F128">
        <v>59</v>
      </c>
      <c r="G128">
        <v>39</v>
      </c>
      <c r="H128">
        <v>1000</v>
      </c>
      <c r="I128" t="inlineStr">
        <is>
          <t>瑜伽</t>
        </is>
      </c>
      <c r="J128" t="inlineStr">
        <is>
          <t>0.04</t>
        </is>
      </c>
      <c r="K128" t="inlineStr">
        <is>
          <t>🔥低粉爆款</t>
        </is>
      </c>
      <c r="L128" t="inlineStr">
        <is>
          <t>韵宝Yoga的店</t>
        </is>
      </c>
      <c r="M128">
        <v>1815</v>
      </c>
      <c r="N128">
        <v>4.67</v>
      </c>
      <c r="O128">
        <v>33000</v>
      </c>
      <c r="P128" t="inlineStr">
        <is>
          <t>6858a797d67cc200011fe1ce</t>
        </is>
      </c>
      <c r="Q128" t="inlineStr">
        <is>
          <t>🚫重复</t>
        </is>
      </c>
      <c r="R128" t="inlineStr">
        <is>
          <t>14周</t>
        </is>
      </c>
      <c r="S128" t="inlineStr">
        <is>
          <t>12.67</t>
        </is>
      </c>
      <c r="T128" t="inlineStr">
        <is>
          <t>服饰穿搭</t>
        </is>
      </c>
      <c r="U128" t="inlineStr">
        <is>
          <t>女装</t>
        </is>
      </c>
      <c r="V128" s="3">
        <v>46112.78107638889</v>
      </c>
      <c r="W128" t="inlineStr">
        <is>
          <t>2026-Q1</t>
        </is>
      </c>
    </row>
    <row r="129" ht="25.5" customHeight="1">
      <c r="A129" t="inlineStr">
        <is>
          <t>【顺丰冷链包邮】低脂牛肉丸低碳水健身轻食潮汕小吃特产火锅丸子</t>
        </is>
      </c>
      <c r="B129" t="inlineStr">
        <is>
          <t>recveNXG9tJp8Q.jpg</t>
        </is>
      </c>
      <c r="C129" s="2" t="str">
        <f>=HYPERLINK("https://xhslink.com/m/5uxTsnKlZ0p", "https://xhslink.com/m/5uxTsnKlZ0p")</f>
        <v>https://xhslink.com/m/5uxTsnKlZ0p</v>
      </c>
      <c r="D129"/>
      <c r="E129">
        <v>60000</v>
      </c>
      <c r="F129">
        <v>59</v>
      </c>
      <c r="G129">
        <v>39</v>
      </c>
      <c r="H129">
        <v>1000</v>
      </c>
      <c r="I129" t="inlineStr">
        <is>
          <t>减肥食物</t>
        </is>
      </c>
      <c r="J129" t="inlineStr">
        <is>
          <t>0.02</t>
        </is>
      </c>
      <c r="K129" t="inlineStr">
        <is>
          <t>🔥低粉爆款</t>
        </is>
      </c>
      <c r="L129" t="inlineStr">
        <is>
          <t>牛肉丸研究所🐮的店</t>
        </is>
      </c>
      <c r="M129">
        <v>8931</v>
      </c>
      <c r="N129">
        <v>4.79</v>
      </c>
      <c r="O129">
        <v>164000</v>
      </c>
      <c r="P129" t="inlineStr">
        <is>
          <t>67f4b6242dd3d10001db6c17</t>
        </is>
      </c>
      <c r="Q129" t="inlineStr">
        <is>
          <t>🚫重复</t>
        </is>
      </c>
      <c r="R129" t="inlineStr">
        <is>
          <t>14周</t>
        </is>
      </c>
      <c r="S129" t="inlineStr">
        <is>
          <t>6.72</t>
        </is>
      </c>
      <c r="T129" t="inlineStr">
        <is>
          <t>美食滋补</t>
        </is>
      </c>
      <c r="U129" t="inlineStr">
        <is>
          <t>休闲零食</t>
        </is>
      </c>
      <c r="V129" s="3">
        <v>46112.78107638889</v>
      </c>
      <c r="W129" t="inlineStr">
        <is>
          <t>2026-Q1</t>
        </is>
      </c>
    </row>
    <row r="130" ht="25.5" customHeight="1">
      <c r="A130" t="inlineStr">
        <is>
          <t>手剥特大号海虾仁 低脂优蛋白 无冰无添加 新鲜手剥 多规格可选</t>
        </is>
      </c>
      <c r="B130" t="inlineStr">
        <is>
          <t>recveNXG9tjaZu.jpg</t>
        </is>
      </c>
      <c r="C130" s="2" t="str">
        <f>=HYPERLINK("https://xhslink.com/m/5Z531hKFNxn", "https://xhslink.com/m/5Z531hKFNxn")</f>
        <v>https://xhslink.com/m/5Z531hKFNxn</v>
      </c>
      <c r="D130"/>
      <c r="E130">
        <v>145000</v>
      </c>
      <c r="F130">
        <v>106</v>
      </c>
      <c r="G130">
        <v>76</v>
      </c>
      <c r="H130">
        <v>1000</v>
      </c>
      <c r="I130" t="inlineStr">
        <is>
          <t>减肥食物</t>
        </is>
      </c>
      <c r="J130" t="inlineStr">
        <is>
          <t>0.01</t>
        </is>
      </c>
      <c r="K130" t="inlineStr">
        <is>
          <t>🔥低粉爆款</t>
        </is>
      </c>
      <c r="L130" t="inlineStr">
        <is>
          <t>海边原著的店</t>
        </is>
      </c>
      <c r="M130">
        <v>36000</v>
      </c>
      <c r="N130">
        <v>4.7</v>
      </c>
      <c r="O130">
        <v>420000</v>
      </c>
      <c r="P130" t="inlineStr">
        <is>
          <t>68fdc46fbecfcc000157790a</t>
        </is>
      </c>
      <c r="Q130" t="inlineStr">
        <is>
          <t>🚫重复</t>
        </is>
      </c>
      <c r="R130" t="inlineStr">
        <is>
          <t>14周</t>
        </is>
      </c>
      <c r="S130" t="inlineStr">
        <is>
          <t>4.03</t>
        </is>
      </c>
      <c r="T130" t="inlineStr">
        <is>
          <t>美食滋补</t>
        </is>
      </c>
      <c r="U130" t="inlineStr">
        <is>
          <t>休闲零食</t>
        </is>
      </c>
      <c r="V130" s="3">
        <v>46112.78107638889</v>
      </c>
      <c r="W130" t="inlineStr">
        <is>
          <t>2026-Q1</t>
        </is>
      </c>
    </row>
    <row r="131" ht="25.5" customHeight="1">
      <c r="A131" t="inlineStr">
        <is>
          <t>【任选5个改价29.9】手作贝果碱水夹心面包学生早餐健身代餐欧包</t>
        </is>
      </c>
      <c r="B131" t="inlineStr">
        <is>
          <t>recveNXG9twfbG.jpg</t>
        </is>
      </c>
      <c r="C131" s="2" t="str">
        <f>=HYPERLINK("https://xhslink.com/m/12vLwGDHR1v", "https://xhslink.com/m/12vLwGDHR1v")</f>
        <v>https://xhslink.com/m/12vLwGDHR1v</v>
      </c>
      <c r="D131"/>
      <c r="E131">
        <v>1547000</v>
      </c>
      <c r="F131">
        <v>20</v>
      </c>
      <c r="G131">
        <v>16.98</v>
      </c>
      <c r="H131">
        <v>1000</v>
      </c>
      <c r="I131" t="inlineStr">
        <is>
          <t>减脂主食</t>
        </is>
      </c>
      <c r="J131" t="inlineStr">
        <is>
          <t>0.00</t>
        </is>
      </c>
      <c r="K131" t="inlineStr">
        <is>
          <t>🔥低粉爆款</t>
        </is>
      </c>
      <c r="L131" t="inlineStr">
        <is>
          <t>恬栗手作的店</t>
        </is>
      </c>
      <c r="M131">
        <v>34000</v>
      </c>
      <c r="N131">
        <v>4.3</v>
      </c>
      <c r="O131">
        <v>1829000</v>
      </c>
      <c r="P131" t="inlineStr">
        <is>
          <t>68521b33e874f2000197f47f</t>
        </is>
      </c>
      <c r="Q131"/>
      <c r="R131" t="inlineStr">
        <is>
          <t>14周</t>
        </is>
      </c>
      <c r="S131" t="inlineStr">
        <is>
          <t>45.50</t>
        </is>
      </c>
      <c r="T131" t="inlineStr">
        <is>
          <t>美食滋补</t>
        </is>
      </c>
      <c r="U131" t="inlineStr">
        <is>
          <t>休闲零食</t>
        </is>
      </c>
      <c r="V131" s="3">
        <v>46112.78107638889</v>
      </c>
      <c r="W131" t="inlineStr">
        <is>
          <t>2026-Q1</t>
        </is>
      </c>
    </row>
    <row r="132" ht="25.5" customHeight="1">
      <c r="A132" t="inlineStr">
        <is>
          <t>【拍一发2】C深顶大头围字母棒球帽女遮阳百搭刺绣显脸小鸭舌帽</t>
        </is>
      </c>
      <c r="B132" t="inlineStr">
        <is>
          <t>recveTJWJNwNw3.jpg</t>
        </is>
      </c>
      <c r="C132" s="2" t="str">
        <f>=HYPERLINK("https://xhslink.com/m/5G6ebAfEwTd", "https://xhslink.com/m/5G6ebAfEwTd")</f>
        <v>https://xhslink.com/m/5G6ebAfEwTd</v>
      </c>
      <c r="D132"/>
      <c r="E132">
        <v>657000</v>
      </c>
      <c r="F132">
        <v>29.9</v>
      </c>
      <c r="G132"/>
      <c r="H132">
        <v>1000</v>
      </c>
      <c r="I132" t="inlineStr">
        <is>
          <t>棒球帽</t>
        </is>
      </c>
      <c r="J132" t="inlineStr">
        <is>
          <t>0.00</t>
        </is>
      </c>
      <c r="K132" t="inlineStr">
        <is>
          <t>🔥低粉爆款</t>
        </is>
      </c>
      <c r="L132" t="inlineStr">
        <is>
          <t>盖个帽儿总店铺的店</t>
        </is>
      </c>
      <c r="M132">
        <v>153000</v>
      </c>
      <c r="N132">
        <v>4.58</v>
      </c>
      <c r="O132">
        <v>1595000</v>
      </c>
      <c r="P132" t="inlineStr">
        <is>
          <t>64cd4aa5f7e76600019ae054</t>
        </is>
      </c>
      <c r="Q132" t="inlineStr">
        <is>
          <t>🚫重复</t>
        </is>
      </c>
      <c r="R132" t="inlineStr">
        <is>
          <t>14周</t>
        </is>
      </c>
      <c r="S132" t="inlineStr">
        <is>
          <t>4.29</t>
        </is>
      </c>
      <c r="T132" t="inlineStr">
        <is>
          <t>服饰穿搭</t>
        </is>
      </c>
      <c r="U132" t="inlineStr">
        <is>
          <t>鞋靴箱包</t>
        </is>
      </c>
      <c r="V132" s="3">
        <v>46112.78107638889</v>
      </c>
      <c r="W132" t="inlineStr">
        <is>
          <t>2026-Q1</t>
        </is>
      </c>
    </row>
    <row r="133" ht="25.5" customHeight="1">
      <c r="A133" t="inlineStr">
        <is>
          <t>美式运动裤女春夏高腰休闲宽松阔腿卫裤显瘦直筒休闲裤</t>
        </is>
      </c>
      <c r="B133" t="inlineStr">
        <is>
          <t>recvf2aASaHSXk.jpg</t>
        </is>
      </c>
      <c r="C133" s="2" t="str">
        <f>=HYPERLINK("https://xhslink.com/m/1CHE6ZJBRCI", "https://xhslink.com/m/1CHE6ZJBRCI")</f>
        <v>https://xhslink.com/m/1CHE6ZJBRCI</v>
      </c>
      <c r="D133"/>
      <c r="E133">
        <v>12000</v>
      </c>
      <c r="F133">
        <v>99.9</v>
      </c>
      <c r="G133">
        <v>69.9</v>
      </c>
      <c r="H133">
        <v>1000</v>
      </c>
      <c r="I133" t="inlineStr">
        <is>
          <t>运动裤</t>
        </is>
      </c>
      <c r="J133" t="inlineStr">
        <is>
          <t>0.08</t>
        </is>
      </c>
      <c r="K133"/>
      <c r="L133" t="inlineStr">
        <is>
          <t>莓川库茶的店</t>
        </is>
      </c>
      <c r="M133">
        <v>7535</v>
      </c>
      <c r="N133">
        <v>4.62</v>
      </c>
      <c r="O133">
        <v>92000</v>
      </c>
      <c r="P133" t="inlineStr">
        <is>
          <t>68d42130702da10001312e8c</t>
        </is>
      </c>
      <c r="Q133" t="inlineStr">
        <is>
          <t>🚫重复</t>
        </is>
      </c>
      <c r="R133" t="inlineStr">
        <is>
          <t>14周</t>
        </is>
      </c>
      <c r="S133" t="inlineStr">
        <is>
          <t>1.59</t>
        </is>
      </c>
      <c r="T133" t="inlineStr">
        <is>
          <t>服饰穿搭</t>
        </is>
      </c>
      <c r="U133" t="inlineStr">
        <is>
          <t>女装</t>
        </is>
      </c>
      <c r="V133" s="3">
        <v>46112.78107638889</v>
      </c>
      <c r="W133" t="inlineStr">
        <is>
          <t>2026-Q1</t>
        </is>
      </c>
    </row>
    <row r="134" ht="25.5" customHeight="1">
      <c r="A134" t="inlineStr">
        <is>
          <t>【上新特惠】遮副乳• 简约百搭休闲运动背心（高品质版）</t>
        </is>
      </c>
      <c r="B134" t="inlineStr">
        <is>
          <t>recvf2aASaXVDP.jpg</t>
        </is>
      </c>
      <c r="C134" s="2" t="str">
        <f>=HYPERLINK("https://xhslink.com/m/8xsQhA0zZj2", "https://xhslink.com/m/8xsQhA0zZj2")</f>
        <v>https://xhslink.com/m/8xsQhA0zZj2</v>
      </c>
      <c r="D134"/>
      <c r="E134">
        <v>143000</v>
      </c>
      <c r="F134">
        <v>39.9</v>
      </c>
      <c r="G134"/>
      <c r="H134">
        <v>1000</v>
      </c>
      <c r="I134" t="inlineStr">
        <is>
          <t>运动背心</t>
        </is>
      </c>
      <c r="J134" t="inlineStr">
        <is>
          <t>0.01</t>
        </is>
      </c>
      <c r="K134" t="inlineStr">
        <is>
          <t>🔥低粉爆款</t>
        </is>
      </c>
      <c r="L134" t="inlineStr">
        <is>
          <t>好运丽姿的店</t>
        </is>
      </c>
      <c r="M134">
        <v>5758</v>
      </c>
      <c r="N134">
        <v>4.73</v>
      </c>
      <c r="O134">
        <v>207000</v>
      </c>
      <c r="P134" t="inlineStr">
        <is>
          <t>69a2bd184d1dca000100d1b6</t>
        </is>
      </c>
      <c r="Q134" t="inlineStr">
        <is>
          <t>🚫重复</t>
        </is>
      </c>
      <c r="R134" t="inlineStr">
        <is>
          <t>14周</t>
        </is>
      </c>
      <c r="S134" t="inlineStr">
        <is>
          <t>24.84</t>
        </is>
      </c>
      <c r="T134" t="inlineStr">
        <is>
          <t>服饰穿搭</t>
        </is>
      </c>
      <c r="U134" t="inlineStr">
        <is>
          <t>女装</t>
        </is>
      </c>
      <c r="V134" s="3">
        <v>46112.78107638889</v>
      </c>
      <c r="W134" t="inlineStr">
        <is>
          <t>2026-Q1</t>
        </is>
      </c>
    </row>
    <row r="135" ht="25.5" customHeight="1">
      <c r="A135" t="inlineStr">
        <is>
          <t>【半夏倾颜】软底德训鞋女2026春季新款休闲运动鞋百搭阿甘小白鞋</t>
        </is>
      </c>
      <c r="B135" t="inlineStr">
        <is>
          <t>recvf2aASa9OfJ.jpg</t>
        </is>
      </c>
      <c r="C135" s="2" t="str">
        <f>=HYPERLINK("https://xhslink.com/m/4DEG3JBiv3F", "https://xhslink.com/m/4DEG3JBiv3F")</f>
        <v>https://xhslink.com/m/4DEG3JBiv3F</v>
      </c>
      <c r="D135"/>
      <c r="E135">
        <v>2830</v>
      </c>
      <c r="F135">
        <v>298</v>
      </c>
      <c r="G135">
        <v>98</v>
      </c>
      <c r="H135">
        <v>1000</v>
      </c>
      <c r="I135" t="inlineStr">
        <is>
          <t>鞋靴</t>
        </is>
      </c>
      <c r="J135" t="inlineStr">
        <is>
          <t>0.35</t>
        </is>
      </c>
      <c r="K135" t="inlineStr">
        <is>
          <t>🔥低粉爆款</t>
        </is>
      </c>
      <c r="L135" t="inlineStr">
        <is>
          <t>半夏倾颜的店</t>
        </is>
      </c>
      <c r="M135">
        <v>399</v>
      </c>
      <c r="N135">
        <v>4.59</v>
      </c>
      <c r="O135">
        <v>4718</v>
      </c>
      <c r="P135" t="inlineStr">
        <is>
          <t>69a924ae07adea000125e0ca</t>
        </is>
      </c>
      <c r="Q135" t="inlineStr">
        <is>
          <t>🚫重复</t>
        </is>
      </c>
      <c r="R135" t="inlineStr">
        <is>
          <t>14周</t>
        </is>
      </c>
      <c r="S135" t="inlineStr">
        <is>
          <t>7.09</t>
        </is>
      </c>
      <c r="T135" t="inlineStr">
        <is>
          <t>服饰穿搭</t>
        </is>
      </c>
      <c r="U135" t="inlineStr">
        <is>
          <t>鞋靴箱包</t>
        </is>
      </c>
      <c r="V135" s="3">
        <v>46112.78107638889</v>
      </c>
      <c r="W135" t="inlineStr">
        <is>
          <t>2026-Q1</t>
        </is>
      </c>
    </row>
    <row r="136" ht="25.5" customHeight="1">
      <c r="A136" t="inlineStr">
        <is>
          <t>早八伪素颜2.0！！五分袖纸片人软糯羊毛中袖春夏针织打底衫</t>
        </is>
      </c>
      <c r="B136" t="inlineStr">
        <is>
          <t>recvf5pAkIzDuB.jpg</t>
        </is>
      </c>
      <c r="C136" s="2" t="str">
        <f>=HYPERLINK("https://xhslink.com/m/73ogWb7dQlT", "https://xhslink.com/m/73ogWb7dQlT")</f>
        <v>https://xhslink.com/m/73ogWb7dQlT</v>
      </c>
      <c r="D136"/>
      <c r="E136">
        <v>3819</v>
      </c>
      <c r="F136">
        <v>119</v>
      </c>
      <c r="G136"/>
      <c r="H136">
        <v>1000</v>
      </c>
      <c r="I136" t="inlineStr">
        <is>
          <t>打底衫</t>
        </is>
      </c>
      <c r="J136" t="inlineStr">
        <is>
          <t>0.26</t>
        </is>
      </c>
      <c r="K136"/>
      <c r="L136" t="inlineStr">
        <is>
          <t>MOMOPLUS的店</t>
        </is>
      </c>
      <c r="M136">
        <v>124000</v>
      </c>
      <c r="N136">
        <v>4.66</v>
      </c>
      <c r="O136">
        <v>672000</v>
      </c>
      <c r="P136" t="inlineStr">
        <is>
          <t>69a7eb7c0635fd00015cda7d</t>
        </is>
      </c>
      <c r="Q136" t="inlineStr">
        <is>
          <t>🚫重复</t>
        </is>
      </c>
      <c r="R136" t="inlineStr">
        <is>
          <t>14周</t>
        </is>
      </c>
      <c r="S136" t="inlineStr">
        <is>
          <t>0.03</t>
        </is>
      </c>
      <c r="T136" t="inlineStr">
        <is>
          <t>服饰穿搭</t>
        </is>
      </c>
      <c r="U136" t="inlineStr">
        <is>
          <t>女装</t>
        </is>
      </c>
      <c r="V136" s="3">
        <v>46112.78107638889</v>
      </c>
      <c r="W136" t="inlineStr">
        <is>
          <t>2026-Q1</t>
        </is>
      </c>
    </row>
    <row r="137" ht="25.5" customHeight="1">
      <c r="A137" t="inlineStr">
        <is>
          <t>简约U领螺纹修身显瘦正肩T恤短袖~超显身材！上身嘎嘎舒服</t>
        </is>
      </c>
      <c r="B137" t="inlineStr">
        <is>
          <t>recvf5pAkIOqjz.jpg</t>
        </is>
      </c>
      <c r="C137" s="2" t="str">
        <f>=HYPERLINK("https://xhslink.com/m/2dIbaDLng4i", "https://xhslink.com/m/2dIbaDLng4i")</f>
        <v>https://xhslink.com/m/2dIbaDLng4i</v>
      </c>
      <c r="D137"/>
      <c r="E137">
        <v>195000</v>
      </c>
      <c r="F137">
        <v>39.9</v>
      </c>
      <c r="G137"/>
      <c r="H137">
        <v>1000</v>
      </c>
      <c r="I137" t="inlineStr">
        <is>
          <t>短袖</t>
        </is>
      </c>
      <c r="J137" t="inlineStr">
        <is>
          <t>0.01</t>
        </is>
      </c>
      <c r="K137"/>
      <c r="L137" t="inlineStr">
        <is>
          <t>小小啊le的店</t>
        </is>
      </c>
      <c r="M137">
        <v>217000</v>
      </c>
      <c r="N137">
        <v>4.67</v>
      </c>
      <c r="O137">
        <v>794000</v>
      </c>
      <c r="P137" t="inlineStr">
        <is>
          <t>6634af5e97f53b0001659571</t>
        </is>
      </c>
      <c r="Q137" t="inlineStr">
        <is>
          <t>🚫重复</t>
        </is>
      </c>
      <c r="R137" t="inlineStr">
        <is>
          <t>14周</t>
        </is>
      </c>
      <c r="S137" t="inlineStr">
        <is>
          <t>0.90</t>
        </is>
      </c>
      <c r="T137" t="inlineStr">
        <is>
          <t>服饰穿搭</t>
        </is>
      </c>
      <c r="U137" t="inlineStr">
        <is>
          <t>女装</t>
        </is>
      </c>
      <c r="V137" s="3">
        <v>46112.78107638889</v>
      </c>
      <c r="W137" t="inlineStr">
        <is>
          <t>2026-Q1</t>
        </is>
      </c>
    </row>
    <row r="138" ht="25.5" customHeight="1">
      <c r="A138" t="inlineStr">
        <is>
          <t>绑带tee「抗起球𝟮.𝟬版」bm风灰色微透t恤女夏季短袖上衣</t>
        </is>
      </c>
      <c r="B138" t="inlineStr">
        <is>
          <t>recvf5pAkImXtQ.jpg</t>
        </is>
      </c>
      <c r="C138" s="2" t="str">
        <f>=HYPERLINK("https://xhslink.com/m/8N0SZPxukIY", "https://xhslink.com/m/8N0SZPxukIY")</f>
        <v>https://xhslink.com/m/8N0SZPxukIY</v>
      </c>
      <c r="D138"/>
      <c r="E138">
        <v>37000</v>
      </c>
      <c r="F138">
        <v>29.9</v>
      </c>
      <c r="G138"/>
      <c r="H138">
        <v>1000</v>
      </c>
      <c r="I138" t="inlineStr">
        <is>
          <t>短袖</t>
        </is>
      </c>
      <c r="J138" t="inlineStr">
        <is>
          <t>0.03</t>
        </is>
      </c>
      <c r="K138"/>
      <c r="L138" t="inlineStr">
        <is>
          <t>海鸥服装厂的店</t>
        </is>
      </c>
      <c r="M138">
        <v>78000</v>
      </c>
      <c r="N138">
        <v>4.46</v>
      </c>
      <c r="O138">
        <v>1019000</v>
      </c>
      <c r="P138" t="inlineStr">
        <is>
          <t>6878de98b1b9df0001dbbc5c</t>
        </is>
      </c>
      <c r="Q138" t="inlineStr">
        <is>
          <t>🚫重复</t>
        </is>
      </c>
      <c r="R138" t="inlineStr">
        <is>
          <t>14周</t>
        </is>
      </c>
      <c r="S138" t="inlineStr">
        <is>
          <t>0.47</t>
        </is>
      </c>
      <c r="T138" t="inlineStr">
        <is>
          <t>服饰穿搭</t>
        </is>
      </c>
      <c r="U138" t="inlineStr">
        <is>
          <t>女装</t>
        </is>
      </c>
      <c r="V138" s="3">
        <v>46112.78107638889</v>
      </c>
      <c r="W138" t="inlineStr">
        <is>
          <t>2026-Q1</t>
        </is>
      </c>
    </row>
    <row r="139" ht="25.5" customHeight="1">
      <c r="A139" t="inlineStr">
        <is>
          <t>【半夏倾颜】软底德训鞋女2026春季新款休闲运动鞋百搭阿甘小白鞋</t>
        </is>
      </c>
      <c r="B139" t="inlineStr">
        <is>
          <t>recvfenb18lCZc.jpg</t>
        </is>
      </c>
      <c r="C139" s="2" t="str">
        <f>=HYPERLINK("https://xhslink.com/m/4PRodtCGrTu", "https://xhslink.com/m/4PRodtCGrTu")</f>
        <v>https://xhslink.com/m/4PRodtCGrTu</v>
      </c>
      <c r="D139"/>
      <c r="E139">
        <v>3059</v>
      </c>
      <c r="F139">
        <v>298</v>
      </c>
      <c r="G139">
        <v>98</v>
      </c>
      <c r="H139">
        <v>1000</v>
      </c>
      <c r="I139" t="inlineStr">
        <is>
          <t>德训鞋</t>
        </is>
      </c>
      <c r="J139" t="inlineStr">
        <is>
          <t>0.33</t>
        </is>
      </c>
      <c r="K139" t="inlineStr">
        <is>
          <t>🔥低粉爆款</t>
        </is>
      </c>
      <c r="L139" t="inlineStr">
        <is>
          <t>半夏倾颜的店</t>
        </is>
      </c>
      <c r="M139">
        <v>439</v>
      </c>
      <c r="N139">
        <v>4.61</v>
      </c>
      <c r="O139">
        <v>5312</v>
      </c>
      <c r="P139" t="inlineStr">
        <is>
          <t>69a924ae07adea000125e0b5</t>
        </is>
      </c>
      <c r="Q139" t="inlineStr">
        <is>
          <t>🚫重复</t>
        </is>
      </c>
      <c r="R139" t="inlineStr">
        <is>
          <t>14周</t>
        </is>
      </c>
      <c r="S139" t="inlineStr">
        <is>
          <t>6.97</t>
        </is>
      </c>
      <c r="T139" t="inlineStr">
        <is>
          <t>服饰穿搭</t>
        </is>
      </c>
      <c r="U139" t="inlineStr">
        <is>
          <t>鞋靴箱包</t>
        </is>
      </c>
      <c r="V139" s="3">
        <v>46112.78107638889</v>
      </c>
      <c r="W139" t="inlineStr">
        <is>
          <t>2026-Q1</t>
        </is>
      </c>
    </row>
    <row r="140" ht="25.5" customHeight="1">
      <c r="A140" t="inlineStr">
        <is>
          <t>【顺丰冷链包邮】潮汕墨鱼丸低脂食物轻食火锅丸子空气炸锅食材</t>
        </is>
      </c>
      <c r="B140" t="inlineStr">
        <is>
          <t>recvfenb18u4pv.jpg</t>
        </is>
      </c>
      <c r="C140" s="2" t="str">
        <f>=HYPERLINK("https://xhslink.com/m/4ejzsOBVLaR", "https://xhslink.com/m/4ejzsOBVLaR")</f>
        <v>https://xhslink.com/m/4ejzsOBVLaR</v>
      </c>
      <c r="D140"/>
      <c r="E140">
        <v>105000</v>
      </c>
      <c r="F140">
        <v>53.8</v>
      </c>
      <c r="G140">
        <v>41.8</v>
      </c>
      <c r="H140">
        <v>1000</v>
      </c>
      <c r="I140" t="inlineStr">
        <is>
          <t>低脂零食</t>
        </is>
      </c>
      <c r="J140" t="inlineStr">
        <is>
          <t>0.01</t>
        </is>
      </c>
      <c r="K140" t="inlineStr">
        <is>
          <t>🔥低粉爆款</t>
        </is>
      </c>
      <c r="L140" t="inlineStr">
        <is>
          <t>牛肉丸研究所🐮的店</t>
        </is>
      </c>
      <c r="M140">
        <v>9110</v>
      </c>
      <c r="N140">
        <v>4.79</v>
      </c>
      <c r="O140">
        <v>170000</v>
      </c>
      <c r="P140" t="inlineStr">
        <is>
          <t>686289a8283593000162b952</t>
        </is>
      </c>
      <c r="Q140" t="inlineStr">
        <is>
          <t>🚫重复</t>
        </is>
      </c>
      <c r="R140" t="inlineStr">
        <is>
          <t>14周</t>
        </is>
      </c>
      <c r="S140" t="inlineStr">
        <is>
          <t>11.53</t>
        </is>
      </c>
      <c r="T140" t="inlineStr">
        <is>
          <t>美食滋补</t>
        </is>
      </c>
      <c r="U140" t="inlineStr">
        <is>
          <t>休闲零食</t>
        </is>
      </c>
      <c r="V140" s="3">
        <v>46112.78107638889</v>
      </c>
      <c r="W140" t="inlineStr">
        <is>
          <t>2026-Q1</t>
        </is>
      </c>
    </row>
    <row r="141" ht="25.5" customHeight="1">
      <c r="A141" t="inlineStr">
        <is>
          <t>瑜伽服运动速干衣女健身房跑步训练T恤紧身短袖上衣套装修身背心</t>
        </is>
      </c>
      <c r="B141" t="inlineStr">
        <is>
          <t>recvfenb18wpJt.jpg</t>
        </is>
      </c>
      <c r="C141" s="2" t="str">
        <f>=HYPERLINK("https://xhslink.com/m/6Qbe7JsZvsL", "https://xhslink.com/m/6Qbe7JsZvsL")</f>
        <v>https://xhslink.com/m/6Qbe7JsZvsL</v>
      </c>
      <c r="D141"/>
      <c r="E141">
        <v>26000</v>
      </c>
      <c r="F141">
        <v>59</v>
      </c>
      <c r="G141">
        <v>39</v>
      </c>
      <c r="H141">
        <v>1000</v>
      </c>
      <c r="I141" t="inlineStr">
        <is>
          <t>T恤</t>
        </is>
      </c>
      <c r="J141" t="inlineStr">
        <is>
          <t>0.04</t>
        </is>
      </c>
      <c r="K141" t="inlineStr">
        <is>
          <t>🔥低粉爆款</t>
        </is>
      </c>
      <c r="L141" t="inlineStr">
        <is>
          <t>韵宝Yoga的店</t>
        </is>
      </c>
      <c r="M141">
        <v>1841</v>
      </c>
      <c r="N141">
        <v>4.64</v>
      </c>
      <c r="O141">
        <v>37000</v>
      </c>
      <c r="P141" t="inlineStr">
        <is>
          <t>6858a797d67cc200011fe1c8</t>
        </is>
      </c>
      <c r="Q141" t="inlineStr">
        <is>
          <t>🚫重复</t>
        </is>
      </c>
      <c r="R141" t="inlineStr">
        <is>
          <t>14周</t>
        </is>
      </c>
      <c r="S141" t="inlineStr">
        <is>
          <t>14.12</t>
        </is>
      </c>
      <c r="T141" t="inlineStr">
        <is>
          <t>服饰穿搭</t>
        </is>
      </c>
      <c r="U141" t="inlineStr">
        <is>
          <t>女装</t>
        </is>
      </c>
      <c r="V141" s="3">
        <v>46112.78107638889</v>
      </c>
      <c r="W141" t="inlineStr">
        <is>
          <t>2026-Q1</t>
        </is>
      </c>
    </row>
    <row r="142" ht="25.5" customHeight="1">
      <c r="A142" t="inlineStr">
        <is>
          <t>彩虹小番茄多彩七彩圣女果多色混装新鲜采摘精选皮薄多汁顺丰包邮</t>
        </is>
      </c>
      <c r="B142" t="inlineStr">
        <is>
          <t>recvfenb18b670.jpg</t>
        </is>
      </c>
      <c r="C142" s="2" t="str">
        <f>=HYPERLINK("https://xhslink.com/m/3Q5UQ9Oq0no", "https://xhslink.com/m/3Q5UQ9Oq0no")</f>
        <v>https://xhslink.com/m/3Q5UQ9Oq0no</v>
      </c>
      <c r="D142"/>
      <c r="E142">
        <v>338000</v>
      </c>
      <c r="F142">
        <v>59.9</v>
      </c>
      <c r="G142">
        <v>16.8</v>
      </c>
      <c r="H142">
        <v>1000</v>
      </c>
      <c r="I142" t="inlineStr">
        <is>
          <t>时令水果</t>
        </is>
      </c>
      <c r="J142" t="inlineStr">
        <is>
          <t>0.00</t>
        </is>
      </c>
      <c r="K142" t="inlineStr">
        <is>
          <t>🔥低粉爆款</t>
        </is>
      </c>
      <c r="L142" t="inlineStr">
        <is>
          <t>彩虹小番茄的店</t>
        </is>
      </c>
      <c r="M142">
        <v>31000</v>
      </c>
      <c r="N142">
        <v>4.47</v>
      </c>
      <c r="O142">
        <v>526000</v>
      </c>
      <c r="P142" t="inlineStr">
        <is>
          <t>689201fe02d7b0000144bbe5</t>
        </is>
      </c>
      <c r="Q142"/>
      <c r="R142" t="inlineStr">
        <is>
          <t>14周</t>
        </is>
      </c>
      <c r="S142" t="inlineStr">
        <is>
          <t>10.90</t>
        </is>
      </c>
      <c r="T142" t="inlineStr">
        <is>
          <t>美食滋补</t>
        </is>
      </c>
      <c r="U142" t="inlineStr">
        <is>
          <t>生鲜特产</t>
        </is>
      </c>
      <c r="V142" s="3">
        <v>46112.78107638889</v>
      </c>
      <c r="W142" t="inlineStr">
        <is>
          <t>2026-Q1</t>
        </is>
      </c>
    </row>
    <row r="143" ht="25.5" customHeight="1">
      <c r="A143" t="inlineStr">
        <is>
          <t>奶黄色V领短袖T恤女2026夏季新款褶皱收腰甜辣妹短款POLO领上衣女</t>
        </is>
      </c>
      <c r="B143" t="inlineStr">
        <is>
          <t>recvfjOYGLkrfG.jpg</t>
        </is>
      </c>
      <c r="C143" s="2" t="str">
        <f>=HYPERLINK("https://xhslink.com/m/1SeKxoPloWR", "https://xhslink.com/m/1SeKxoPloWR")</f>
        <v>https://xhslink.com/m/1SeKxoPloWR</v>
      </c>
      <c r="D143"/>
      <c r="E143">
        <v>2340</v>
      </c>
      <c r="F143">
        <v>49.9</v>
      </c>
      <c r="G143">
        <v>39.9</v>
      </c>
      <c r="H143">
        <v>1000</v>
      </c>
      <c r="I143" t="inlineStr">
        <is>
          <t>短袖</t>
        </is>
      </c>
      <c r="J143" t="inlineStr">
        <is>
          <t>0.43</t>
        </is>
      </c>
      <c r="K143"/>
      <c r="L143" t="inlineStr">
        <is>
          <t>XIAO桉家原创的店</t>
        </is>
      </c>
      <c r="M143">
        <v>21000</v>
      </c>
      <c r="N143">
        <v>4.78</v>
      </c>
      <c r="O143">
        <v>163000</v>
      </c>
      <c r="P143" t="inlineStr">
        <is>
          <t>69bbb831e6196b0001b4c3c9</t>
        </is>
      </c>
      <c r="Q143" t="inlineStr">
        <is>
          <t>🚫重复</t>
        </is>
      </c>
      <c r="R143" t="inlineStr">
        <is>
          <t>14周</t>
        </is>
      </c>
      <c r="S143" t="inlineStr">
        <is>
          <t>0.11</t>
        </is>
      </c>
      <c r="T143" t="inlineStr">
        <is>
          <t>服饰穿搭</t>
        </is>
      </c>
      <c r="U143" t="inlineStr">
        <is>
          <t>女装</t>
        </is>
      </c>
      <c r="V143" s="3">
        <v>46112.78107638889</v>
      </c>
      <c r="W143" t="inlineStr">
        <is>
          <t>2026-Q1</t>
        </is>
      </c>
    </row>
    <row r="144" ht="25.5" customHeight="1">
      <c r="A144" t="inlineStr">
        <is>
          <t>前600单特价！双面磁吸手机支架合金材质桌面支架赠磁吸环</t>
        </is>
      </c>
      <c r="B144" t="inlineStr">
        <is>
          <t>recvfjOYGLFaCV.jpg</t>
        </is>
      </c>
      <c r="C144" s="2" t="str">
        <f>=HYPERLINK("https://xhslink.com/m/5QtExXo7Foe", "https://xhslink.com/m/5QtExXo7Foe")</f>
        <v>https://xhslink.com/m/5QtExXo7Foe</v>
      </c>
      <c r="D144"/>
      <c r="E144">
        <v>38000</v>
      </c>
      <c r="F144">
        <v>34.9</v>
      </c>
      <c r="G144">
        <v>32.9</v>
      </c>
      <c r="H144">
        <v>1000</v>
      </c>
      <c r="I144" t="inlineStr">
        <is>
          <t>手机支架</t>
        </is>
      </c>
      <c r="J144" t="inlineStr">
        <is>
          <t>0.03</t>
        </is>
      </c>
      <c r="K144" t="inlineStr">
        <is>
          <t>🔥低粉爆款</t>
        </is>
      </c>
      <c r="L144" t="inlineStr">
        <is>
          <t>可可乐乐儿的店</t>
        </is>
      </c>
      <c r="M144">
        <v>1456</v>
      </c>
      <c r="N144">
        <v>4.61</v>
      </c>
      <c r="O144">
        <v>40000</v>
      </c>
      <c r="P144" t="inlineStr">
        <is>
          <t>68dcd192b56f160001be0806</t>
        </is>
      </c>
      <c r="Q144" t="inlineStr">
        <is>
          <t>🚫重复</t>
        </is>
      </c>
      <c r="R144" t="inlineStr">
        <is>
          <t>14周</t>
        </is>
      </c>
      <c r="S144" t="inlineStr">
        <is>
          <t>26.10</t>
        </is>
      </c>
      <c r="T144" t="inlineStr">
        <is>
          <t>数码家电</t>
        </is>
      </c>
      <c r="U144" t="inlineStr">
        <is>
          <t>数码配件</t>
        </is>
      </c>
      <c r="V144" s="3">
        <v>46112.78107638889</v>
      </c>
      <c r="W144" t="inlineStr">
        <is>
          <t>2026-Q1</t>
        </is>
      </c>
    </row>
    <row r="145" ht="25.5" customHeight="1">
      <c r="A145" t="inlineStr">
        <is>
          <t>Whimsy原创星星翅膀opporenofind华为荣耀vivos30x200红米手机壳</t>
        </is>
      </c>
      <c r="B145" t="inlineStr">
        <is>
          <t>recvfjOYGLuHAG.jpg</t>
        </is>
      </c>
      <c r="C145" s="2" t="str">
        <f>=HYPERLINK("https://xhslink.com/m/ZZ6yGQ0mUn", "https://xhslink.com/m/ZZ6yGQ0mUn")</f>
        <v>https://xhslink.com/m/ZZ6yGQ0mUn</v>
      </c>
      <c r="D145"/>
      <c r="E145">
        <v>3696</v>
      </c>
      <c r="F145">
        <v>16.9</v>
      </c>
      <c r="G145">
        <v>13.9</v>
      </c>
      <c r="H145">
        <v>1000</v>
      </c>
      <c r="I145" t="inlineStr">
        <is>
          <t>手机壳</t>
        </is>
      </c>
      <c r="J145" t="inlineStr">
        <is>
          <t>0.27</t>
        </is>
      </c>
      <c r="K145"/>
      <c r="L145" t="inlineStr">
        <is>
          <t>Whimsy Design 梦设 💬的店</t>
        </is>
      </c>
      <c r="M145">
        <v>3294</v>
      </c>
      <c r="N145">
        <v>4.42</v>
      </c>
      <c r="O145">
        <v>4730</v>
      </c>
      <c r="P145" t="inlineStr">
        <is>
          <t>69b56fae180bf400015dbcf7</t>
        </is>
      </c>
      <c r="Q145"/>
      <c r="R145" t="inlineStr">
        <is>
          <t>14周</t>
        </is>
      </c>
      <c r="S145" t="inlineStr">
        <is>
          <t>1.12</t>
        </is>
      </c>
      <c r="T145" t="inlineStr">
        <is>
          <t>数码家电</t>
        </is>
      </c>
      <c r="U145" t="inlineStr">
        <is>
          <t>数码配件</t>
        </is>
      </c>
      <c r="V145" s="3">
        <v>46112.78107638889</v>
      </c>
      <c r="W145" t="inlineStr">
        <is>
          <t>2026-Q1</t>
        </is>
      </c>
    </row>
    <row r="146" ht="25.5" customHeight="1">
      <c r="A146" t="inlineStr">
        <is>
          <t>黛妃 · 巨巨巨好用A210斜角刀锋眼线刷眼脸下至刷卧蚕化妆刷精细眉刷沧州</t>
        </is>
      </c>
      <c r="B146" t="inlineStr">
        <is>
          <t>recvfjOYGLJgiD.jpg</t>
        </is>
      </c>
      <c r="C146" s="2" t="str">
        <f>=HYPERLINK("https://xhslink.com/m/47od3Cg2FJf", "https://xhslink.com/m/47od3Cg2FJf")</f>
        <v>https://xhslink.com/m/47od3Cg2FJf</v>
      </c>
      <c r="D146"/>
      <c r="E146">
        <v>141000</v>
      </c>
      <c r="F146">
        <v>7.9</v>
      </c>
      <c r="G146"/>
      <c r="H146">
        <v>1000</v>
      </c>
      <c r="I146" t="inlineStr">
        <is>
          <t>美妆</t>
        </is>
      </c>
      <c r="J146" t="inlineStr">
        <is>
          <t>0.01</t>
        </is>
      </c>
      <c r="K146" t="inlineStr">
        <is>
          <t>🔥低粉爆款</t>
        </is>
      </c>
      <c r="L146" t="inlineStr">
        <is>
          <t>黛妃化妆刷旗舰店</t>
        </is>
      </c>
      <c r="M146">
        <v>1704</v>
      </c>
      <c r="N146">
        <v>4.59</v>
      </c>
      <c r="O146">
        <v>160000</v>
      </c>
      <c r="P146" t="inlineStr">
        <is>
          <t>64968afa6a19dd0001fb2335</t>
        </is>
      </c>
      <c r="Q146" t="inlineStr">
        <is>
          <t>🚫重复</t>
        </is>
      </c>
      <c r="R146" t="inlineStr">
        <is>
          <t>14周</t>
        </is>
      </c>
      <c r="S146" t="inlineStr">
        <is>
          <t>82.75</t>
        </is>
      </c>
      <c r="T146" t="inlineStr">
        <is>
          <t>美妆个护</t>
        </is>
      </c>
      <c r="U146" t="inlineStr">
        <is>
          <t>护肤彩妆</t>
        </is>
      </c>
      <c r="V146" s="3">
        <v>46112.78107638889</v>
      </c>
      <c r="W146" t="inlineStr">
        <is>
          <t>2026-Q1</t>
        </is>
      </c>
    </row>
    <row r="147" ht="25.5" customHeight="1">
      <c r="A147" t="inlineStr">
        <is>
          <t>北极光星空灯极光投影灯卧室满天星氛围灯网红爆款小夜灯生日礼物</t>
        </is>
      </c>
      <c r="B147" t="inlineStr">
        <is>
          <t>recvfjOYGLnXrC.jpg</t>
        </is>
      </c>
      <c r="C147" s="2" t="str">
        <f>=HYPERLINK("https://xhslink.com/m/8TAVSonpZSd", "https://xhslink.com/m/8TAVSonpZSd")</f>
        <v>https://xhslink.com/m/8TAVSonpZSd</v>
      </c>
      <c r="D147"/>
      <c r="E147">
        <v>6125</v>
      </c>
      <c r="F147">
        <v>175</v>
      </c>
      <c r="G147"/>
      <c r="H147">
        <v>1000</v>
      </c>
      <c r="I147" t="inlineStr">
        <is>
          <t>书房</t>
        </is>
      </c>
      <c r="J147" t="inlineStr">
        <is>
          <t>0.16</t>
        </is>
      </c>
      <c r="K147" t="inlineStr">
        <is>
          <t>🔥低粉爆款</t>
        </is>
      </c>
      <c r="L147" t="inlineStr">
        <is>
          <t>埃塔星球的店</t>
        </is>
      </c>
      <c r="M147">
        <v>720</v>
      </c>
      <c r="N147">
        <v>4.64</v>
      </c>
      <c r="O147">
        <v>6898</v>
      </c>
      <c r="P147" t="inlineStr">
        <is>
          <t>685fa9ef3970ba000147b586</t>
        </is>
      </c>
      <c r="Q147" t="inlineStr">
        <is>
          <t>🚫重复</t>
        </is>
      </c>
      <c r="R147" t="inlineStr">
        <is>
          <t>14周</t>
        </is>
      </c>
      <c r="S147" t="inlineStr">
        <is>
          <t>8.51</t>
        </is>
      </c>
      <c r="T147" t="inlineStr">
        <is>
          <t>运动潮玩</t>
        </is>
      </c>
      <c r="U147" t="inlineStr">
        <is>
          <t>图书文创</t>
        </is>
      </c>
      <c r="V147" s="3">
        <v>46112.78107638889</v>
      </c>
      <c r="W147" t="inlineStr">
        <is>
          <t>2026-Q1</t>
        </is>
      </c>
    </row>
    <row r="148" ht="25.5" customHeight="1">
      <c r="A148" t="inlineStr">
        <is>
          <t>大丸梓·新款美式复古设计感粉色缝线低腰阔腿原牛色牛仔裤女</t>
        </is>
      </c>
      <c r="B148" t="inlineStr">
        <is>
          <t>recvfqmLqZfcuQ.jpg</t>
        </is>
      </c>
      <c r="C148" s="2" t="str">
        <f>=HYPERLINK("https://xhslink.com/m/3TBu2jbAL5y", "https://xhslink.com/m/3TBu2jbAL5y")</f>
        <v>https://xhslink.com/m/3TBu2jbAL5y</v>
      </c>
      <c r="D148"/>
      <c r="E148">
        <v>2283</v>
      </c>
      <c r="F148">
        <v>121</v>
      </c>
      <c r="G148">
        <v>99</v>
      </c>
      <c r="H148">
        <v>1000</v>
      </c>
      <c r="I148" t="inlineStr">
        <is>
          <t>牛仔裤</t>
        </is>
      </c>
      <c r="J148" t="inlineStr">
        <is>
          <t>0.44</t>
        </is>
      </c>
      <c r="K148"/>
      <c r="L148" t="inlineStr">
        <is>
          <t>大丸梓的店</t>
        </is>
      </c>
      <c r="M148">
        <v>2933</v>
      </c>
      <c r="N148">
        <v>4.67</v>
      </c>
      <c r="O148">
        <v>13000</v>
      </c>
      <c r="P148" t="inlineStr">
        <is>
          <t>695a2d0ad96c4500018d315b</t>
        </is>
      </c>
      <c r="Q148" t="inlineStr">
        <is>
          <t>🚫重复</t>
        </is>
      </c>
      <c r="R148" t="inlineStr">
        <is>
          <t>14周</t>
        </is>
      </c>
      <c r="S148" t="inlineStr">
        <is>
          <t>0.78</t>
        </is>
      </c>
      <c r="T148" t="inlineStr">
        <is>
          <t>服饰穿搭</t>
        </is>
      </c>
      <c r="U148" t="inlineStr">
        <is>
          <t>女装</t>
        </is>
      </c>
      <c r="V148" s="3">
        <v>46112.78107638889</v>
      </c>
      <c r="W148" t="inlineStr">
        <is>
          <t>2026-Q1</t>
        </is>
      </c>
    </row>
    <row r="149" ht="25.5" customHeight="1">
      <c r="A149" t="inlineStr">
        <is>
          <t>VIVICYCLE · 新【vivi姐同款】春季女士10A抗菌百棉短袜透气不掉跟船袜隐形袜</t>
        </is>
      </c>
      <c r="B149" t="inlineStr">
        <is>
          <t>recvfqmLqZPzRX.jpg</t>
        </is>
      </c>
      <c r="C149" s="2" t="str">
        <f>=HYPERLINK("https://xhslink.com/m/16vetY8maES", "https://xhslink.com/m/16vetY8maES")</f>
        <v>https://xhslink.com/m/16vetY8maES</v>
      </c>
      <c r="D149"/>
      <c r="E149">
        <v>1726</v>
      </c>
      <c r="F149">
        <v>39.9</v>
      </c>
      <c r="G149"/>
      <c r="H149">
        <v>1000</v>
      </c>
      <c r="I149" t="inlineStr">
        <is>
          <t>船袜</t>
        </is>
      </c>
      <c r="J149" t="inlineStr">
        <is>
          <t>0.58</t>
        </is>
      </c>
      <c r="K149"/>
      <c r="L149" t="inlineStr">
        <is>
          <t>VIVICYCLE袜子旗舰店</t>
        </is>
      </c>
      <c r="M149">
        <v>2066</v>
      </c>
      <c r="N149">
        <v>4.58</v>
      </c>
      <c r="O149">
        <v>10000</v>
      </c>
      <c r="P149" t="inlineStr">
        <is>
          <t>69b277e319f8df0015b3ec43</t>
        </is>
      </c>
      <c r="Q149"/>
      <c r="R149" t="inlineStr">
        <is>
          <t>14周</t>
        </is>
      </c>
      <c r="S149" t="inlineStr">
        <is>
          <t>0.84</t>
        </is>
      </c>
      <c r="T149" t="inlineStr">
        <is>
          <t>服饰穿搭</t>
        </is>
      </c>
      <c r="U149" t="inlineStr">
        <is>
          <t>鞋靴箱包</t>
        </is>
      </c>
      <c r="V149" s="3">
        <v>46112.78107638889</v>
      </c>
      <c r="W149" t="inlineStr">
        <is>
          <t>2026-Q1</t>
        </is>
      </c>
    </row>
    <row r="150" ht="25.5" customHeight="1">
      <c r="A150" t="inlineStr">
        <is>
          <t>【新店开业*每日仅限100单！】手作奶酥碱水棒 低卡代餐饱腹</t>
        </is>
      </c>
      <c r="B150" t="inlineStr">
        <is>
          <t>recvfqmLqZuLsY.jpg</t>
        </is>
      </c>
      <c r="C150" s="2" t="str">
        <f>=HYPERLINK("https://xhslink.com/m/4lUSHgQVbbU", "https://xhslink.com/m/4lUSHgQVbbU")</f>
        <v>https://xhslink.com/m/4lUSHgQVbbU</v>
      </c>
      <c r="D150"/>
      <c r="E150">
        <v>79000</v>
      </c>
      <c r="F150">
        <v>20.8</v>
      </c>
      <c r="G150">
        <v>9.9</v>
      </c>
      <c r="H150">
        <v>1000</v>
      </c>
      <c r="I150" t="inlineStr">
        <is>
          <t>减肥零食</t>
        </is>
      </c>
      <c r="J150" t="inlineStr">
        <is>
          <t>0.01</t>
        </is>
      </c>
      <c r="K150" t="inlineStr">
        <is>
          <t>🔥低粉爆款</t>
        </is>
      </c>
      <c r="L150" t="inlineStr">
        <is>
          <t>紫面包Handmade的店</t>
        </is>
      </c>
      <c r="M150">
        <v>3430</v>
      </c>
      <c r="N150">
        <v>4.39</v>
      </c>
      <c r="O150">
        <v>79000</v>
      </c>
      <c r="P150" t="inlineStr">
        <is>
          <t>697232053067f40001161e41</t>
        </is>
      </c>
      <c r="Q150" t="inlineStr">
        <is>
          <t>🚫重复</t>
        </is>
      </c>
      <c r="R150" t="inlineStr">
        <is>
          <t>14周</t>
        </is>
      </c>
      <c r="S150" t="inlineStr">
        <is>
          <t>23.03</t>
        </is>
      </c>
      <c r="T150" t="inlineStr">
        <is>
          <t>美食滋补</t>
        </is>
      </c>
      <c r="U150" t="inlineStr">
        <is>
          <t>休闲零食</t>
        </is>
      </c>
      <c r="V150" s="3">
        <v>46112.78107638889</v>
      </c>
      <c r="W150" t="inlineStr">
        <is>
          <t>2026-Q1</t>
        </is>
      </c>
    </row>
    <row r="151" ht="25.5" customHeight="1">
      <c r="A151" t="inlineStr">
        <is>
          <t>【顺丰冷链包邮】潮汕墨鱼丸低脂食物轻食火锅丸子空气炸锅食材</t>
        </is>
      </c>
      <c r="B151" t="inlineStr">
        <is>
          <t>recvfqmLqZb6y2.jpg</t>
        </is>
      </c>
      <c r="C151" s="2" t="str">
        <f>=HYPERLINK("https://xhslink.com/m/AVtwy9BfRBb", "https://xhslink.com/m/AVtwy9BfRBb")</f>
        <v>https://xhslink.com/m/AVtwy9BfRBb</v>
      </c>
      <c r="D151"/>
      <c r="E151">
        <v>107000</v>
      </c>
      <c r="F151">
        <v>34.8</v>
      </c>
      <c r="G151">
        <v>22.8</v>
      </c>
      <c r="H151">
        <v>1000</v>
      </c>
      <c r="I151" t="inlineStr">
        <is>
          <t>减肥零食</t>
        </is>
      </c>
      <c r="J151" t="inlineStr">
        <is>
          <t>0.01</t>
        </is>
      </c>
      <c r="K151" t="inlineStr">
        <is>
          <t>🔥低粉爆款</t>
        </is>
      </c>
      <c r="L151" t="inlineStr">
        <is>
          <t>牛肉丸研究所🐮的店</t>
        </is>
      </c>
      <c r="M151">
        <v>9215</v>
      </c>
      <c r="N151">
        <v>4.79</v>
      </c>
      <c r="O151">
        <v>172000</v>
      </c>
      <c r="P151" t="inlineStr">
        <is>
          <t>687379316fea660001bea31d</t>
        </is>
      </c>
      <c r="Q151" t="inlineStr">
        <is>
          <t>🚫重复</t>
        </is>
      </c>
      <c r="R151" t="inlineStr">
        <is>
          <t>14周</t>
        </is>
      </c>
      <c r="S151" t="inlineStr">
        <is>
          <t>11.61</t>
        </is>
      </c>
      <c r="T151" t="inlineStr">
        <is>
          <t>美食滋补</t>
        </is>
      </c>
      <c r="U151" t="inlineStr">
        <is>
          <t>休闲零食</t>
        </is>
      </c>
      <c r="V151" s="3">
        <v>46112.78107638889</v>
      </c>
      <c r="W151" t="inlineStr">
        <is>
          <t>2026-Q1</t>
        </is>
      </c>
    </row>
    <row r="152" ht="25.5" customHeight="1">
      <c r="A152" t="inlineStr">
        <is>
          <t>三只松鼠 · 【到手28包】减脂期每日轻食组合7日装蜻蜓教练鸡腿肉好吃轻负担</t>
        </is>
      </c>
      <c r="B152" t="inlineStr">
        <is>
          <t>recvfqmLqZcLbP.jpg</t>
        </is>
      </c>
      <c r="C152" s="2" t="str">
        <f>=HYPERLINK("https://xhslink.com/m/8zruRTX6ER7", "https://xhslink.com/m/8zruRTX6ER7")</f>
        <v>https://xhslink.com/m/8zruRTX6ER7</v>
      </c>
      <c r="D152"/>
      <c r="E152">
        <v>2992</v>
      </c>
      <c r="F152">
        <v>49.9</v>
      </c>
      <c r="G152">
        <v>39.9</v>
      </c>
      <c r="H152">
        <v>1000</v>
      </c>
      <c r="I152" t="inlineStr">
        <is>
          <t>减肥零食</t>
        </is>
      </c>
      <c r="J152" t="inlineStr">
        <is>
          <t>0.33</t>
        </is>
      </c>
      <c r="K152"/>
      <c r="L152" t="inlineStr">
        <is>
          <t>嬛嬛的低卡轻食日记的店</t>
        </is>
      </c>
      <c r="M152">
        <v>7264</v>
      </c>
      <c r="N152">
        <v>4.56</v>
      </c>
      <c r="O152">
        <v>262000</v>
      </c>
      <c r="P152" t="inlineStr">
        <is>
          <t>69a103e6fb672a0015842010</t>
        </is>
      </c>
      <c r="Q152" t="inlineStr">
        <is>
          <t>🚫重复</t>
        </is>
      </c>
      <c r="R152" t="inlineStr">
        <is>
          <t>14周</t>
        </is>
      </c>
      <c r="S152" t="inlineStr">
        <is>
          <t>0.41</t>
        </is>
      </c>
      <c r="T152" t="inlineStr">
        <is>
          <t>美食滋补</t>
        </is>
      </c>
      <c r="U152" t="inlineStr">
        <is>
          <t>休闲零食</t>
        </is>
      </c>
      <c r="V152" s="3">
        <v>46112.78107638889</v>
      </c>
      <c r="W152" t="inlineStr">
        <is>
          <t>2026-Q1</t>
        </is>
      </c>
    </row>
    <row r="153" ht="25.5" customHeight="1">
      <c r="A153" t="inlineStr">
        <is>
          <t>春夏新款/大肚苹果包小叶子可爱小容量手机包斜挎包//肩带可调节</t>
        </is>
      </c>
      <c r="B153" t="inlineStr">
        <is>
          <t>recvfqmLqZWUex.jpg</t>
        </is>
      </c>
      <c r="C153" s="2" t="str">
        <f>=HYPERLINK("https://xhslink.com/m/6o6qNLkklzE", "https://xhslink.com/m/6o6qNLkklzE")</f>
        <v>https://xhslink.com/m/6o6qNLkklzE</v>
      </c>
      <c r="D153"/>
      <c r="E153">
        <v>3248</v>
      </c>
      <c r="F153">
        <v>26.9</v>
      </c>
      <c r="G153">
        <v>16.9</v>
      </c>
      <c r="H153">
        <v>1000</v>
      </c>
      <c r="I153" t="inlineStr">
        <is>
          <t>小斜挎包</t>
        </is>
      </c>
      <c r="J153" t="inlineStr">
        <is>
          <t>0.31</t>
        </is>
      </c>
      <c r="K153"/>
      <c r="L153" t="inlineStr">
        <is>
          <t>幸运狗狗的店</t>
        </is>
      </c>
      <c r="M153">
        <v>211000</v>
      </c>
      <c r="N153">
        <v>4.28</v>
      </c>
      <c r="O153">
        <v>487000</v>
      </c>
      <c r="P153" t="inlineStr">
        <is>
          <t>69bce728e6196b0001d33117</t>
        </is>
      </c>
      <c r="Q153" t="inlineStr">
        <is>
          <t>🚫重复</t>
        </is>
      </c>
      <c r="R153" t="inlineStr">
        <is>
          <t>14周</t>
        </is>
      </c>
      <c r="S153" t="inlineStr">
        <is>
          <t>0.02</t>
        </is>
      </c>
      <c r="T153" t="inlineStr">
        <is>
          <t>服饰穿搭</t>
        </is>
      </c>
      <c r="U153" t="inlineStr">
        <is>
          <t>鞋靴箱包</t>
        </is>
      </c>
      <c r="V153" s="3">
        <v>46112.78107638889</v>
      </c>
      <c r="W153" t="inlineStr">
        <is>
          <t>2026-Q1</t>
        </is>
      </c>
    </row>
    <row r="154" ht="25.5" customHeight="1">
      <c r="A154" t="inlineStr">
        <is>
          <t>春夏青青飞鸟^大肚包斜挎小容量补妆拍立得手机包//肩带可调节</t>
        </is>
      </c>
      <c r="B154" t="inlineStr">
        <is>
          <t>recvfqmLqZuzmR.jpg</t>
        </is>
      </c>
      <c r="C154" s="2" t="str">
        <f>=HYPERLINK("https://xhslink.com/m/2ugqW9WUDBn", "https://xhslink.com/m/2ugqW9WUDBn")</f>
        <v>https://xhslink.com/m/2ugqW9WUDBn</v>
      </c>
      <c r="D154"/>
      <c r="E154">
        <v>1777</v>
      </c>
      <c r="F154">
        <v>26.9</v>
      </c>
      <c r="G154">
        <v>16.9</v>
      </c>
      <c r="H154">
        <v>1000</v>
      </c>
      <c r="I154" t="inlineStr">
        <is>
          <t>小斜挎包</t>
        </is>
      </c>
      <c r="J154" t="inlineStr">
        <is>
          <t>0.56</t>
        </is>
      </c>
      <c r="K154"/>
      <c r="L154" t="inlineStr">
        <is>
          <t>幸运狗狗的店</t>
        </is>
      </c>
      <c r="M154">
        <v>211000</v>
      </c>
      <c r="N154">
        <v>4.28</v>
      </c>
      <c r="O154">
        <v>487000</v>
      </c>
      <c r="P154" t="inlineStr">
        <is>
          <t>69c40f9546fe2a00014a96ea</t>
        </is>
      </c>
      <c r="Q154" t="inlineStr">
        <is>
          <t>🚫重复</t>
        </is>
      </c>
      <c r="R154" t="inlineStr">
        <is>
          <t>14周</t>
        </is>
      </c>
      <c r="S154" t="inlineStr">
        <is>
          <t>0.01</t>
        </is>
      </c>
      <c r="T154" t="inlineStr">
        <is>
          <t>服饰穿搭</t>
        </is>
      </c>
      <c r="U154" t="inlineStr">
        <is>
          <t>鞋靴箱包</t>
        </is>
      </c>
      <c r="V154" s="3">
        <v>46112.78107638889</v>
      </c>
      <c r="W154" t="inlineStr">
        <is>
          <t>2026-Q1</t>
        </is>
      </c>
    </row>
    <row r="155" ht="25.5" customHeight="1">
      <c r="A155" t="inlineStr">
        <is>
          <t>Jasmo原创小众设计秋冬天然淡水珍珠百搭简约叠戴项链锁骨链女</t>
        </is>
      </c>
      <c r="B155" t="inlineStr">
        <is>
          <t>recvfqmLqZi2AY.jpg</t>
        </is>
      </c>
      <c r="C155" s="2" t="str">
        <f>=HYPERLINK("https://xhslink.com/m/gHzdHm3wNN", "https://xhslink.com/m/gHzdHm3wNN")</f>
        <v>https://xhslink.com/m/gHzdHm3wNN</v>
      </c>
      <c r="D155"/>
      <c r="E155">
        <v>49000</v>
      </c>
      <c r="F155">
        <v>43.9</v>
      </c>
      <c r="G155">
        <v>38.63</v>
      </c>
      <c r="H155">
        <v>1000</v>
      </c>
      <c r="I155" t="inlineStr">
        <is>
          <t>饰品</t>
        </is>
      </c>
      <c r="J155" t="inlineStr">
        <is>
          <t>0.02</t>
        </is>
      </c>
      <c r="K155" t="inlineStr">
        <is>
          <t>🔥低粉爆款</t>
        </is>
      </c>
      <c r="L155" t="inlineStr">
        <is>
          <t>Jasmoacc 茉莉庄园的店</t>
        </is>
      </c>
      <c r="M155">
        <v>9782</v>
      </c>
      <c r="N155">
        <v>4.5</v>
      </c>
      <c r="O155">
        <v>74000</v>
      </c>
      <c r="P155" t="inlineStr">
        <is>
          <t>657fb244297420000153e5c9</t>
        </is>
      </c>
      <c r="Q155"/>
      <c r="R155" t="inlineStr">
        <is>
          <t>14周</t>
        </is>
      </c>
      <c r="S155" t="inlineStr">
        <is>
          <t>5.01</t>
        </is>
      </c>
      <c r="T155" t="inlineStr">
        <is>
          <t>服饰穿搭</t>
        </is>
      </c>
      <c r="U155" t="inlineStr">
        <is>
          <t>配饰</t>
        </is>
      </c>
      <c r="V155" s="3">
        <v>46112.78107638889</v>
      </c>
      <c r="W155" t="inlineStr">
        <is>
          <t>2026-Q1</t>
        </is>
      </c>
    </row>
    <row r="156" ht="25.5" customHeight="1">
      <c r="A156" t="inlineStr">
        <is>
          <t>【顺丰包邮】正宗潮汕牛肉丸牛筋丸无添加手工制作汕头特产</t>
        </is>
      </c>
      <c r="B156" t="inlineStr">
        <is>
          <t>recvfvVmDwMJNr.jpg</t>
        </is>
      </c>
      <c r="C156" s="2" t="str">
        <f>=HYPERLINK("https://xhslink.com/m/2bF1H1iYPZt", "https://xhslink.com/m/2bF1H1iYPZt")</f>
        <v>https://xhslink.com/m/2bF1H1iYPZt</v>
      </c>
      <c r="D156"/>
      <c r="E156">
        <v>164000</v>
      </c>
      <c r="F156">
        <v>88</v>
      </c>
      <c r="G156">
        <v>55</v>
      </c>
      <c r="H156">
        <v>1000</v>
      </c>
      <c r="I156" t="inlineStr">
        <is>
          <t>卤味肉干</t>
        </is>
      </c>
      <c r="J156" t="inlineStr">
        <is>
          <t>0.01</t>
        </is>
      </c>
      <c r="K156" t="inlineStr">
        <is>
          <t>🔥低粉爆款</t>
        </is>
      </c>
      <c r="L156" t="inlineStr">
        <is>
          <t>汕头档口牛肉丸的店</t>
        </is>
      </c>
      <c r="M156">
        <v>12000</v>
      </c>
      <c r="N156">
        <v>4.89</v>
      </c>
      <c r="O156">
        <v>165000</v>
      </c>
      <c r="P156" t="inlineStr">
        <is>
          <t>676d7e33ca77f500017fd8a8</t>
        </is>
      </c>
      <c r="Q156" t="inlineStr">
        <is>
          <t>🚫重复</t>
        </is>
      </c>
      <c r="R156" t="inlineStr">
        <is>
          <t>14周</t>
        </is>
      </c>
      <c r="S156" t="inlineStr">
        <is>
          <t>13.67</t>
        </is>
      </c>
      <c r="T156" t="inlineStr">
        <is>
          <t>美食滋补</t>
        </is>
      </c>
      <c r="U156" t="inlineStr">
        <is>
          <t>生鲜特产</t>
        </is>
      </c>
      <c r="V156" s="3">
        <v>46113.55826388889</v>
      </c>
      <c r="W156" t="inlineStr">
        <is>
          <t>2026-Q2</t>
        </is>
      </c>
    </row>
    <row r="157" ht="25.5" customHeight="1">
      <c r="A157" t="inlineStr">
        <is>
          <t>LFLF · 日本【北海道美白体膜】全身美白烟酰胺嫩白身体乳不粘稠</t>
        </is>
      </c>
      <c r="B157" t="inlineStr">
        <is>
          <t>recvfvVmDwPhSX.jpg</t>
        </is>
      </c>
      <c r="C157" s="2" t="str">
        <f>=HYPERLINK("https://xhslink.com/m/JVRbXphE9E", "https://xhslink.com/m/JVRbXphE9E")</f>
        <v>https://xhslink.com/m/JVRbXphE9E</v>
      </c>
      <c r="D157"/>
      <c r="E157">
        <v>4896</v>
      </c>
      <c r="F157">
        <v>86.6</v>
      </c>
      <c r="G157">
        <v>42.6</v>
      </c>
      <c r="H157">
        <v>1000</v>
      </c>
      <c r="I157" t="inlineStr">
        <is>
          <t>美白</t>
        </is>
      </c>
      <c r="J157" t="inlineStr">
        <is>
          <t>0.20</t>
        </is>
      </c>
      <c r="K157" t="inlineStr">
        <is>
          <t>🔥低粉爆款</t>
        </is>
      </c>
      <c r="L157" t="inlineStr">
        <is>
          <t>苏苏哆咪美妆的店</t>
        </is>
      </c>
      <c r="M157">
        <v>1054</v>
      </c>
      <c r="N157">
        <v>4.46</v>
      </c>
      <c r="O157">
        <v>59000</v>
      </c>
      <c r="P157" t="inlineStr">
        <is>
          <t>699f506083f25d0001212a6f</t>
        </is>
      </c>
      <c r="Q157"/>
      <c r="R157" t="inlineStr">
        <is>
          <t>14周</t>
        </is>
      </c>
      <c r="S157" t="inlineStr">
        <is>
          <t>4.65</t>
        </is>
      </c>
      <c r="T157" t="inlineStr">
        <is>
          <t>美妆个护</t>
        </is>
      </c>
      <c r="U157" t="inlineStr">
        <is>
          <t>个人护理</t>
        </is>
      </c>
      <c r="V157" s="3">
        <v>46113.55826388889</v>
      </c>
      <c r="W157" t="inlineStr">
        <is>
          <t>2026-Q2</t>
        </is>
      </c>
    </row>
    <row r="158" ht="25.5" customHeight="1">
      <c r="A158" t="inlineStr">
        <is>
          <t>okbingbing · 【前5000单79】宅女同款春夏贝壳纽扣双排扣褶皱领细节娃娃衫上</t>
        </is>
      </c>
      <c r="B158" t="inlineStr">
        <is>
          <t>recvfD7quwcO3c.jpg</t>
        </is>
      </c>
      <c r="C158" s="2" t="str">
        <f>=HYPERLINK("https://xhslink.com/m/7GUq7p0a0Rp", "https://xhslink.com/m/7GUq7p0a0Rp")</f>
        <v>https://xhslink.com/m/7GUq7p0a0Rp</v>
      </c>
      <c r="D158"/>
      <c r="E158">
        <v>4281</v>
      </c>
      <c r="F158">
        <v>79</v>
      </c>
      <c r="G158"/>
      <c r="H158">
        <v>1000</v>
      </c>
      <c r="I158" t="inlineStr">
        <is>
          <t>夏天上衣</t>
        </is>
      </c>
      <c r="J158" t="inlineStr">
        <is>
          <t>0.23</t>
        </is>
      </c>
      <c r="K158" t="inlineStr">
        <is>
          <t>🔥低粉爆款</t>
        </is>
      </c>
      <c r="L158" t="inlineStr">
        <is>
          <t>欧可缤缤的店</t>
        </is>
      </c>
      <c r="M158">
        <v>85</v>
      </c>
      <c r="N158">
        <v>4.59</v>
      </c>
      <c r="O158">
        <v>6201</v>
      </c>
      <c r="P158" t="inlineStr">
        <is>
          <t>69b0f21b771a670001c290b8</t>
        </is>
      </c>
      <c r="Q158" t="inlineStr">
        <is>
          <t>🚫重复</t>
        </is>
      </c>
      <c r="R158" t="inlineStr">
        <is>
          <t>14周</t>
        </is>
      </c>
      <c r="S158" t="inlineStr">
        <is>
          <t>50.36</t>
        </is>
      </c>
      <c r="T158" t="inlineStr">
        <is>
          <t>服饰穿搭</t>
        </is>
      </c>
      <c r="U158" t="inlineStr">
        <is>
          <t>女装</t>
        </is>
      </c>
      <c r="V158" s="3">
        <v>46114.78872685185</v>
      </c>
      <c r="W158" t="inlineStr">
        <is>
          <t>2026-Q2</t>
        </is>
      </c>
    </row>
    <row r="159" ht="25.5" customHeight="1">
      <c r="A159" t="inlineStr">
        <is>
          <t>4cm增高可爱卡通eva防臭洞洞鞋女夏季外穿厚底透气包头带足弓不响</t>
        </is>
      </c>
      <c r="B159" t="inlineStr">
        <is>
          <t>recvfD7quwMOX5.jpg</t>
        </is>
      </c>
      <c r="C159" s="2" t="str">
        <f>=HYPERLINK("https://xhslink.com/m/9KxNoVe9EG", "https://xhslink.com/m/9KxNoVe9EG")</f>
        <v>https://xhslink.com/m/9KxNoVe9EG</v>
      </c>
      <c r="D159"/>
      <c r="E159">
        <v>3323</v>
      </c>
      <c r="F159">
        <v>55.99</v>
      </c>
      <c r="G159">
        <v>34.99</v>
      </c>
      <c r="H159">
        <v>1000</v>
      </c>
      <c r="I159" t="inlineStr">
        <is>
          <t>百搭鞋子</t>
        </is>
      </c>
      <c r="J159" t="inlineStr">
        <is>
          <t>0.30</t>
        </is>
      </c>
      <c r="K159" t="inlineStr">
        <is>
          <t>🔥低粉爆款</t>
        </is>
      </c>
      <c r="L159" t="inlineStr">
        <is>
          <t>喵三扑扑的店</t>
        </is>
      </c>
      <c r="M159">
        <v>173</v>
      </c>
      <c r="N159">
        <v>4.8</v>
      </c>
      <c r="O159">
        <v>7981</v>
      </c>
      <c r="P159" t="inlineStr">
        <is>
          <t>6862527948753b00014f32a7</t>
        </is>
      </c>
      <c r="Q159"/>
      <c r="R159" t="inlineStr">
        <is>
          <t>14周</t>
        </is>
      </c>
      <c r="S159" t="inlineStr">
        <is>
          <t>19.21</t>
        </is>
      </c>
      <c r="T159" t="inlineStr">
        <is>
          <t>服饰穿搭</t>
        </is>
      </c>
      <c r="U159" t="inlineStr">
        <is>
          <t>鞋靴箱包</t>
        </is>
      </c>
      <c r="V159" s="3">
        <v>46114.78872685185</v>
      </c>
      <c r="W159" t="inlineStr">
        <is>
          <t>2026-Q2</t>
        </is>
      </c>
    </row>
    <row r="160" ht="25.5" customHeight="1">
      <c r="A160" t="inlineStr">
        <is>
          <t>平底2cm~eva材质防滑带足弓支撑洞洞鞋男女款</t>
        </is>
      </c>
      <c r="B160" t="inlineStr">
        <is>
          <t>recvfD7quwilPB.jpg</t>
        </is>
      </c>
      <c r="C160" s="2" t="str">
        <f>=HYPERLINK("https://xhslink.com/m/5n1l231NFzV", "https://xhslink.com/m/5n1l231NFzV")</f>
        <v>https://xhslink.com/m/5n1l231NFzV</v>
      </c>
      <c r="D160"/>
      <c r="E160">
        <v>1131</v>
      </c>
      <c r="F160">
        <v>73.9</v>
      </c>
      <c r="G160">
        <v>43.9</v>
      </c>
      <c r="H160">
        <v>1000</v>
      </c>
      <c r="I160" t="inlineStr">
        <is>
          <t>百搭鞋子</t>
        </is>
      </c>
      <c r="J160" t="inlineStr">
        <is>
          <t>0.88</t>
        </is>
      </c>
      <c r="K160"/>
      <c r="L160" t="inlineStr">
        <is>
          <t>小谢制鞋厂2店的店</t>
        </is>
      </c>
      <c r="M160">
        <v>1691</v>
      </c>
      <c r="N160">
        <v>4.45</v>
      </c>
      <c r="O160">
        <v>28000</v>
      </c>
      <c r="P160" t="inlineStr">
        <is>
          <t>69a9a973c125ae0001847035</t>
        </is>
      </c>
      <c r="Q160" t="inlineStr">
        <is>
          <t>🚫重复</t>
        </is>
      </c>
      <c r="R160" t="inlineStr">
        <is>
          <t>14周</t>
        </is>
      </c>
      <c r="S160" t="inlineStr">
        <is>
          <t>0.67</t>
        </is>
      </c>
      <c r="T160" t="inlineStr">
        <is>
          <t>服饰穿搭</t>
        </is>
      </c>
      <c r="U160" t="inlineStr">
        <is>
          <t>鞋靴箱包</t>
        </is>
      </c>
      <c r="V160" s="3">
        <v>46114.78872685185</v>
      </c>
      <c r="W160" t="inlineStr">
        <is>
          <t>2026-Q2</t>
        </is>
      </c>
    </row>
    <row r="161" ht="25.5" customHeight="1">
      <c r="A161" t="inlineStr">
        <is>
          <t>中长款黑色背心女夏季2024年新款设计感小个子无袖v领上衣女生</t>
        </is>
      </c>
      <c r="B161" t="inlineStr">
        <is>
          <t>recvfKbRx1rPPY.jpg</t>
        </is>
      </c>
      <c r="C161" s="2" t="str">
        <f>=HYPERLINK("https://xhslink.com/m/1ATbQTPRCfi", "https://xhslink.com/m/1ATbQTPRCfi")</f>
        <v>https://xhslink.com/m/1ATbQTPRCfi</v>
      </c>
      <c r="D161"/>
      <c r="E161">
        <v>593</v>
      </c>
      <c r="F161">
        <v>54.9</v>
      </c>
      <c r="G161"/>
      <c r="H161">
        <v>1000</v>
      </c>
      <c r="I161" t="inlineStr">
        <is>
          <t>运动背心</t>
        </is>
      </c>
      <c r="J161" t="inlineStr">
        <is>
          <t>1.69</t>
        </is>
      </c>
      <c r="K161"/>
      <c r="L161" t="inlineStr">
        <is>
          <t>鱼糯糯nuonuo的店</t>
        </is>
      </c>
      <c r="M161">
        <v>4439</v>
      </c>
      <c r="N161">
        <v>4.44</v>
      </c>
      <c r="O161">
        <v>22000</v>
      </c>
      <c r="P161" t="inlineStr">
        <is>
          <t>66ae269b0747970001218860</t>
        </is>
      </c>
      <c r="Q161"/>
      <c r="R161" t="inlineStr">
        <is>
          <t>14周</t>
        </is>
      </c>
      <c r="S161" t="inlineStr">
        <is>
          <t>0.13</t>
        </is>
      </c>
      <c r="T161" t="inlineStr">
        <is>
          <t>服饰穿搭</t>
        </is>
      </c>
      <c r="U161" t="inlineStr">
        <is>
          <t>女装</t>
        </is>
      </c>
      <c r="V161" s="3">
        <v>46115.998090277775</v>
      </c>
      <c r="W161" t="inlineStr">
        <is>
          <t>2026-Q2</t>
        </is>
      </c>
    </row>
    <row r="162" ht="25.5" customHeight="1">
      <c r="A162" t="inlineStr">
        <is>
          <t>【一团尾款】100%纯棉春夏复古汉服同福客栈佟湘玉同款睡衣套装可</t>
        </is>
      </c>
      <c r="B162" t="inlineStr">
        <is>
          <t>recvfKbRx1vl7Y.jpg</t>
        </is>
      </c>
      <c r="C162" s="2" t="str">
        <f>=HYPERLINK("https://xhslink.com/m/2mXTS4TQFzQ", "https://xhslink.com/m/2mXTS4TQFzQ")</f>
        <v>https://xhslink.com/m/2mXTS4TQFzQ</v>
      </c>
      <c r="D162"/>
      <c r="E162">
        <v>3559</v>
      </c>
      <c r="F162">
        <v>49</v>
      </c>
      <c r="G162"/>
      <c r="H162">
        <v>1000</v>
      </c>
      <c r="I162" t="inlineStr">
        <is>
          <t>夏季睡衣</t>
        </is>
      </c>
      <c r="J162" t="inlineStr">
        <is>
          <t>0.28</t>
        </is>
      </c>
      <c r="K162"/>
      <c r="L162" t="inlineStr">
        <is>
          <t>大白鹅成衣坊的店</t>
        </is>
      </c>
      <c r="M162">
        <v>5586</v>
      </c>
      <c r="N162">
        <v>4.46</v>
      </c>
      <c r="O162">
        <v>7669</v>
      </c>
      <c r="P162" t="inlineStr">
        <is>
          <t>69ab99c84a35340001bc158a</t>
        </is>
      </c>
      <c r="Q162"/>
      <c r="R162" t="inlineStr">
        <is>
          <t>14周</t>
        </is>
      </c>
      <c r="S162" t="inlineStr">
        <is>
          <t>0.64</t>
        </is>
      </c>
      <c r="T162" t="inlineStr">
        <is>
          <t>服饰穿搭</t>
        </is>
      </c>
      <c r="U162" t="inlineStr">
        <is>
          <t>女装</t>
        </is>
      </c>
      <c r="V162" s="3">
        <v>46115.998090277775</v>
      </c>
      <c r="W162" t="inlineStr">
        <is>
          <t>2026-Q2</t>
        </is>
      </c>
    </row>
    <row r="163" ht="25.5" customHeight="1">
      <c r="A163" t="inlineStr">
        <is>
          <t>弹力高腰阔腿窄版直筒拖地牛仔裤女</t>
        </is>
      </c>
      <c r="B163" t="inlineStr">
        <is>
          <t>recvfKbRx1ucAU.jpg</t>
        </is>
      </c>
      <c r="C163" s="2" t="str">
        <f>=HYPERLINK("https://xhslink.com/m/7OCNXBAtmbQ", "https://xhslink.com/m/7OCNXBAtmbQ")</f>
        <v>https://xhslink.com/m/7OCNXBAtmbQ</v>
      </c>
      <c r="D163"/>
      <c r="E163">
        <v>170000</v>
      </c>
      <c r="F163">
        <v>90</v>
      </c>
      <c r="G163">
        <v>79</v>
      </c>
      <c r="H163">
        <v>1000</v>
      </c>
      <c r="I163" t="inlineStr">
        <is>
          <t>裤子</t>
        </is>
      </c>
      <c r="J163" t="inlineStr">
        <is>
          <t>0.01</t>
        </is>
      </c>
      <c r="K163" t="inlineStr">
        <is>
          <t>🔥低粉爆款</t>
        </is>
      </c>
      <c r="L163" t="inlineStr">
        <is>
          <t>a奶爸小店的店</t>
        </is>
      </c>
      <c r="M163">
        <v>25000</v>
      </c>
      <c r="N163">
        <v>4.61</v>
      </c>
      <c r="O163">
        <v>283000</v>
      </c>
      <c r="P163" t="inlineStr">
        <is>
          <t>6364cf868d683100017bcb04</t>
        </is>
      </c>
      <c r="Q163" t="inlineStr">
        <is>
          <t>🚫重复</t>
        </is>
      </c>
      <c r="R163" t="inlineStr">
        <is>
          <t>14周</t>
        </is>
      </c>
      <c r="S163" t="inlineStr">
        <is>
          <t>6.80</t>
        </is>
      </c>
      <c r="T163" t="inlineStr">
        <is>
          <t>服饰穿搭</t>
        </is>
      </c>
      <c r="U163" t="inlineStr">
        <is>
          <t>女装</t>
        </is>
      </c>
      <c r="V163" s="3">
        <v>46115.998090277775</v>
      </c>
      <c r="W163" t="inlineStr">
        <is>
          <t>2026-Q2</t>
        </is>
      </c>
    </row>
    <row r="164" ht="25.5" customHeight="1">
      <c r="A164" t="inlineStr">
        <is>
          <t>【餐后排氵由】山楂陈皮茯苓水·排淤超模水暴食饮食油腻·10包/袋</t>
        </is>
      </c>
      <c r="B164" t="inlineStr">
        <is>
          <t>recvfP5n2TMKBb.jpg</t>
        </is>
      </c>
      <c r="C164" s="2" t="str">
        <f>=HYPERLINK("https://xhslink.com/m/AGVdYxSczxl", "https://xhslink.com/m/AGVdYxSczxl")</f>
        <v>https://xhslink.com/m/AGVdYxSczxl</v>
      </c>
      <c r="D164"/>
      <c r="E164">
        <v>57000</v>
      </c>
      <c r="F164">
        <v>79.9</v>
      </c>
      <c r="G164">
        <v>39.9</v>
      </c>
      <c r="H164">
        <v>1000</v>
      </c>
      <c r="I164" t="inlineStr">
        <is>
          <t>养生茶</t>
        </is>
      </c>
      <c r="J164" t="inlineStr">
        <is>
          <t>0.02</t>
        </is>
      </c>
      <c r="K164" t="inlineStr">
        <is>
          <t>🔥低粉爆款</t>
        </is>
      </c>
      <c r="L164" t="inlineStr">
        <is>
          <t>二十四食养的店</t>
        </is>
      </c>
      <c r="M164">
        <v>530</v>
      </c>
      <c r="N164">
        <v>4.53</v>
      </c>
      <c r="O164">
        <v>61000</v>
      </c>
      <c r="P164" t="inlineStr">
        <is>
          <t>67a8754017cfa00001619a0d</t>
        </is>
      </c>
      <c r="Q164"/>
      <c r="R164" t="inlineStr">
        <is>
          <t>14周</t>
        </is>
      </c>
      <c r="S164" t="inlineStr">
        <is>
          <t>107.55</t>
        </is>
      </c>
      <c r="T164" t="inlineStr">
        <is>
          <t>美食滋补</t>
        </is>
      </c>
      <c r="U164" t="inlineStr">
        <is>
          <t>酒水冲饮</t>
        </is>
      </c>
      <c r="V164" s="3">
        <v>46116.83530092592</v>
      </c>
      <c r="W164" t="inlineStr">
        <is>
          <t>2026-Q2</t>
        </is>
      </c>
    </row>
    <row r="165" ht="25.5" customHeight="1">
      <c r="A165" t="inlineStr">
        <is>
          <t>野餐垫户外用品加厚露营草坪垫防水防潮折叠便携春游野炊音乐节</t>
        </is>
      </c>
      <c r="B165" t="inlineStr">
        <is>
          <t>recvfP5nJfB7dz.jpg</t>
        </is>
      </c>
      <c r="C165" s="2" t="str">
        <f>=HYPERLINK("https://xhslink.com/m/7or9TqctSZj", "https://xhslink.com/m/7or9TqctSZj")</f>
        <v>https://xhslink.com/m/7or9TqctSZj</v>
      </c>
      <c r="D165"/>
      <c r="E165">
        <v>19000</v>
      </c>
      <c r="F165">
        <v>18.8</v>
      </c>
      <c r="G165"/>
      <c r="H165">
        <v>1000</v>
      </c>
      <c r="I165" t="inlineStr">
        <is>
          <t>防潮垫</t>
        </is>
      </c>
      <c r="J165" t="inlineStr">
        <is>
          <t>0.05</t>
        </is>
      </c>
      <c r="K165" t="inlineStr">
        <is>
          <t>🔥低粉爆款</t>
        </is>
      </c>
      <c r="L165" t="inlineStr">
        <is>
          <t>科承生活馆的店</t>
        </is>
      </c>
      <c r="M165">
        <v>371</v>
      </c>
      <c r="N165">
        <v>4.73</v>
      </c>
      <c r="O165">
        <v>31000</v>
      </c>
      <c r="P165" t="inlineStr">
        <is>
          <t>67c6b7819759260001fa6cc1</t>
        </is>
      </c>
      <c r="Q165"/>
      <c r="R165" t="inlineStr">
        <is>
          <t>14周</t>
        </is>
      </c>
      <c r="S165" t="inlineStr">
        <is>
          <t>51.21</t>
        </is>
      </c>
      <c r="T165" t="inlineStr">
        <is>
          <t>运动潮玩</t>
        </is>
      </c>
      <c r="U165" t="inlineStr">
        <is>
          <t>运动户外装备</t>
        </is>
      </c>
      <c r="V165" s="3">
        <v>46116.835335648146</v>
      </c>
      <c r="W165" t="inlineStr">
        <is>
          <t>2026-Q2</t>
        </is>
      </c>
    </row>
    <row r="166" ht="25.5" customHeight="1">
      <c r="A166" t="inlineStr">
        <is>
          <t>觅果手作【28.8元任选五个】加购自动改价手作贝果碱水球早餐</t>
        </is>
      </c>
      <c r="B166" t="inlineStr">
        <is>
          <t>recvfP5nJf9lBz.jpg</t>
        </is>
      </c>
      <c r="C166" s="2" t="str">
        <f>=HYPERLINK("https://xhslink.com/m/6NYG2NdfB6L", "https://xhslink.com/m/6NYG2NdfB6L")</f>
        <v>https://xhslink.com/m/6NYG2NdfB6L</v>
      </c>
      <c r="D166"/>
      <c r="E166">
        <v>239000</v>
      </c>
      <c r="F166">
        <v>20</v>
      </c>
      <c r="G166">
        <v>11.76</v>
      </c>
      <c r="H166">
        <v>1000</v>
      </c>
      <c r="I166" t="inlineStr">
        <is>
          <t>面包</t>
        </is>
      </c>
      <c r="J166" t="inlineStr">
        <is>
          <t>0.00</t>
        </is>
      </c>
      <c r="K166" t="inlineStr">
        <is>
          <t>🔥低粉爆款</t>
        </is>
      </c>
      <c r="L166" t="inlineStr">
        <is>
          <t>暖炉甜铺甜品的店</t>
        </is>
      </c>
      <c r="M166">
        <v>4462</v>
      </c>
      <c r="N166">
        <v>4.47</v>
      </c>
      <c r="O166">
        <v>258000</v>
      </c>
      <c r="P166" t="inlineStr">
        <is>
          <t>6923d048e7d6b5000157a310</t>
        </is>
      </c>
      <c r="Q166"/>
      <c r="R166" t="inlineStr">
        <is>
          <t>14周</t>
        </is>
      </c>
      <c r="S166" t="inlineStr">
        <is>
          <t>53.56</t>
        </is>
      </c>
      <c r="T166" t="inlineStr">
        <is>
          <t>美食滋补</t>
        </is>
      </c>
      <c r="U166" t="inlineStr">
        <is>
          <t>休闲零食</t>
        </is>
      </c>
      <c r="V166" s="3">
        <v>46116.835335648146</v>
      </c>
      <c r="W166" t="inlineStr">
        <is>
          <t>2026-Q2</t>
        </is>
      </c>
    </row>
    <row r="167" ht="25.5" customHeight="1">
      <c r="A167" t="inlineStr">
        <is>
          <t>前600单特价！双面磁吸手机支架合金材质桌面支架赠磁吸环</t>
        </is>
      </c>
      <c r="B167" t="inlineStr">
        <is>
          <t>recvfP5nJfLQWH.jpg</t>
        </is>
      </c>
      <c r="C167" s="2" t="str">
        <f>=HYPERLINK("https://xhslink.com/m/8X1DDoC88HV", "https://xhslink.com/m/8X1DDoC88HV")</f>
        <v>https://xhslink.com/m/8X1DDoC88HV</v>
      </c>
      <c r="D167"/>
      <c r="E167">
        <v>40000</v>
      </c>
      <c r="F167">
        <v>34.9</v>
      </c>
      <c r="G167">
        <v>32.9</v>
      </c>
      <c r="H167">
        <v>1000</v>
      </c>
      <c r="I167" t="inlineStr">
        <is>
          <t>小物件</t>
        </is>
      </c>
      <c r="J167" t="inlineStr">
        <is>
          <t>0.03</t>
        </is>
      </c>
      <c r="K167" t="inlineStr">
        <is>
          <t>🔥低粉爆款</t>
        </is>
      </c>
      <c r="L167" t="inlineStr">
        <is>
          <t>可可乐乐儿的店</t>
        </is>
      </c>
      <c r="M167">
        <v>1517</v>
      </c>
      <c r="N167">
        <v>4.56</v>
      </c>
      <c r="O167">
        <v>42000</v>
      </c>
      <c r="P167" t="inlineStr">
        <is>
          <t>68dcd192b56f160001be07fd</t>
        </is>
      </c>
      <c r="Q167" t="inlineStr">
        <is>
          <t>🚫重复</t>
        </is>
      </c>
      <c r="R167" t="inlineStr">
        <is>
          <t>14周</t>
        </is>
      </c>
      <c r="S167" t="inlineStr">
        <is>
          <t>26.37</t>
        </is>
      </c>
      <c r="T167" t="inlineStr">
        <is>
          <t>数码家电</t>
        </is>
      </c>
      <c r="U167" t="inlineStr">
        <is>
          <t>数码配件</t>
        </is>
      </c>
      <c r="V167" s="3">
        <v>46116.835335648146</v>
      </c>
      <c r="W167" t="inlineStr">
        <is>
          <t>2026-Q2</t>
        </is>
      </c>
    </row>
    <row r="168" ht="25.5" customHeight="1">
      <c r="A168" t="inlineStr">
        <is>
          <t>【海南金煌芒果】三亚芒果当季新鲜水果孕妇水仙芒纸核芒鲜甜5斤</t>
        </is>
      </c>
      <c r="B168" t="inlineStr">
        <is>
          <t>recvfVt9jWaTth.jpg</t>
        </is>
      </c>
      <c r="C168" s="2" t="str">
        <f>=HYPERLINK("https://xhslink.com/m/5JSR301JrzO", "https://xhslink.com/m/5JSR301JrzO")</f>
        <v>https://xhslink.com/m/5JSR301JrzO</v>
      </c>
      <c r="D168"/>
      <c r="E168">
        <v>429000</v>
      </c>
      <c r="F168">
        <v>39.9</v>
      </c>
      <c r="G168">
        <v>29.9</v>
      </c>
      <c r="H168">
        <v>1000</v>
      </c>
      <c r="I168" t="inlineStr">
        <is>
          <t>水果</t>
        </is>
      </c>
      <c r="J168" t="inlineStr">
        <is>
          <t>0.00</t>
        </is>
      </c>
      <c r="K168" t="inlineStr">
        <is>
          <t>🔥低粉爆款</t>
        </is>
      </c>
      <c r="L168" t="inlineStr">
        <is>
          <t>野里鲜果的店</t>
        </is>
      </c>
      <c r="M168">
        <v>3426</v>
      </c>
      <c r="N168">
        <v>4.53</v>
      </c>
      <c r="O168">
        <v>234000</v>
      </c>
      <c r="P168" t="inlineStr">
        <is>
          <t>67bc9c6ef2389c00019d201f</t>
        </is>
      </c>
      <c r="Q168" t="inlineStr">
        <is>
          <t>🚫重复</t>
        </is>
      </c>
      <c r="R168" t="inlineStr">
        <is>
          <t>14周</t>
        </is>
      </c>
      <c r="S168" t="inlineStr">
        <is>
          <t>125.22</t>
        </is>
      </c>
      <c r="T168" t="inlineStr">
        <is>
          <t>美食滋补</t>
        </is>
      </c>
      <c r="U168" t="inlineStr">
        <is>
          <t>生鲜特产</t>
        </is>
      </c>
      <c r="V168" s="3">
        <v>46117.927083333336</v>
      </c>
      <c r="W168" t="inlineStr">
        <is>
          <t>2026-Q2</t>
        </is>
      </c>
    </row>
    <row r="169" ht="25.5" customHeight="1">
      <c r="A169" t="inlineStr">
        <is>
          <t>【买二送二】新鲜蓝莓甄选当季鲜果孕妇宝宝辅食整箱现摘S9-2</t>
        </is>
      </c>
      <c r="B169" t="inlineStr">
        <is>
          <t>recvfVt9jWLMhU.jpg</t>
        </is>
      </c>
      <c r="C169" s="2" t="str">
        <f>=HYPERLINK("https://xhslink.com/m/ADZes2CjGkw", "https://xhslink.com/m/ADZes2CjGkw")</f>
        <v>https://xhslink.com/m/ADZes2CjGkw</v>
      </c>
      <c r="D169"/>
      <c r="E169">
        <v>28000</v>
      </c>
      <c r="F169">
        <v>48.9</v>
      </c>
      <c r="G169">
        <v>18.9</v>
      </c>
      <c r="H169">
        <v>1000</v>
      </c>
      <c r="I169" t="inlineStr">
        <is>
          <t>水果</t>
        </is>
      </c>
      <c r="J169" t="inlineStr">
        <is>
          <t>0.04</t>
        </is>
      </c>
      <c r="K169" t="inlineStr">
        <is>
          <t>🔥低粉爆款</t>
        </is>
      </c>
      <c r="L169" t="inlineStr">
        <is>
          <t>卓速配的店</t>
        </is>
      </c>
      <c r="M169">
        <v>200</v>
      </c>
      <c r="N169">
        <v>4.39</v>
      </c>
      <c r="O169">
        <v>158000</v>
      </c>
      <c r="P169" t="inlineStr">
        <is>
          <t>6988444b7db7d200015f07b1</t>
        </is>
      </c>
      <c r="Q169" t="inlineStr">
        <is>
          <t>🚫重复</t>
        </is>
      </c>
      <c r="R169" t="inlineStr">
        <is>
          <t>14周</t>
        </is>
      </c>
      <c r="S169" t="inlineStr">
        <is>
          <t>140.00</t>
        </is>
      </c>
      <c r="T169" t="inlineStr">
        <is>
          <t>母婴亲子</t>
        </is>
      </c>
      <c r="U169" t="inlineStr">
        <is>
          <t>童装童鞋</t>
        </is>
      </c>
      <c r="V169" s="3">
        <v>46117.927083333336</v>
      </c>
      <c r="W169" t="inlineStr">
        <is>
          <t>2026-Q2</t>
        </is>
      </c>
    </row>
    <row r="170" ht="25.5" customHeight="1">
      <c r="A170" t="inlineStr">
        <is>
          <t>爱物极物 · 小扫把腮红刷上妆腮红膏清透自然美妆刷子坡面粉底刷软毛化妆刷</t>
        </is>
      </c>
      <c r="B170" t="inlineStr">
        <is>
          <t>recvfVt9jWNv1O.jpg</t>
        </is>
      </c>
      <c r="C170" s="2" t="str">
        <f>=HYPERLINK("https://xhslink.com/m/7RwyWMZ7byb", "https://xhslink.com/m/7RwyWMZ7byb")</f>
        <v>https://xhslink.com/m/7RwyWMZ7byb</v>
      </c>
      <c r="D170"/>
      <c r="E170">
        <v>321000</v>
      </c>
      <c r="F170">
        <v>16.9</v>
      </c>
      <c r="G170">
        <v>14.87</v>
      </c>
      <c r="H170">
        <v>1000</v>
      </c>
      <c r="I170" t="inlineStr">
        <is>
          <t>化妆刷</t>
        </is>
      </c>
      <c r="J170" t="inlineStr">
        <is>
          <t>0.00</t>
        </is>
      </c>
      <c r="K170" t="inlineStr">
        <is>
          <t>🔥低粉爆款</t>
        </is>
      </c>
      <c r="L170" t="inlineStr">
        <is>
          <t>爱物极物旗舰店</t>
        </is>
      </c>
      <c r="M170">
        <v>56000</v>
      </c>
      <c r="N170">
        <v>4.8</v>
      </c>
      <c r="O170">
        <v>2143000</v>
      </c>
      <c r="P170" t="inlineStr">
        <is>
          <t>66921681e7b33d000133b7ca</t>
        </is>
      </c>
      <c r="Q170" t="inlineStr">
        <is>
          <t>🚫重复</t>
        </is>
      </c>
      <c r="R170" t="inlineStr">
        <is>
          <t>14周</t>
        </is>
      </c>
      <c r="S170" t="inlineStr">
        <is>
          <t>5.73</t>
        </is>
      </c>
      <c r="T170" t="inlineStr">
        <is>
          <t>美妆个护</t>
        </is>
      </c>
      <c r="U170" t="inlineStr">
        <is>
          <t>护肤彩妆</t>
        </is>
      </c>
      <c r="V170" s="3">
        <v>46117.927083333336</v>
      </c>
      <c r="W170" t="inlineStr">
        <is>
          <t>2026-Q2</t>
        </is>
      </c>
    </row>
    <row r="171" ht="25.5" customHeight="1">
      <c r="A171" t="inlineStr">
        <is>
          <t>【顺丰冷链包邮】潮汕墨鱼丸低脂食物轻食火锅丸子空气炸锅食材</t>
        </is>
      </c>
      <c r="B171" t="inlineStr">
        <is>
          <t>recvfVt9jWo0ns.jpg</t>
        </is>
      </c>
      <c r="C171" s="2" t="str">
        <f>=HYPERLINK("https://xhslink.com/m/1qtOnpUxMCB", "https://xhslink.com/m/1qtOnpUxMCB")</f>
        <v>https://xhslink.com/m/1qtOnpUxMCB</v>
      </c>
      <c r="D171"/>
      <c r="E171">
        <v>110000</v>
      </c>
      <c r="F171">
        <v>99.8</v>
      </c>
      <c r="G171">
        <v>79.8</v>
      </c>
      <c r="H171">
        <v>1000</v>
      </c>
      <c r="I171" t="inlineStr">
        <is>
          <t>低卡食物</t>
        </is>
      </c>
      <c r="J171" t="inlineStr">
        <is>
          <t>0.01</t>
        </is>
      </c>
      <c r="K171" t="inlineStr">
        <is>
          <t>🔥低粉爆款</t>
        </is>
      </c>
      <c r="L171" t="inlineStr">
        <is>
          <t>牛肉丸研究所🐮的店</t>
        </is>
      </c>
      <c r="M171">
        <v>9374</v>
      </c>
      <c r="N171">
        <v>4.79</v>
      </c>
      <c r="O171">
        <v>177000</v>
      </c>
      <c r="P171" t="inlineStr">
        <is>
          <t>686289a8283593000162b955</t>
        </is>
      </c>
      <c r="Q171" t="inlineStr">
        <is>
          <t>🚫重复</t>
        </is>
      </c>
      <c r="R171" t="inlineStr">
        <is>
          <t>14周</t>
        </is>
      </c>
      <c r="S171" t="inlineStr">
        <is>
          <t>11.73</t>
        </is>
      </c>
      <c r="T171" t="inlineStr">
        <is>
          <t>美食滋补</t>
        </is>
      </c>
      <c r="U171" t="inlineStr">
        <is>
          <t>休闲零食</t>
        </is>
      </c>
      <c r="V171" s="3">
        <v>46117.927083333336</v>
      </c>
      <c r="W171" t="inlineStr">
        <is>
          <t>2026-Q2</t>
        </is>
      </c>
    </row>
    <row r="172" ht="25.5" customHeight="1">
      <c r="A172" t="inlineStr">
        <is>
          <t>【新店开业*每日仅限100单！】手作奶酥碱水棒 低卡代餐饱腹</t>
        </is>
      </c>
      <c r="B172" t="inlineStr">
        <is>
          <t>recvfVt9jWJ0Ep.jpg</t>
        </is>
      </c>
      <c r="C172" s="2" t="str">
        <f>=HYPERLINK("https://xhslink.com/m/7yXmcZxy6xf", "https://xhslink.com/m/7yXmcZxy6xf")</f>
        <v>https://xhslink.com/m/7yXmcZxy6xf</v>
      </c>
      <c r="D172"/>
      <c r="E172">
        <v>85000</v>
      </c>
      <c r="F172">
        <v>48.8</v>
      </c>
      <c r="G172">
        <v>33.8</v>
      </c>
      <c r="H172">
        <v>1000</v>
      </c>
      <c r="I172" t="inlineStr">
        <is>
          <t>低卡食物</t>
        </is>
      </c>
      <c r="J172" t="inlineStr">
        <is>
          <t>0.01</t>
        </is>
      </c>
      <c r="K172" t="inlineStr">
        <is>
          <t>🔥低粉爆款</t>
        </is>
      </c>
      <c r="L172" t="inlineStr">
        <is>
          <t>紫面包Handmade的店</t>
        </is>
      </c>
      <c r="M172">
        <v>3505</v>
      </c>
      <c r="N172">
        <v>4.37</v>
      </c>
      <c r="O172">
        <v>85000</v>
      </c>
      <c r="P172" t="inlineStr">
        <is>
          <t>697232053067f40001161e44</t>
        </is>
      </c>
      <c r="Q172" t="inlineStr">
        <is>
          <t>🚫重复</t>
        </is>
      </c>
      <c r="R172" t="inlineStr">
        <is>
          <t>14周</t>
        </is>
      </c>
      <c r="S172" t="inlineStr">
        <is>
          <t>24.25</t>
        </is>
      </c>
      <c r="T172" t="inlineStr">
        <is>
          <t>美食滋补</t>
        </is>
      </c>
      <c r="U172" t="inlineStr">
        <is>
          <t>休闲零食</t>
        </is>
      </c>
      <c r="V172" s="3">
        <v>46117.927083333336</v>
      </c>
      <c r="W172" t="inlineStr">
        <is>
          <t>2026-Q2</t>
        </is>
      </c>
    </row>
    <row r="173" ht="25.5" customHeight="1">
      <c r="A173" t="inlineStr">
        <is>
          <t>北京国际电影节官方吉祥物-燕喜儿毛绒公仔（盲盒）</t>
        </is>
      </c>
      <c r="B173" t="inlineStr">
        <is>
          <t>recvfVt9jWpDSS.jpg</t>
        </is>
      </c>
      <c r="C173" s="2" t="str">
        <f>=HYPERLINK("https://xhslink.com/m/3ak3hQ9Q7dF", "https://xhslink.com/m/3ak3hQ9Q7dF")</f>
        <v>https://xhslink.com/m/3ak3hQ9Q7dF</v>
      </c>
      <c r="D173"/>
      <c r="E173">
        <v>1101</v>
      </c>
      <c r="F173">
        <v>89</v>
      </c>
      <c r="G173"/>
      <c r="H173">
        <v>1000</v>
      </c>
      <c r="I173" t="inlineStr">
        <is>
          <t>小玩偶</t>
        </is>
      </c>
      <c r="J173" t="inlineStr">
        <is>
          <t>0.91</t>
        </is>
      </c>
      <c r="K173"/>
      <c r="L173" t="inlineStr">
        <is>
          <t>燕喜儿-Yancey的店</t>
        </is>
      </c>
      <c r="M173">
        <v>1516</v>
      </c>
      <c r="N173">
        <v>4.36</v>
      </c>
      <c r="O173">
        <v>2207</v>
      </c>
      <c r="P173" t="inlineStr">
        <is>
          <t>69ce9d03450d06000111cf37</t>
        </is>
      </c>
      <c r="Q173"/>
      <c r="R173" t="inlineStr">
        <is>
          <t>14周</t>
        </is>
      </c>
      <c r="S173" t="inlineStr">
        <is>
          <t>0.73</t>
        </is>
      </c>
      <c r="T173" t="inlineStr">
        <is>
          <t>运动潮玩</t>
        </is>
      </c>
      <c r="U173" t="inlineStr">
        <is>
          <t>潮玩手办</t>
        </is>
      </c>
      <c r="V173" s="3">
        <v>46117.927083333336</v>
      </c>
      <c r="W173" t="inlineStr">
        <is>
          <t>2026-Q2</t>
        </is>
      </c>
    </row>
    <row r="174" ht="25.5" customHeight="1">
      <c r="A174" t="inlineStr">
        <is>
          <t>77瑜伽健身服女紧身显瘦瑜伽服短袖圆领透气跑步运动t恤普拉提女</t>
        </is>
      </c>
      <c r="B174" t="inlineStr">
        <is>
          <t>recvg1BDH5xZQq.jpg</t>
        </is>
      </c>
      <c r="C174" s="2" t="str">
        <f>=HYPERLINK("https://xhslink.com/m/5PpMWniz6u7", "https://xhslink.com/m/5PpMWniz6u7")</f>
        <v>https://xhslink.com/m/5PpMWniz6u7</v>
      </c>
      <c r="D174"/>
      <c r="E174">
        <v>18000</v>
      </c>
      <c r="F174">
        <v>39</v>
      </c>
      <c r="G174"/>
      <c r="H174">
        <v>1000</v>
      </c>
      <c r="I174" t="inlineStr">
        <is>
          <t>健身</t>
        </is>
      </c>
      <c r="J174" t="inlineStr">
        <is>
          <t>0.06</t>
        </is>
      </c>
      <c r="K174"/>
      <c r="L174" t="inlineStr">
        <is>
          <t>瑜伽少女Yoga的店</t>
        </is>
      </c>
      <c r="M174">
        <v>10000</v>
      </c>
      <c r="N174">
        <v>4.73</v>
      </c>
      <c r="O174">
        <v>255000</v>
      </c>
      <c r="P174" t="inlineStr">
        <is>
          <t>6933a69d127fb60001e8d503</t>
        </is>
      </c>
      <c r="Q174" t="inlineStr">
        <is>
          <t>🚫重复</t>
        </is>
      </c>
      <c r="R174" t="inlineStr">
        <is>
          <t>15周</t>
        </is>
      </c>
      <c r="S174" t="inlineStr">
        <is>
          <t>1.80</t>
        </is>
      </c>
      <c r="T174" t="inlineStr">
        <is>
          <t>运动潮玩</t>
        </is>
      </c>
      <c r="U174" t="inlineStr">
        <is>
          <t>运动户外装备</t>
        </is>
      </c>
      <c r="V174" s="3">
        <v>46118.97659722222</v>
      </c>
      <c r="W174" t="inlineStr">
        <is>
          <t>2026-Q2</t>
        </is>
      </c>
    </row>
    <row r="175" ht="25.5" customHeight="1">
      <c r="A175" t="inlineStr">
        <is>
          <t>宽松直筒阔腿裤女2026新款春秋垂感显瘦高腰休闲运动瑜伽长裤</t>
        </is>
      </c>
      <c r="B175" t="inlineStr">
        <is>
          <t>recvg1BDH5eeqG.jpg</t>
        </is>
      </c>
      <c r="C175" s="2" t="str">
        <f>=HYPERLINK("https://xhslink.com/m/6oQJnrHKGLo", "https://xhslink.com/m/6oQJnrHKGLo")</f>
        <v>https://xhslink.com/m/6oQJnrHKGLo</v>
      </c>
      <c r="D175"/>
      <c r="E175">
        <v>25000</v>
      </c>
      <c r="F175">
        <v>59.9</v>
      </c>
      <c r="G175">
        <v>39.9</v>
      </c>
      <c r="H175">
        <v>1000</v>
      </c>
      <c r="I175" t="inlineStr">
        <is>
          <t>健身</t>
        </is>
      </c>
      <c r="J175" t="inlineStr">
        <is>
          <t>0.04</t>
        </is>
      </c>
      <c r="K175"/>
      <c r="L175" t="inlineStr">
        <is>
          <t>云感Yoga瑜伽的店</t>
        </is>
      </c>
      <c r="M175">
        <v>29000</v>
      </c>
      <c r="N175">
        <v>4.52</v>
      </c>
      <c r="O175">
        <v>330000</v>
      </c>
      <c r="P175" t="inlineStr">
        <is>
          <t>691d8615ccb9e00001c35121</t>
        </is>
      </c>
      <c r="Q175" t="inlineStr">
        <is>
          <t>🚫重复</t>
        </is>
      </c>
      <c r="R175" t="inlineStr">
        <is>
          <t>15周</t>
        </is>
      </c>
      <c r="S175" t="inlineStr">
        <is>
          <t>0.86</t>
        </is>
      </c>
      <c r="T175" t="inlineStr">
        <is>
          <t>服饰穿搭</t>
        </is>
      </c>
      <c r="U175" t="inlineStr">
        <is>
          <t>女装</t>
        </is>
      </c>
      <c r="V175" s="3">
        <v>46118.97659722222</v>
      </c>
      <c r="W175" t="inlineStr">
        <is>
          <t>2026-Q2</t>
        </is>
      </c>
    </row>
    <row r="176" ht="25.5" customHeight="1">
      <c r="A176" t="inlineStr">
        <is>
          <t>Enjoy it乐在其中 · 压力小腿袜女专业运动健身跑步肌能压缩袜徒步骑行长筒袜</t>
        </is>
      </c>
      <c r="B176" t="inlineStr">
        <is>
          <t>recvg1BDH5TCIn.jpg</t>
        </is>
      </c>
      <c r="C176" s="2" t="str">
        <f>=HYPERLINK("https://xhslink.com/m/3zSAd5xuCU8", "https://xhslink.com/m/3zSAd5xuCU8")</f>
        <v>https://xhslink.com/m/3zSAd5xuCU8</v>
      </c>
      <c r="D176"/>
      <c r="E176">
        <v>55000</v>
      </c>
      <c r="F176">
        <v>25.9</v>
      </c>
      <c r="G176">
        <v>22.74</v>
      </c>
      <c r="H176">
        <v>1000</v>
      </c>
      <c r="I176" t="inlineStr">
        <is>
          <t>健身</t>
        </is>
      </c>
      <c r="J176" t="inlineStr">
        <is>
          <t>0.02</t>
        </is>
      </c>
      <c r="K176"/>
      <c r="L176" t="inlineStr">
        <is>
          <t>enjoy it旗舰店</t>
        </is>
      </c>
      <c r="M176">
        <v>79000</v>
      </c>
      <c r="N176">
        <v>4.71</v>
      </c>
      <c r="O176">
        <v>485000</v>
      </c>
      <c r="P176" t="inlineStr">
        <is>
          <t>684f6db77128cd0015c08abc</t>
        </is>
      </c>
      <c r="Q176" t="inlineStr">
        <is>
          <t>🚫重复</t>
        </is>
      </c>
      <c r="R176" t="inlineStr">
        <is>
          <t>15周</t>
        </is>
      </c>
      <c r="S176" t="inlineStr">
        <is>
          <t>0.70</t>
        </is>
      </c>
      <c r="T176" t="inlineStr">
        <is>
          <t>运动潮玩</t>
        </is>
      </c>
      <c r="U176" t="inlineStr">
        <is>
          <t>运动户外装备</t>
        </is>
      </c>
      <c r="V176" s="3">
        <v>46118.97659722222</v>
      </c>
      <c r="W176" t="inlineStr">
        <is>
          <t>2026-Q2</t>
        </is>
      </c>
    </row>
    <row r="177" ht="25.5" customHeight="1">
      <c r="A177" t="inlineStr">
        <is>
          <t>可爱毛绒软萌安抚兔卡通挂件玩偶解压天使小兔包包挂件日系甜美</t>
        </is>
      </c>
      <c r="B177" t="inlineStr">
        <is>
          <t>recvg1BDH5DIyX.jpg</t>
        </is>
      </c>
      <c r="C177" s="2" t="str">
        <f>=HYPERLINK("https://xhslink.com/m/9ya2kUPSESx", "https://xhslink.com/m/9ya2kUPSESx")</f>
        <v>https://xhslink.com/m/9ya2kUPSESx</v>
      </c>
      <c r="D177"/>
      <c r="E177">
        <v>34000</v>
      </c>
      <c r="F177">
        <v>20.9</v>
      </c>
      <c r="G177">
        <v>6.9</v>
      </c>
      <c r="H177">
        <v>1000</v>
      </c>
      <c r="I177" t="inlineStr">
        <is>
          <t>挂件</t>
        </is>
      </c>
      <c r="J177" t="inlineStr">
        <is>
          <t>0.03</t>
        </is>
      </c>
      <c r="K177" t="inlineStr">
        <is>
          <t>🔥低粉爆款</t>
        </is>
      </c>
      <c r="L177" t="inlineStr">
        <is>
          <t>喜柚吉至的店</t>
        </is>
      </c>
      <c r="M177">
        <v>1078</v>
      </c>
      <c r="N177">
        <v>4.4</v>
      </c>
      <c r="O177">
        <v>49000</v>
      </c>
      <c r="P177" t="inlineStr">
        <is>
          <t>694998dbd96c450001a1c209</t>
        </is>
      </c>
      <c r="Q177"/>
      <c r="R177" t="inlineStr">
        <is>
          <t>15周</t>
        </is>
      </c>
      <c r="S177" t="inlineStr">
        <is>
          <t>31.54</t>
        </is>
      </c>
      <c r="T177" t="inlineStr">
        <is>
          <t>服饰穿搭</t>
        </is>
      </c>
      <c r="U177" t="inlineStr">
        <is>
          <t>鞋靴箱包</t>
        </is>
      </c>
      <c r="V177" s="3">
        <v>46118.97659722222</v>
      </c>
      <c r="W177" t="inlineStr">
        <is>
          <t>2026-Q2</t>
        </is>
      </c>
    </row>
    <row r="178" ht="25.5" customHeight="1">
      <c r="A178" t="inlineStr">
        <is>
          <t>超好rua原创仓鼠金丝熊手作工艺手偶礼物</t>
        </is>
      </c>
      <c r="B178" t="inlineStr">
        <is>
          <t>recvg1BDH5Pw02.jpg</t>
        </is>
      </c>
      <c r="C178" s="2" t="str">
        <f>=HYPERLINK("https://xhslink.com/m/9CDBAjU6lYW", "https://xhslink.com/m/9CDBAjU6lYW")</f>
        <v>https://xhslink.com/m/9CDBAjU6lYW</v>
      </c>
      <c r="D178"/>
      <c r="E178">
        <v>20000</v>
      </c>
      <c r="F178">
        <v>38</v>
      </c>
      <c r="G178"/>
      <c r="H178">
        <v>1000</v>
      </c>
      <c r="I178" t="inlineStr">
        <is>
          <t>挂件</t>
        </is>
      </c>
      <c r="J178" t="inlineStr">
        <is>
          <t>0.05</t>
        </is>
      </c>
      <c r="K178"/>
      <c r="L178" t="inlineStr">
        <is>
          <t>爪爪小鼠宝的店</t>
        </is>
      </c>
      <c r="M178">
        <v>15000</v>
      </c>
      <c r="N178">
        <v>4.76</v>
      </c>
      <c r="O178">
        <v>24000</v>
      </c>
      <c r="P178" t="inlineStr">
        <is>
          <t>692c31cfb644e40001bc1176</t>
        </is>
      </c>
      <c r="Q178"/>
      <c r="R178" t="inlineStr">
        <is>
          <t>15周</t>
        </is>
      </c>
      <c r="S178" t="inlineStr">
        <is>
          <t>1.33</t>
        </is>
      </c>
      <c r="T178" t="inlineStr">
        <is>
          <t>运动潮玩</t>
        </is>
      </c>
      <c r="U178" t="inlineStr">
        <is>
          <t>潮玩手办</t>
        </is>
      </c>
      <c r="V178" s="3">
        <v>46118.97659722222</v>
      </c>
      <c r="W178" t="inlineStr">
        <is>
          <t>2026-Q2</t>
        </is>
      </c>
    </row>
    <row r="179" ht="25.5" customHeight="1">
      <c r="A179" t="inlineStr">
        <is>
          <t>【100%棉双层纱】全棉棉纱睡衣A类家居服春季新款长袖长裤套装</t>
        </is>
      </c>
      <c r="B179" t="inlineStr">
        <is>
          <t>recvg1BDH5JfF2.jpg</t>
        </is>
      </c>
      <c r="C179" s="2" t="str">
        <f>=HYPERLINK("https://xhslink.com/m/APDpiJJ2NNl", "https://xhslink.com/m/APDpiJJ2NNl")</f>
        <v>https://xhslink.com/m/APDpiJJ2NNl</v>
      </c>
      <c r="D179"/>
      <c r="E179">
        <v>17000</v>
      </c>
      <c r="F179">
        <v>127</v>
      </c>
      <c r="G179">
        <v>68</v>
      </c>
      <c r="H179">
        <v>1000</v>
      </c>
      <c r="I179" t="inlineStr">
        <is>
          <t>浴室用品</t>
        </is>
      </c>
      <c r="J179" t="inlineStr">
        <is>
          <t>0.06</t>
        </is>
      </c>
      <c r="K179"/>
      <c r="L179" t="inlineStr">
        <is>
          <t>曹三姐制衣厂的店</t>
        </is>
      </c>
      <c r="M179">
        <v>5727</v>
      </c>
      <c r="N179">
        <v>4.55</v>
      </c>
      <c r="O179">
        <v>65000</v>
      </c>
      <c r="P179" t="inlineStr">
        <is>
          <t>68abb5f20c1e9b0001443e3a</t>
        </is>
      </c>
      <c r="Q179" t="inlineStr">
        <is>
          <t>🚫重复</t>
        </is>
      </c>
      <c r="R179" t="inlineStr">
        <is>
          <t>15周</t>
        </is>
      </c>
      <c r="S179" t="inlineStr">
        <is>
          <t>2.97</t>
        </is>
      </c>
      <c r="T179" t="inlineStr">
        <is>
          <t>服饰穿搭</t>
        </is>
      </c>
      <c r="U179" t="inlineStr">
        <is>
          <t>女装</t>
        </is>
      </c>
      <c r="V179" s="3">
        <v>46118.97659722222</v>
      </c>
      <c r="W179" t="inlineStr">
        <is>
          <t>2026-Q2</t>
        </is>
      </c>
    </row>
    <row r="180" ht="25.5" customHeight="1">
      <c r="A180" t="inlineStr">
        <is>
          <t>其他 · 【加购随机掉券】杭州特产芡实糕一盒200g保质期10天路上坏了包赔</t>
        </is>
      </c>
      <c r="B180" t="inlineStr">
        <is>
          <t>recvg7vyEbl29I.jpg</t>
        </is>
      </c>
      <c r="C180" s="2" t="str">
        <f>=HYPERLINK("https://xhslink.com/m/9pqZrSjSljo", "https://xhslink.com/m/9pqZrSjSljo")</f>
        <v>https://xhslink.com/m/9pqZrSjSljo</v>
      </c>
      <c r="D180"/>
      <c r="E180">
        <v>360000</v>
      </c>
      <c r="F180">
        <v>59.9</v>
      </c>
      <c r="G180">
        <v>39.9</v>
      </c>
      <c r="H180">
        <v>1000</v>
      </c>
      <c r="I180" t="inlineStr">
        <is>
          <t>下午茶</t>
        </is>
      </c>
      <c r="J180" t="inlineStr">
        <is>
          <t>0.00</t>
        </is>
      </c>
      <c r="K180" t="inlineStr">
        <is>
          <t>🔥低粉爆款</t>
        </is>
      </c>
      <c r="L180" t="inlineStr">
        <is>
          <t>蓝辛巴糕团的店</t>
        </is>
      </c>
      <c r="M180">
        <v>38000</v>
      </c>
      <c r="N180">
        <v>4.8</v>
      </c>
      <c r="O180">
        <v>379000</v>
      </c>
      <c r="P180" t="inlineStr">
        <is>
          <t>668ca3104a516d00013867de</t>
        </is>
      </c>
      <c r="Q180"/>
      <c r="R180" t="inlineStr">
        <is>
          <t>15周</t>
        </is>
      </c>
      <c r="S180" t="inlineStr">
        <is>
          <t>9.47</t>
        </is>
      </c>
      <c r="T180" t="inlineStr">
        <is>
          <t>美食滋补</t>
        </is>
      </c>
      <c r="U180" t="inlineStr">
        <is>
          <t>生鲜特产</t>
        </is>
      </c>
      <c r="V180" s="3">
        <v>46119.985972222225</v>
      </c>
      <c r="W180" t="inlineStr">
        <is>
          <t>2026-Q2</t>
        </is>
      </c>
    </row>
    <row r="181" ht="25.5" customHeight="1">
      <c r="A181" t="inlineStr">
        <is>
          <t>【拍一发2】C深顶大头围字母棒球帽女遮阳百搭刺绣显脸小鸭舌帽</t>
        </is>
      </c>
      <c r="B181" t="inlineStr">
        <is>
          <t>recvg7vyEbAx2b.jpg</t>
        </is>
      </c>
      <c r="C181" s="2" t="str">
        <f>=HYPERLINK("https://xhslink.com/m/2Z7aV60ZLfh", "https://xhslink.com/m/2Z7aV60ZLfh")</f>
        <v>https://xhslink.com/m/2Z7aV60ZLfh</v>
      </c>
      <c r="D181"/>
      <c r="E181">
        <v>663000</v>
      </c>
      <c r="F181">
        <v>31.9</v>
      </c>
      <c r="G181"/>
      <c r="H181">
        <v>1000</v>
      </c>
      <c r="I181" t="inlineStr">
        <is>
          <t>包包装饰</t>
        </is>
      </c>
      <c r="J181" t="inlineStr">
        <is>
          <t>0.00</t>
        </is>
      </c>
      <c r="K181" t="inlineStr">
        <is>
          <t>🔥低粉爆款</t>
        </is>
      </c>
      <c r="L181" t="inlineStr">
        <is>
          <t>盖个帽儿总店铺的店</t>
        </is>
      </c>
      <c r="M181">
        <v>155000</v>
      </c>
      <c r="N181">
        <v>4.6</v>
      </c>
      <c r="O181">
        <v>1608000</v>
      </c>
      <c r="P181" t="inlineStr">
        <is>
          <t>6696482b76267a0001fe386c</t>
        </is>
      </c>
      <c r="Q181" t="inlineStr">
        <is>
          <t>🚫重复</t>
        </is>
      </c>
      <c r="R181" t="inlineStr">
        <is>
          <t>15周</t>
        </is>
      </c>
      <c r="S181" t="inlineStr">
        <is>
          <t>4.28</t>
        </is>
      </c>
      <c r="T181" t="inlineStr">
        <is>
          <t>服饰穿搭</t>
        </is>
      </c>
      <c r="U181" t="inlineStr">
        <is>
          <t>鞋靴箱包</t>
        </is>
      </c>
      <c r="V181" s="3">
        <v>46119.985972222225</v>
      </c>
      <c r="W181" t="inlineStr">
        <is>
          <t>2026-Q2</t>
        </is>
      </c>
    </row>
    <row r="182" ht="25.5" customHeight="1">
      <c r="A182" t="inlineStr">
        <is>
          <t>正肩收腰短袖T恤女夏季设计感修身显瘦休闲简约内搭打底上衣 ZS09</t>
        </is>
      </c>
      <c r="B182" t="inlineStr">
        <is>
          <t>recvgd5oYIW6Uy.jpg</t>
        </is>
      </c>
      <c r="C182" s="2" t="str">
        <f>=HYPERLINK("https://xhslink.com/m/5YdaKecc2aN", "https://xhslink.com/m/5YdaKecc2aN")</f>
        <v>https://xhslink.com/m/5YdaKecc2aN</v>
      </c>
      <c r="D182"/>
      <c r="E182">
        <v>2363</v>
      </c>
      <c r="F182">
        <v>39.9</v>
      </c>
      <c r="G182"/>
      <c r="H182">
        <v>1000</v>
      </c>
      <c r="I182" t="inlineStr">
        <is>
          <t>短袖</t>
        </is>
      </c>
      <c r="J182" t="inlineStr">
        <is>
          <t>0.42</t>
        </is>
      </c>
      <c r="K182"/>
      <c r="L182" t="inlineStr">
        <is>
          <t>楠涛服饰的店</t>
        </is>
      </c>
      <c r="M182">
        <v>220000</v>
      </c>
      <c r="N182">
        <v>4.69</v>
      </c>
      <c r="O182">
        <v>463000</v>
      </c>
      <c r="P182" t="inlineStr">
        <is>
          <t>69c7bfd7de0f0700014eb4ba</t>
        </is>
      </c>
      <c r="Q182" t="inlineStr">
        <is>
          <t>🚫重复</t>
        </is>
      </c>
      <c r="R182" t="inlineStr">
        <is>
          <t>15周</t>
        </is>
      </c>
      <c r="S182" t="inlineStr">
        <is>
          <t>0.01</t>
        </is>
      </c>
      <c r="T182" t="inlineStr">
        <is>
          <t>服饰穿搭</t>
        </is>
      </c>
      <c r="U182" t="inlineStr">
        <is>
          <t>女装</t>
        </is>
      </c>
      <c r="V182" s="3">
        <v>46120.939930555556</v>
      </c>
      <c r="W182" t="inlineStr">
        <is>
          <t>2026-Q2</t>
        </is>
      </c>
    </row>
    <row r="183" ht="25.5" customHeight="1">
      <c r="A183" t="inlineStr">
        <is>
          <t>【前1000单33.9】工厂直发ebb遮副乳显瘦运动健身背心可拆卸胸垫</t>
        </is>
      </c>
      <c r="B183" t="inlineStr">
        <is>
          <t>recvgjaKnceo3Q.jpg</t>
        </is>
      </c>
      <c r="C183" s="2" t="str">
        <f>=HYPERLINK("https://xhslink.com/m/1Cz4RjrixMc", "https://xhslink.com/m/1Cz4RjrixMc")</f>
        <v>https://xhslink.com/m/1Cz4RjrixMc</v>
      </c>
      <c r="D183"/>
      <c r="E183">
        <v>1129</v>
      </c>
      <c r="F183">
        <v>89</v>
      </c>
      <c r="G183">
        <v>33.9</v>
      </c>
      <c r="H183">
        <v>1000</v>
      </c>
      <c r="I183" t="inlineStr">
        <is>
          <t>背心吊带</t>
        </is>
      </c>
      <c r="J183" t="inlineStr">
        <is>
          <t>0.89</t>
        </is>
      </c>
      <c r="K183"/>
      <c r="L183" t="inlineStr">
        <is>
          <t>Lake拉可的店</t>
        </is>
      </c>
      <c r="M183">
        <v>5746</v>
      </c>
      <c r="N183">
        <v>4.43</v>
      </c>
      <c r="O183">
        <v>51000</v>
      </c>
      <c r="P183" t="inlineStr">
        <is>
          <t>69b54ee3b8ecfa00159b8f7e</t>
        </is>
      </c>
      <c r="Q183"/>
      <c r="R183" t="inlineStr">
        <is>
          <t>15周</t>
        </is>
      </c>
      <c r="S183" t="inlineStr">
        <is>
          <t>0.20</t>
        </is>
      </c>
      <c r="T183" t="inlineStr">
        <is>
          <t>服饰穿搭</t>
        </is>
      </c>
      <c r="U183" t="inlineStr">
        <is>
          <t>女装</t>
        </is>
      </c>
      <c r="V183" s="3">
        <v>46121.98079861111</v>
      </c>
      <c r="W183" t="inlineStr">
        <is>
          <t>2026-Q2</t>
        </is>
      </c>
    </row>
    <row r="184" ht="25.5" customHeight="1">
      <c r="A184" t="inlineStr">
        <is>
          <t>【新店开业*每日仅限100单！】手作奶酥碱水棒 低卡代餐饱腹</t>
        </is>
      </c>
      <c r="B184" t="inlineStr">
        <is>
          <t>recvgjaKnc2twa.jpg</t>
        </is>
      </c>
      <c r="C184" s="2" t="str">
        <f>=HYPERLINK("https://xhslink.com/m/2i3y466twv5", "https://xhslink.com/m/2i3y466twv5")</f>
        <v>https://xhslink.com/m/2i3y466twv5</v>
      </c>
      <c r="D184"/>
      <c r="E184">
        <v>90000</v>
      </c>
      <c r="F184">
        <v>22.8</v>
      </c>
      <c r="G184">
        <v>13.2</v>
      </c>
      <c r="H184">
        <v>1000</v>
      </c>
      <c r="I184" t="inlineStr">
        <is>
          <t>面包</t>
        </is>
      </c>
      <c r="J184" t="inlineStr">
        <is>
          <t>0.01</t>
        </is>
      </c>
      <c r="K184" t="inlineStr">
        <is>
          <t>🔥低粉爆款</t>
        </is>
      </c>
      <c r="L184" t="inlineStr">
        <is>
          <t>紫面包Handmade的店</t>
        </is>
      </c>
      <c r="M184">
        <v>3644</v>
      </c>
      <c r="N184">
        <v>4.39</v>
      </c>
      <c r="O184">
        <v>91000</v>
      </c>
      <c r="P184" t="inlineStr">
        <is>
          <t>69733412621e6f0001c0da6c</t>
        </is>
      </c>
      <c r="Q184" t="inlineStr">
        <is>
          <t>🚫重复</t>
        </is>
      </c>
      <c r="R184" t="inlineStr">
        <is>
          <t>15周</t>
        </is>
      </c>
      <c r="S184" t="inlineStr">
        <is>
          <t>24.70</t>
        </is>
      </c>
      <c r="T184" t="inlineStr">
        <is>
          <t>美食滋补</t>
        </is>
      </c>
      <c r="U184" t="inlineStr">
        <is>
          <t>休闲零食</t>
        </is>
      </c>
      <c r="V184" s="3">
        <v>46121.98079861111</v>
      </c>
      <c r="W184" t="inlineStr">
        <is>
          <t>2026-Q2</t>
        </is>
      </c>
    </row>
    <row r="185" ht="25.5" customHeight="1">
      <c r="A185" t="inlineStr">
        <is>
          <t>【新品冲量前8000单9.9！】​小众设计音符抓夹高级鲨鱼夹2026新</t>
        </is>
      </c>
      <c r="B185" t="inlineStr">
        <is>
          <t>recvgjaKncoWq7.jpg</t>
        </is>
      </c>
      <c r="C185" s="2" t="str">
        <f>=HYPERLINK("https://xhslink.com/m/2YKT0YAQIfk", "https://xhslink.com/m/2YKT0YAQIfk")</f>
        <v>https://xhslink.com/m/2YKT0YAQIfk</v>
      </c>
      <c r="D185"/>
      <c r="E185">
        <v>7876</v>
      </c>
      <c r="F185">
        <v>20.8</v>
      </c>
      <c r="G185">
        <v>9.9</v>
      </c>
      <c r="H185">
        <v>1000</v>
      </c>
      <c r="I185" t="inlineStr">
        <is>
          <t>配饰</t>
        </is>
      </c>
      <c r="J185" t="inlineStr">
        <is>
          <t>0.13</t>
        </is>
      </c>
      <c r="K185" t="inlineStr">
        <is>
          <t>🔥低粉爆款</t>
        </is>
      </c>
      <c r="L185" t="inlineStr">
        <is>
          <t>Sylvia 美物匣的店</t>
        </is>
      </c>
      <c r="M185">
        <v>2247</v>
      </c>
      <c r="N185">
        <v>4.64</v>
      </c>
      <c r="O185">
        <v>15000</v>
      </c>
      <c r="P185" t="inlineStr">
        <is>
          <t>691db83baa1e7b001593ff6a</t>
        </is>
      </c>
      <c r="Q185" t="inlineStr">
        <is>
          <t>🚫重复</t>
        </is>
      </c>
      <c r="R185" t="inlineStr">
        <is>
          <t>15周</t>
        </is>
      </c>
      <c r="S185" t="inlineStr">
        <is>
          <t>3.51</t>
        </is>
      </c>
      <c r="T185" t="inlineStr">
        <is>
          <t>服饰穿搭</t>
        </is>
      </c>
      <c r="U185" t="inlineStr">
        <is>
          <t>配饰</t>
        </is>
      </c>
      <c r="V185" s="3">
        <v>46121.98079861111</v>
      </c>
      <c r="W185" t="inlineStr">
        <is>
          <t>2026-Q2</t>
        </is>
      </c>
    </row>
    <row r="186" ht="25.5" customHeight="1">
      <c r="A186" t="inlineStr">
        <is>
          <t>高品质全棉阔腿裤！松弛感慵懒风宽松垂感裤拖地长裤女款</t>
        </is>
      </c>
      <c r="B186" t="inlineStr">
        <is>
          <t>recvgjaKnc3r6P.jpg</t>
        </is>
      </c>
      <c r="C186" s="2" t="str">
        <f>=HYPERLINK("https://xhslink.com/m/5G9tsPcoJGz", "https://xhslink.com/m/5G9tsPcoJGz")</f>
        <v>https://xhslink.com/m/5G9tsPcoJGz</v>
      </c>
      <c r="D186"/>
      <c r="E186">
        <v>45000</v>
      </c>
      <c r="F186">
        <v>109</v>
      </c>
      <c r="G186">
        <v>89.9</v>
      </c>
      <c r="H186">
        <v>1000</v>
      </c>
      <c r="I186" t="inlineStr">
        <is>
          <t>裤子</t>
        </is>
      </c>
      <c r="J186" t="inlineStr">
        <is>
          <t>0.02</t>
        </is>
      </c>
      <c r="K186" t="inlineStr">
        <is>
          <t>🔥低粉爆款</t>
        </is>
      </c>
      <c r="L186" t="inlineStr">
        <is>
          <t>薄荷松果体的店</t>
        </is>
      </c>
      <c r="M186">
        <v>4793</v>
      </c>
      <c r="N186">
        <v>4.75</v>
      </c>
      <c r="O186">
        <v>57000</v>
      </c>
      <c r="P186" t="inlineStr">
        <is>
          <t>67dbf3ffb6efdb0001ec3e55</t>
        </is>
      </c>
      <c r="Q186"/>
      <c r="R186" t="inlineStr">
        <is>
          <t>15周</t>
        </is>
      </c>
      <c r="S186" t="inlineStr">
        <is>
          <t>9.39</t>
        </is>
      </c>
      <c r="T186" t="inlineStr">
        <is>
          <t>服饰穿搭</t>
        </is>
      </c>
      <c r="U186" t="inlineStr">
        <is>
          <t>女装</t>
        </is>
      </c>
      <c r="V186" s="3">
        <v>46121.98079861111</v>
      </c>
      <c r="W186" t="inlineStr">
        <is>
          <t>2026-Q2</t>
        </is>
      </c>
    </row>
    <row r="187" ht="25.5" customHeight="1">
      <c r="A187" t="inlineStr">
        <is>
          <t>2026春季新款 韩系西装腰九分裤 腰横线</t>
        </is>
      </c>
      <c r="B187" t="inlineStr">
        <is>
          <t>recvgjaKncn1D2.jpg</t>
        </is>
      </c>
      <c r="C187" s="2" t="str">
        <f>=HYPERLINK("https://xhslink.com/m/9oi18OOCoBh", "https://xhslink.com/m/9oi18OOCoBh")</f>
        <v>https://xhslink.com/m/9oi18OOCoBh</v>
      </c>
      <c r="D187"/>
      <c r="E187">
        <v>35000</v>
      </c>
      <c r="F187">
        <v>269</v>
      </c>
      <c r="G187">
        <v>219</v>
      </c>
      <c r="H187">
        <v>1000</v>
      </c>
      <c r="I187" t="inlineStr">
        <is>
          <t>裤子</t>
        </is>
      </c>
      <c r="J187" t="inlineStr">
        <is>
          <t>0.03</t>
        </is>
      </c>
      <c r="K187"/>
      <c r="L187" t="inlineStr">
        <is>
          <t>大屿_studio的店</t>
        </is>
      </c>
      <c r="M187">
        <v>44000</v>
      </c>
      <c r="N187">
        <v>4.77</v>
      </c>
      <c r="O187">
        <v>193000</v>
      </c>
      <c r="P187" t="inlineStr">
        <is>
          <t>67e5f1cbacb9900001a8fb74</t>
        </is>
      </c>
      <c r="Q187" t="inlineStr">
        <is>
          <t>🚫重复</t>
        </is>
      </c>
      <c r="R187" t="inlineStr">
        <is>
          <t>15周</t>
        </is>
      </c>
      <c r="S187" t="inlineStr">
        <is>
          <t>0.80</t>
        </is>
      </c>
      <c r="T187" t="inlineStr">
        <is>
          <t>服饰穿搭</t>
        </is>
      </c>
      <c r="U187" t="inlineStr">
        <is>
          <t>女装</t>
        </is>
      </c>
      <c r="V187" s="3">
        <v>46121.98079861111</v>
      </c>
      <c r="W187" t="inlineStr">
        <is>
          <t>2026-Q2</t>
        </is>
      </c>
    </row>
    <row r="188" ht="25.5" customHeight="1">
      <c r="A188" t="inlineStr">
        <is>
          <t>七分微喇叭瑜伽裤HP</t>
        </is>
      </c>
      <c r="B188" t="inlineStr">
        <is>
          <t>recvgjaKncJ80M.jpg</t>
        </is>
      </c>
      <c r="C188" s="2" t="str">
        <f>=HYPERLINK("https://xhslink.com/m/FPCQzeAqgd", "https://xhslink.com/m/FPCQzeAqgd")</f>
        <v>https://xhslink.com/m/FPCQzeAqgd</v>
      </c>
      <c r="D188"/>
      <c r="E188">
        <v>12000</v>
      </c>
      <c r="F188">
        <v>79</v>
      </c>
      <c r="G188"/>
      <c r="H188">
        <v>1000</v>
      </c>
      <c r="I188" t="inlineStr">
        <is>
          <t>裤子</t>
        </is>
      </c>
      <c r="J188" t="inlineStr">
        <is>
          <t>0.08</t>
        </is>
      </c>
      <c r="K188"/>
      <c r="L188" t="inlineStr">
        <is>
          <t>小花爱美丽Fancy Flora的店</t>
        </is>
      </c>
      <c r="M188">
        <v>8141</v>
      </c>
      <c r="N188">
        <v>4.61</v>
      </c>
      <c r="O188">
        <v>23000</v>
      </c>
      <c r="P188" t="inlineStr">
        <is>
          <t>686bbd1fe0232100158d0ddc</t>
        </is>
      </c>
      <c r="Q188" t="inlineStr">
        <is>
          <t>🚫重复</t>
        </is>
      </c>
      <c r="R188" t="inlineStr">
        <is>
          <t>15周</t>
        </is>
      </c>
      <c r="S188" t="inlineStr">
        <is>
          <t>1.47</t>
        </is>
      </c>
      <c r="T188" t="inlineStr">
        <is>
          <t>运动潮玩</t>
        </is>
      </c>
      <c r="U188" t="inlineStr">
        <is>
          <t>运动户外装备</t>
        </is>
      </c>
      <c r="V188" s="3">
        <v>46121.98079861111</v>
      </c>
      <c r="W188" t="inlineStr">
        <is>
          <t>2026-Q2</t>
        </is>
      </c>
    </row>
    <row r="189" ht="25.5" customHeight="1">
      <c r="A189" t="inlineStr">
        <is>
          <t>腊肠狗刺绣泡泡纱速干短裤男女夏季多巴胺彩色裤子美式运动五分裤</t>
        </is>
      </c>
      <c r="B189" t="inlineStr">
        <is>
          <t>recvgoYCuBfUQo.jpg</t>
        </is>
      </c>
      <c r="C189" s="2" t="str">
        <f>=HYPERLINK("https://xhslink.com/m/7pXuIXO1vtM", "https://xhslink.com/m/7pXuIXO1vtM")</f>
        <v>https://xhslink.com/m/7pXuIXO1vtM</v>
      </c>
      <c r="D189"/>
      <c r="E189">
        <v>41000</v>
      </c>
      <c r="F189">
        <v>73.9</v>
      </c>
      <c r="G189">
        <v>36.8</v>
      </c>
      <c r="H189">
        <v>1000</v>
      </c>
      <c r="I189" t="inlineStr">
        <is>
          <t>短裤</t>
        </is>
      </c>
      <c r="J189" t="inlineStr">
        <is>
          <t>0.02</t>
        </is>
      </c>
      <c r="K189" t="inlineStr">
        <is>
          <t>🔥低粉爆款</t>
        </is>
      </c>
      <c r="L189" t="inlineStr">
        <is>
          <t>摆烂所LAB的店</t>
        </is>
      </c>
      <c r="M189">
        <v>10000</v>
      </c>
      <c r="N189">
        <v>4.62</v>
      </c>
      <c r="O189">
        <v>176000</v>
      </c>
      <c r="P189" t="inlineStr">
        <is>
          <t>6811ecf4b6240c001514ca94</t>
        </is>
      </c>
      <c r="Q189" t="inlineStr">
        <is>
          <t>🚫重复</t>
        </is>
      </c>
      <c r="R189" t="inlineStr">
        <is>
          <t>15周</t>
        </is>
      </c>
      <c r="S189" t="inlineStr">
        <is>
          <t>4.10</t>
        </is>
      </c>
      <c r="T189" t="inlineStr">
        <is>
          <t>服饰穿搭</t>
        </is>
      </c>
      <c r="U189" t="inlineStr">
        <is>
          <t>女装</t>
        </is>
      </c>
      <c r="V189" s="3">
        <v>46122.97351851852</v>
      </c>
      <c r="W189" t="inlineStr">
        <is>
          <t>2026-Q2</t>
        </is>
      </c>
    </row>
    <row r="190" ht="25.5" customHeight="1">
      <c r="A190" t="inlineStr">
        <is>
          <t>Enjoy it乐在其中 · 压力小腿袜女专业运动健身跑步肌能压缩袜徒步骑行长筒袜</t>
        </is>
      </c>
      <c r="B190" t="inlineStr">
        <is>
          <t>recvgoYCuBZfcC.jpg</t>
        </is>
      </c>
      <c r="C190" s="2" t="str">
        <f>=HYPERLINK("https://xhslink.com/m/AO4e77zmmGZ", "https://xhslink.com/m/AO4e77zmmGZ")</f>
        <v>https://xhslink.com/m/AO4e77zmmGZ</v>
      </c>
      <c r="D190"/>
      <c r="E190">
        <v>57000</v>
      </c>
      <c r="F190">
        <v>49.9</v>
      </c>
      <c r="G190">
        <v>43.81</v>
      </c>
      <c r="H190">
        <v>1000</v>
      </c>
      <c r="I190" t="inlineStr">
        <is>
          <t>运动包配</t>
        </is>
      </c>
      <c r="J190" t="inlineStr">
        <is>
          <t>0.02</t>
        </is>
      </c>
      <c r="K190"/>
      <c r="L190" t="inlineStr">
        <is>
          <t>enjoy it旗舰店</t>
        </is>
      </c>
      <c r="M190">
        <v>79000</v>
      </c>
      <c r="N190">
        <v>4.7</v>
      </c>
      <c r="O190">
        <v>489000</v>
      </c>
      <c r="P190" t="inlineStr">
        <is>
          <t>696070e3bb020d00015dca35</t>
        </is>
      </c>
      <c r="Q190" t="inlineStr">
        <is>
          <t>🚫重复</t>
        </is>
      </c>
      <c r="R190" t="inlineStr">
        <is>
          <t>15周</t>
        </is>
      </c>
      <c r="S190" t="inlineStr">
        <is>
          <t>0.72</t>
        </is>
      </c>
      <c r="T190" t="inlineStr">
        <is>
          <t>运动潮玩</t>
        </is>
      </c>
      <c r="U190" t="inlineStr">
        <is>
          <t>运动户外装备</t>
        </is>
      </c>
      <c r="V190" s="3">
        <v>46122.97351851852</v>
      </c>
      <c r="W190" t="inlineStr">
        <is>
          <t>2026-Q2</t>
        </is>
      </c>
    </row>
    <row r="191" ht="25.5" customHeight="1">
      <c r="A191" t="inlineStr">
        <is>
          <t>Enjoy it乐在其中 · 压力小腿袜女专业运动健身跑步肌能压缩袜徒步骑行长筒袜</t>
        </is>
      </c>
      <c r="B191" t="inlineStr">
        <is>
          <t>recvguTbC1X48O.jpg</t>
        </is>
      </c>
      <c r="C191" s="2" t="str">
        <f>=HYPERLINK("https://xhslink.com/m/9HwpDvBB23a", "https://xhslink.com/m/9HwpDvBB23a")</f>
        <v>https://xhslink.com/m/9HwpDvBB23a</v>
      </c>
      <c r="D191"/>
      <c r="E191">
        <v>58000</v>
      </c>
      <c r="F191">
        <v>25.9</v>
      </c>
      <c r="G191">
        <v>22.74</v>
      </c>
      <c r="H191">
        <v>1000</v>
      </c>
      <c r="I191" t="inlineStr">
        <is>
          <t>袜子</t>
        </is>
      </c>
      <c r="J191" t="inlineStr">
        <is>
          <t>0.02</t>
        </is>
      </c>
      <c r="K191"/>
      <c r="L191" t="inlineStr">
        <is>
          <t>enjoy it旗舰店</t>
        </is>
      </c>
      <c r="M191">
        <v>79000</v>
      </c>
      <c r="N191">
        <v>4.69</v>
      </c>
      <c r="O191">
        <v>489000</v>
      </c>
      <c r="P191" t="inlineStr">
        <is>
          <t>684f6db77128cd0015c08ad4</t>
        </is>
      </c>
      <c r="Q191" t="inlineStr">
        <is>
          <t>🚫重复</t>
        </is>
      </c>
      <c r="R191" t="inlineStr">
        <is>
          <t>15周</t>
        </is>
      </c>
      <c r="S191" t="inlineStr">
        <is>
          <t>0.73</t>
        </is>
      </c>
      <c r="T191" t="inlineStr">
        <is>
          <t>运动潮玩</t>
        </is>
      </c>
      <c r="U191" t="inlineStr">
        <is>
          <t>运动户外装备</t>
        </is>
      </c>
      <c r="V191" s="3">
        <v>46123.98462962963</v>
      </c>
      <c r="W191" t="inlineStr">
        <is>
          <t>2026-Q2</t>
        </is>
      </c>
    </row>
    <row r="192" ht="25.5" customHeight="1">
      <c r="A192" t="inlineStr">
        <is>
          <t>纯棉袜子女春夏季无骨短筒袜吸汗透气防臭竖条纹纯色百搭低帮船袜</t>
        </is>
      </c>
      <c r="B192" t="inlineStr">
        <is>
          <t>recvguTbC1VQTo.jpg</t>
        </is>
      </c>
      <c r="C192" s="2" t="str">
        <f>=HYPERLINK("https://xhslink.com/m/6s5H9LkI4LP", "https://xhslink.com/m/6s5H9LkI4LP")</f>
        <v>https://xhslink.com/m/6s5H9LkI4LP</v>
      </c>
      <c r="D192"/>
      <c r="E192">
        <v>1977</v>
      </c>
      <c r="F192">
        <v>19.9</v>
      </c>
      <c r="G192">
        <v>9.9</v>
      </c>
      <c r="H192">
        <v>1000</v>
      </c>
      <c r="I192" t="inlineStr">
        <is>
          <t>袜子</t>
        </is>
      </c>
      <c r="J192" t="inlineStr">
        <is>
          <t>0.51</t>
        </is>
      </c>
      <c r="K192"/>
      <c r="L192" t="inlineStr">
        <is>
          <t>集智针织的店</t>
        </is>
      </c>
      <c r="M192">
        <v>1059</v>
      </c>
      <c r="N192">
        <v>4.5</v>
      </c>
      <c r="O192">
        <v>56000</v>
      </c>
      <c r="P192" t="inlineStr">
        <is>
          <t>69b4cfd2fbb3a40001ca8a5c</t>
        </is>
      </c>
      <c r="Q192" t="inlineStr">
        <is>
          <t>🚫重复</t>
        </is>
      </c>
      <c r="R192" t="inlineStr">
        <is>
          <t>15周</t>
        </is>
      </c>
      <c r="S192" t="inlineStr">
        <is>
          <t>1.87</t>
        </is>
      </c>
      <c r="T192" t="inlineStr">
        <is>
          <t>服饰穿搭</t>
        </is>
      </c>
      <c r="U192" t="inlineStr">
        <is>
          <t>鞋靴箱包</t>
        </is>
      </c>
      <c r="V192" s="3">
        <v>46123.98462962963</v>
      </c>
      <c r="W192" t="inlineStr">
        <is>
          <t>2026-Q2</t>
        </is>
      </c>
    </row>
    <row r="193" ht="25.5" customHeight="1">
      <c r="A193" t="inlineStr">
        <is>
          <t>【海南金煌芒果】三亚芒果当季新鲜水果孕妇水仙芒纸核芒鲜甜5斤</t>
        </is>
      </c>
      <c r="B193" t="inlineStr">
        <is>
          <t>recvguTbC1Y3in.jpg</t>
        </is>
      </c>
      <c r="C193" s="2" t="str">
        <f>=HYPERLINK("https://xhslink.com/m/3MvOZqZzUJV", "https://xhslink.com/m/3MvOZqZzUJV")</f>
        <v>https://xhslink.com/m/3MvOZqZzUJV</v>
      </c>
      <c r="D193"/>
      <c r="E193">
        <v>456000</v>
      </c>
      <c r="F193">
        <v>59.9</v>
      </c>
      <c r="G193">
        <v>54.9</v>
      </c>
      <c r="H193">
        <v>1000</v>
      </c>
      <c r="I193" t="inlineStr">
        <is>
          <t>水果</t>
        </is>
      </c>
      <c r="J193" t="inlineStr">
        <is>
          <t>0.00</t>
        </is>
      </c>
      <c r="K193" t="inlineStr">
        <is>
          <t>🔥低粉爆款</t>
        </is>
      </c>
      <c r="L193" t="inlineStr">
        <is>
          <t>野里鲜果的店</t>
        </is>
      </c>
      <c r="M193">
        <v>3865</v>
      </c>
      <c r="N193">
        <v>4.52</v>
      </c>
      <c r="O193">
        <v>241000</v>
      </c>
      <c r="P193" t="inlineStr">
        <is>
          <t>67bc9c6ef2389c00019d2028</t>
        </is>
      </c>
      <c r="Q193" t="inlineStr">
        <is>
          <t>🚫重复</t>
        </is>
      </c>
      <c r="R193" t="inlineStr">
        <is>
          <t>15周</t>
        </is>
      </c>
      <c r="S193" t="inlineStr">
        <is>
          <t>117.98</t>
        </is>
      </c>
      <c r="T193" t="inlineStr">
        <is>
          <t>美食滋补</t>
        </is>
      </c>
      <c r="U193" t="inlineStr">
        <is>
          <t>生鲜特产</t>
        </is>
      </c>
      <c r="V193" s="3">
        <v>46123.98462962963</v>
      </c>
      <c r="W193" t="inlineStr">
        <is>
          <t>2026-Q2</t>
        </is>
      </c>
    </row>
    <row r="194" ht="25.5" customHeight="1">
      <c r="A194" t="inlineStr">
        <is>
          <t>Cocooo两穿帆布鞋女2026春季星星设计学生百搭休闲厚底板鞋6970</t>
        </is>
      </c>
      <c r="B194" t="inlineStr">
        <is>
          <t>recvguTbC1DHWB.jpg</t>
        </is>
      </c>
      <c r="C194" s="2" t="str">
        <f>=HYPERLINK("https://xhslink.com/m/1mxzoVBVrtE", "https://xhslink.com/m/1mxzoVBVrtE")</f>
        <v>https://xhslink.com/m/1mxzoVBVrtE</v>
      </c>
      <c r="D194"/>
      <c r="E194">
        <v>2441</v>
      </c>
      <c r="F194">
        <v>85</v>
      </c>
      <c r="G194">
        <v>75</v>
      </c>
      <c r="H194">
        <v>1000</v>
      </c>
      <c r="I194" t="inlineStr">
        <is>
          <t>鞋靴</t>
        </is>
      </c>
      <c r="J194" t="inlineStr">
        <is>
          <t>0.41</t>
        </is>
      </c>
      <c r="K194"/>
      <c r="L194" t="inlineStr">
        <is>
          <t>Cocooo的鞋柜的店</t>
        </is>
      </c>
      <c r="M194">
        <v>58000</v>
      </c>
      <c r="N194">
        <v>4.45</v>
      </c>
      <c r="O194">
        <v>165000</v>
      </c>
      <c r="P194" t="inlineStr">
        <is>
          <t>69b7abaabd7e71000189a620</t>
        </is>
      </c>
      <c r="Q194" t="inlineStr">
        <is>
          <t>🚫重复</t>
        </is>
      </c>
      <c r="R194" t="inlineStr">
        <is>
          <t>15周</t>
        </is>
      </c>
      <c r="S194" t="inlineStr">
        <is>
          <t>0.04</t>
        </is>
      </c>
      <c r="T194" t="inlineStr">
        <is>
          <t>服饰穿搭</t>
        </is>
      </c>
      <c r="U194" t="inlineStr">
        <is>
          <t>鞋靴箱包</t>
        </is>
      </c>
      <c r="V194" s="3">
        <v>46123.98462962963</v>
      </c>
      <c r="W194" t="inlineStr">
        <is>
          <t>2026-Q2</t>
        </is>
      </c>
    </row>
    <row r="195" ht="25.5" customHeight="1">
      <c r="A195" t="inlineStr">
        <is>
          <t>FarmLetter招牌水果三明治！</t>
        </is>
      </c>
      <c r="B195" t="inlineStr">
        <is>
          <t>__upload_recvgAET7xkcSY.jpg</t>
        </is>
      </c>
      <c r="C195" s="2" t="str">
        <f>=HYPERLINK("https://xhslink.com/m/9PYKLXOVnuf", "https://xhslink.com/m/9PYKLXOVnuf")</f>
        <v>https://xhslink.com/m/9PYKLXOVnuf</v>
      </c>
      <c r="D195"/>
      <c r="E195">
        <v>66000</v>
      </c>
      <c r="F195">
        <v>26</v>
      </c>
      <c r="G195"/>
      <c r="H195">
        <v>1000</v>
      </c>
      <c r="I195" t="inlineStr">
        <is>
          <t>即食早餐</t>
        </is>
      </c>
      <c r="J195" t="inlineStr">
        <is>
          <t>0.02</t>
        </is>
      </c>
      <c r="K195"/>
      <c r="L195" t="inlineStr">
        <is>
          <t>Farm Letter的店</t>
        </is>
      </c>
      <c r="M195">
        <v>26000</v>
      </c>
      <c r="N195">
        <v>4.59</v>
      </c>
      <c r="O195">
        <v>86000</v>
      </c>
      <c r="P195" t="inlineStr">
        <is>
          <t>696f867e3db79c0001cd049b</t>
        </is>
      </c>
      <c r="Q195" t="inlineStr">
        <is>
          <t>🚫重复</t>
        </is>
      </c>
      <c r="R195" t="inlineStr">
        <is>
          <t>15周</t>
        </is>
      </c>
      <c r="S195" t="inlineStr">
        <is>
          <t>2.54</t>
        </is>
      </c>
      <c r="T195" t="inlineStr">
        <is>
          <t>美食滋补</t>
        </is>
      </c>
      <c r="U195" t="inlineStr">
        <is>
          <t>生鲜特产</t>
        </is>
      </c>
      <c r="V195" s="3">
        <v>46124.971342592595</v>
      </c>
      <c r="W195" t="inlineStr">
        <is>
          <t>2026-Q2</t>
        </is>
      </c>
    </row>
    <row r="196" ht="25.5" customHeight="1">
      <c r="A196" t="inlineStr">
        <is>
          <t>加购5个一起下单39自动改价|大馅料欧包早餐代餐甜咸口芝士抹茶</t>
        </is>
      </c>
      <c r="B196" t="inlineStr">
        <is>
          <t>__upload_recvgAET7xuGt1.jpg</t>
        </is>
      </c>
      <c r="C196" s="2" t="str">
        <f>=HYPERLINK("https://xhslink.com/m/4Dj8ROSUC8P", "https://xhslink.com/m/4Dj8ROSUC8P")</f>
        <v>https://xhslink.com/m/4Dj8ROSUC8P</v>
      </c>
      <c r="D196"/>
      <c r="E196">
        <v>220000</v>
      </c>
      <c r="F196">
        <v>20</v>
      </c>
      <c r="G196"/>
      <c r="H196">
        <v>1000</v>
      </c>
      <c r="I196" t="inlineStr">
        <is>
          <t>即食早餐</t>
        </is>
      </c>
      <c r="J196" t="inlineStr">
        <is>
          <t>0.00</t>
        </is>
      </c>
      <c r="K196" t="inlineStr">
        <is>
          <t>🔥低粉爆款</t>
        </is>
      </c>
      <c r="L196" t="inlineStr">
        <is>
          <t>莓莓爱吃包的店</t>
        </is>
      </c>
      <c r="M196">
        <v>1749</v>
      </c>
      <c r="N196">
        <v>4.59</v>
      </c>
      <c r="O196">
        <v>249000</v>
      </c>
      <c r="P196" t="inlineStr">
        <is>
          <t>69cb6bfcc8c7330001ef9b0f</t>
        </is>
      </c>
      <c r="Q196" t="inlineStr">
        <is>
          <t>🚫重复</t>
        </is>
      </c>
      <c r="R196" t="inlineStr">
        <is>
          <t>15周</t>
        </is>
      </c>
      <c r="S196" t="inlineStr">
        <is>
          <t>125.79</t>
        </is>
      </c>
      <c r="T196" t="inlineStr">
        <is>
          <t>美食滋补</t>
        </is>
      </c>
      <c r="U196" t="inlineStr">
        <is>
          <t>休闲零食</t>
        </is>
      </c>
      <c r="V196" s="3">
        <v>46124.971342592595</v>
      </c>
      <c r="W196" t="inlineStr">
        <is>
          <t>2026-Q2</t>
        </is>
      </c>
    </row>
    <row r="197" ht="25.5" customHeight="1">
      <c r="A197" t="inlineStr">
        <is>
          <t>潮汕特产广东话梅干组合果脯蜜饯【大话梅+甘草话梅+咸话梅】</t>
        </is>
      </c>
      <c r="B197" t="inlineStr">
        <is>
          <t>__upload_recvgAET7xrIwu.jpg</t>
        </is>
      </c>
      <c r="C197" s="2" t="str">
        <f>=HYPERLINK("https://xhslink.com/m/8IWfUDa720e", "https://xhslink.com/m/8IWfUDa720e")</f>
        <v>https://xhslink.com/m/8IWfUDa720e</v>
      </c>
      <c r="D197"/>
      <c r="E197">
        <v>129000</v>
      </c>
      <c r="F197">
        <v>18.8</v>
      </c>
      <c r="G197"/>
      <c r="H197">
        <v>1000</v>
      </c>
      <c r="I197" t="inlineStr">
        <is>
          <t>零食</t>
        </is>
      </c>
      <c r="J197" t="inlineStr">
        <is>
          <t>0.01</t>
        </is>
      </c>
      <c r="K197" t="inlineStr">
        <is>
          <t>🔥低粉爆款</t>
        </is>
      </c>
      <c r="L197" t="inlineStr">
        <is>
          <t>潮汕零食牛牛🐮的店</t>
        </is>
      </c>
      <c r="M197">
        <v>28000</v>
      </c>
      <c r="N197">
        <v>4.57</v>
      </c>
      <c r="O197">
        <v>300000</v>
      </c>
      <c r="P197" t="inlineStr">
        <is>
          <t>660a2f76d4bfd400018f8d4f</t>
        </is>
      </c>
      <c r="Q197" t="inlineStr">
        <is>
          <t>🚫重复</t>
        </is>
      </c>
      <c r="R197" t="inlineStr">
        <is>
          <t>15周</t>
        </is>
      </c>
      <c r="S197" t="inlineStr">
        <is>
          <t>4.61</t>
        </is>
      </c>
      <c r="T197" t="inlineStr">
        <is>
          <t>美食滋补</t>
        </is>
      </c>
      <c r="U197" t="inlineStr">
        <is>
          <t>休闲零食</t>
        </is>
      </c>
      <c r="V197" s="3">
        <v>46124.971342592595</v>
      </c>
      <c r="W197" t="inlineStr">
        <is>
          <t>2026-Q2</t>
        </is>
      </c>
    </row>
    <row r="198" ht="25.5" customHeight="1">
      <c r="A198" t="inlineStr">
        <is>
          <t>Swirlz扭扭乐暖玉温变系列ADHD专注力训练手指玩具解压玩具扭扭乐</t>
        </is>
      </c>
      <c r="B198" t="inlineStr">
        <is>
          <t>__upload_recvgAET7xaezc.jpg</t>
        </is>
      </c>
      <c r="C198" s="2" t="str">
        <f>=HYPERLINK("https://xhslink.com/m/A0XXXqfOJhJ", "https://xhslink.com/m/A0XXXqfOJhJ")</f>
        <v>https://xhslink.com/m/A0XXXqfOJhJ</v>
      </c>
      <c r="D198"/>
      <c r="E198">
        <v>2748</v>
      </c>
      <c r="F198">
        <v>39</v>
      </c>
      <c r="G198"/>
      <c r="H198">
        <v>1000</v>
      </c>
      <c r="I198" t="inlineStr">
        <is>
          <t>解压玩具</t>
        </is>
      </c>
      <c r="J198" t="inlineStr">
        <is>
          <t>0.36</t>
        </is>
      </c>
      <c r="K198"/>
      <c r="L198" t="inlineStr">
        <is>
          <t>Swirlz扭扭乐的店</t>
        </is>
      </c>
      <c r="M198">
        <v>7810</v>
      </c>
      <c r="N198">
        <v>4.59</v>
      </c>
      <c r="O198">
        <v>9343</v>
      </c>
      <c r="P198" t="inlineStr">
        <is>
          <t>69aa4b28dd2f440001dd4f10</t>
        </is>
      </c>
      <c r="Q198"/>
      <c r="R198" t="inlineStr">
        <is>
          <t>15周</t>
        </is>
      </c>
      <c r="S198" t="inlineStr">
        <is>
          <t>0.35</t>
        </is>
      </c>
      <c r="T198" t="inlineStr">
        <is>
          <t>母婴亲子</t>
        </is>
      </c>
      <c r="U198" t="inlineStr">
        <is>
          <t>玩具早教</t>
        </is>
      </c>
      <c r="V198" s="3">
        <v>46124.971342592595</v>
      </c>
      <c r="W198" t="inlineStr">
        <is>
          <t>2026-Q2</t>
        </is>
      </c>
    </row>
    <row r="199" ht="25.5" customHeight="1">
      <c r="A199" t="inlineStr">
        <is>
          <t>【新品上架立减30】夏季V领雪花棉慵懒风宽松短袖t女韩版上衣</t>
        </is>
      </c>
      <c r="B199" t="inlineStr">
        <is>
          <t>recvgGy5hQCd0U.jpg</t>
        </is>
      </c>
      <c r="C199" s="2" t="str">
        <f>=HYPERLINK("https://xhslink.com/m/2sGg4Ti4Hb2", "https://xhslink.com/m/2sGg4Ti4Hb2")</f>
        <v>https://xhslink.com/m/2sGg4Ti4Hb2</v>
      </c>
      <c r="D199"/>
      <c r="E199">
        <v>588</v>
      </c>
      <c r="F199">
        <v>69.9</v>
      </c>
      <c r="G199">
        <v>39.9</v>
      </c>
      <c r="H199">
        <v>1000</v>
      </c>
      <c r="I199" t="inlineStr">
        <is>
          <t>上衣</t>
        </is>
      </c>
      <c r="J199" t="inlineStr">
        <is>
          <t>1.70</t>
        </is>
      </c>
      <c r="K199"/>
      <c r="L199" t="inlineStr">
        <is>
          <t>栗知了没服饰的店</t>
        </is>
      </c>
      <c r="M199">
        <v>20000</v>
      </c>
      <c r="N199">
        <v>4.47</v>
      </c>
      <c r="O199">
        <v>335000</v>
      </c>
      <c r="P199" t="inlineStr">
        <is>
          <t>69d4bb4a9bbf240001f03fdb</t>
        </is>
      </c>
      <c r="Q199"/>
      <c r="R199" t="inlineStr">
        <is>
          <t>16周</t>
        </is>
      </c>
      <c r="S199" t="inlineStr">
        <is>
          <t>0.03</t>
        </is>
      </c>
      <c r="T199" t="inlineStr">
        <is>
          <t>服饰穿搭</t>
        </is>
      </c>
      <c r="U199" t="inlineStr">
        <is>
          <t>女装</t>
        </is>
      </c>
      <c r="V199" s="3">
        <v>46125.978738425925</v>
      </c>
      <c r="W199" t="inlineStr">
        <is>
          <t>2026-Q2</t>
        </is>
      </c>
    </row>
    <row r="200" ht="25.5" customHeight="1">
      <c r="A200" t="inlineStr">
        <is>
          <t>糖五朵 · 【漫画腰高弹ebb背心】夏季基础百搭遮副乳内衣可拆卸胸垫吊带</t>
        </is>
      </c>
      <c r="B200" t="inlineStr">
        <is>
          <t>recvgGy5hQiiWN.jpg</t>
        </is>
      </c>
      <c r="C200" s="2" t="str">
        <f>=HYPERLINK("https://xhslink.com/m/7SNrRZkWYkU", "https://xhslink.com/m/7SNrRZkWYkU")</f>
        <v>https://xhslink.com/m/7SNrRZkWYkU</v>
      </c>
      <c r="D200"/>
      <c r="E200">
        <v>110000</v>
      </c>
      <c r="F200">
        <v>89</v>
      </c>
      <c r="G200">
        <v>39.9</v>
      </c>
      <c r="H200">
        <v>1000</v>
      </c>
      <c r="I200" t="inlineStr">
        <is>
          <t>上衣</t>
        </is>
      </c>
      <c r="J200" t="inlineStr">
        <is>
          <t>0.01</t>
        </is>
      </c>
      <c r="K200"/>
      <c r="L200" t="inlineStr">
        <is>
          <t>糖五朵的店</t>
        </is>
      </c>
      <c r="M200">
        <v>816000</v>
      </c>
      <c r="N200">
        <v>4.63</v>
      </c>
      <c r="O200">
        <v>1246000</v>
      </c>
      <c r="P200" t="inlineStr">
        <is>
          <t>67c9877b2aad820001177f61</t>
        </is>
      </c>
      <c r="Q200" t="inlineStr">
        <is>
          <t>🚫重复</t>
        </is>
      </c>
      <c r="R200" t="inlineStr">
        <is>
          <t>16周</t>
        </is>
      </c>
      <c r="S200" t="inlineStr">
        <is>
          <t>0.13</t>
        </is>
      </c>
      <c r="T200" t="inlineStr">
        <is>
          <t>服饰穿搭</t>
        </is>
      </c>
      <c r="U200" t="inlineStr">
        <is>
          <t>女装</t>
        </is>
      </c>
      <c r="V200" s="3">
        <v>46125.978738425925</v>
      </c>
      <c r="W200" t="inlineStr">
        <is>
          <t>2026-Q2</t>
        </is>
      </c>
    </row>
    <row r="201" ht="25.5" customHeight="1">
      <c r="A201" t="inlineStr">
        <is>
          <t>美式运动裤女春夏高腰休闲宽松阔腿卫裤显瘦直筒休闲裤</t>
        </is>
      </c>
      <c r="B201" t="inlineStr">
        <is>
          <t>recvgGy5hQDnut.jpg</t>
        </is>
      </c>
      <c r="C201" s="2" t="str">
        <f>=HYPERLINK("https://xhslink.com/m/AWi4zcwqS7e", "https://xhslink.com/m/AWi4zcwqS7e")</f>
        <v>https://xhslink.com/m/AWi4zcwqS7e</v>
      </c>
      <c r="D201"/>
      <c r="E201">
        <v>16000</v>
      </c>
      <c r="F201">
        <v>99.9</v>
      </c>
      <c r="G201">
        <v>69.9</v>
      </c>
      <c r="H201">
        <v>1000</v>
      </c>
      <c r="I201" t="inlineStr">
        <is>
          <t>上衣</t>
        </is>
      </c>
      <c r="J201" t="inlineStr">
        <is>
          <t>0.06</t>
        </is>
      </c>
      <c r="K201"/>
      <c r="L201" t="inlineStr">
        <is>
          <t>莓川库茶的店</t>
        </is>
      </c>
      <c r="M201">
        <v>10000</v>
      </c>
      <c r="N201">
        <v>4.62</v>
      </c>
      <c r="O201">
        <v>104000</v>
      </c>
      <c r="P201" t="inlineStr">
        <is>
          <t>68d42130702da10001312e29</t>
        </is>
      </c>
      <c r="Q201" t="inlineStr">
        <is>
          <t>🚫重复</t>
        </is>
      </c>
      <c r="R201" t="inlineStr">
        <is>
          <t>16周</t>
        </is>
      </c>
      <c r="S201" t="inlineStr">
        <is>
          <t>1.60</t>
        </is>
      </c>
      <c r="T201" t="inlineStr">
        <is>
          <t>服饰穿搭</t>
        </is>
      </c>
      <c r="U201" t="inlineStr">
        <is>
          <t>女装</t>
        </is>
      </c>
      <c r="V201" s="3">
        <v>46125.978738425925</v>
      </c>
      <c r="W201" t="inlineStr">
        <is>
          <t>2026-Q2</t>
        </is>
      </c>
    </row>
    <row r="202" ht="25.5" customHeight="1">
      <c r="A202" t="inlineStr">
        <is>
          <t>亚朵星球 · 【深睡睡衣】女款夏季夏天薄睡衣套装前侧防凉后侧透气翻身无感</t>
        </is>
      </c>
      <c r="B202" t="inlineStr">
        <is>
          <t>recvgGy5hQFkSX.jpg</t>
        </is>
      </c>
      <c r="C202" s="2" t="str">
        <f>=HYPERLINK("https://xhslink.com/m/95JArp6Jg98", "https://xhslink.com/m/95JArp6Jg98")</f>
        <v>https://xhslink.com/m/95JArp6Jg98</v>
      </c>
      <c r="D202"/>
      <c r="E202">
        <v>34000</v>
      </c>
      <c r="F202">
        <v>529</v>
      </c>
      <c r="G202">
        <v>379</v>
      </c>
      <c r="H202">
        <v>1000</v>
      </c>
      <c r="I202" t="inlineStr">
        <is>
          <t>上衣</t>
        </is>
      </c>
      <c r="J202" t="inlineStr">
        <is>
          <t>0.03</t>
        </is>
      </c>
      <c r="K202"/>
      <c r="L202" t="inlineStr">
        <is>
          <t>亚朵星球旗舰店</t>
        </is>
      </c>
      <c r="M202">
        <v>239000</v>
      </c>
      <c r="N202">
        <v>4.68</v>
      </c>
      <c r="O202">
        <v>312000</v>
      </c>
      <c r="P202" t="inlineStr">
        <is>
          <t>6902ff595c4f1900015308e6</t>
        </is>
      </c>
      <c r="Q202"/>
      <c r="R202" t="inlineStr">
        <is>
          <t>16周</t>
        </is>
      </c>
      <c r="S202" t="inlineStr">
        <is>
          <t>0.14</t>
        </is>
      </c>
      <c r="T202" t="inlineStr">
        <is>
          <t>服饰穿搭</t>
        </is>
      </c>
      <c r="U202" t="inlineStr">
        <is>
          <t>女装</t>
        </is>
      </c>
      <c r="V202" s="3">
        <v>46125.978738425925</v>
      </c>
      <c r="W202" t="inlineStr">
        <is>
          <t>2026-Q2</t>
        </is>
      </c>
    </row>
    <row r="203" ht="25.5" customHeight="1">
      <c r="A203" t="inlineStr">
        <is>
          <t>可爱毛绒安抚软萌甜安抚兔卡通挂件玩偶呆萌娃娃兔子萌物甜美日系</t>
        </is>
      </c>
      <c r="B203" t="inlineStr">
        <is>
          <t>recvgGy5hQ4q5S.jpg</t>
        </is>
      </c>
      <c r="C203" s="2" t="str">
        <f>=HYPERLINK("https://xhslink.com/m/9xVinOvS19O", "https://xhslink.com/m/9xVinOvS19O")</f>
        <v>https://xhslink.com/m/9xVinOvS19O</v>
      </c>
      <c r="D203"/>
      <c r="E203">
        <v>54000</v>
      </c>
      <c r="F203">
        <v>15.9</v>
      </c>
      <c r="G203">
        <v>9.9</v>
      </c>
      <c r="H203">
        <v>1000</v>
      </c>
      <c r="I203" t="inlineStr">
        <is>
          <t>挂件</t>
        </is>
      </c>
      <c r="J203" t="inlineStr">
        <is>
          <t>0.02</t>
        </is>
      </c>
      <c r="K203" t="inlineStr">
        <is>
          <t>🔥低粉爆款</t>
        </is>
      </c>
      <c r="L203" t="inlineStr">
        <is>
          <t>一只瑞比兔的店</t>
        </is>
      </c>
      <c r="M203">
        <v>8001</v>
      </c>
      <c r="N203">
        <v>4.23</v>
      </c>
      <c r="O203">
        <v>58000</v>
      </c>
      <c r="P203" t="inlineStr">
        <is>
          <t>69c430199c146500012e7356</t>
        </is>
      </c>
      <c r="Q203" t="inlineStr">
        <is>
          <t>🚫重复</t>
        </is>
      </c>
      <c r="R203" t="inlineStr">
        <is>
          <t>16周</t>
        </is>
      </c>
      <c r="S203" t="inlineStr">
        <is>
          <t>6.75</t>
        </is>
      </c>
      <c r="T203" t="inlineStr">
        <is>
          <t>母婴亲子</t>
        </is>
      </c>
      <c r="U203" t="inlineStr">
        <is>
          <t>玩具早教</t>
        </is>
      </c>
      <c r="V203" s="3">
        <v>46125.978738425925</v>
      </c>
      <c r="W203" t="inlineStr">
        <is>
          <t>2026-Q2</t>
        </is>
      </c>
    </row>
    <row r="204" ht="25.5" customHeight="1">
      <c r="A204" t="inlineStr">
        <is>
          <t>【疗愈娃娃·手工】丑萌静心果壳摇铃娃娃·植物种子·手工小挂件</t>
        </is>
      </c>
      <c r="B204" t="inlineStr">
        <is>
          <t>recvgGy5hQKSHd.jpg</t>
        </is>
      </c>
      <c r="C204" s="2" t="str">
        <f>=HYPERLINK("https://xhslink.com/m/HnppalPB4u", "https://xhslink.com/m/HnppalPB4u")</f>
        <v>https://xhslink.com/m/HnppalPB4u</v>
      </c>
      <c r="D204"/>
      <c r="E204">
        <v>17000</v>
      </c>
      <c r="F204">
        <v>33.9</v>
      </c>
      <c r="G204">
        <v>13.9</v>
      </c>
      <c r="H204">
        <v>1000</v>
      </c>
      <c r="I204" t="inlineStr">
        <is>
          <t>挂件</t>
        </is>
      </c>
      <c r="J204" t="inlineStr">
        <is>
          <t>0.06</t>
        </is>
      </c>
      <c r="K204" t="inlineStr">
        <is>
          <t>🔥低粉爆款</t>
        </is>
      </c>
      <c r="L204" t="inlineStr">
        <is>
          <t>菜冰冰没有冰的店</t>
        </is>
      </c>
      <c r="M204">
        <v>3538</v>
      </c>
      <c r="N204">
        <v>4.42</v>
      </c>
      <c r="O204">
        <v>45000</v>
      </c>
      <c r="P204" t="inlineStr">
        <is>
          <t>69ccdc75a122150001b58428</t>
        </is>
      </c>
      <c r="Q204"/>
      <c r="R204" t="inlineStr">
        <is>
          <t>16周</t>
        </is>
      </c>
      <c r="S204" t="inlineStr">
        <is>
          <t>4.80</t>
        </is>
      </c>
      <c r="T204" t="inlineStr">
        <is>
          <t>家居生活</t>
        </is>
      </c>
      <c r="U204" t="inlineStr">
        <is>
          <t>家具家装</t>
        </is>
      </c>
      <c r="V204" s="3">
        <v>46125.978738425925</v>
      </c>
      <c r="W204" t="inlineStr">
        <is>
          <t>2026-Q2</t>
        </is>
      </c>
    </row>
    <row r="205" ht="25.5" customHeight="1">
      <c r="A205" t="inlineStr">
        <is>
          <t>【顺丰冷链包邮】低脂牛肉丸低碳水健身轻食潮汕小吃特产火锅丸子</t>
        </is>
      </c>
      <c r="B205" t="inlineStr">
        <is>
          <t>recvgGy5hQ5Bfz.jpg</t>
        </is>
      </c>
      <c r="C205" s="2" t="str">
        <f>=HYPERLINK("https://xhslink.com/m/97RlWmVAIn3", "https://xhslink.com/m/97RlWmVAIn3")</f>
        <v>https://xhslink.com/m/97RlWmVAIn3</v>
      </c>
      <c r="D205"/>
      <c r="E205">
        <v>68000</v>
      </c>
      <c r="F205">
        <v>59</v>
      </c>
      <c r="G205">
        <v>39</v>
      </c>
      <c r="H205">
        <v>1000</v>
      </c>
      <c r="I205" t="inlineStr">
        <is>
          <t>牛肉丸子</t>
        </is>
      </c>
      <c r="J205" t="inlineStr">
        <is>
          <t>0.01</t>
        </is>
      </c>
      <c r="K205" t="inlineStr">
        <is>
          <t>🔥低粉爆款</t>
        </is>
      </c>
      <c r="L205" t="inlineStr">
        <is>
          <t>牛肉丸研究所🐮的店</t>
        </is>
      </c>
      <c r="M205">
        <v>9581</v>
      </c>
      <c r="N205">
        <v>4.79</v>
      </c>
      <c r="O205">
        <v>185000</v>
      </c>
      <c r="P205" t="inlineStr">
        <is>
          <t>67f4b6242dd3d10001db6c17</t>
        </is>
      </c>
      <c r="Q205" t="inlineStr">
        <is>
          <t>🚫重复</t>
        </is>
      </c>
      <c r="R205" t="inlineStr">
        <is>
          <t>16周</t>
        </is>
      </c>
      <c r="S205" t="inlineStr">
        <is>
          <t>7.10</t>
        </is>
      </c>
      <c r="T205" t="inlineStr">
        <is>
          <t>美食滋补</t>
        </is>
      </c>
      <c r="U205" t="inlineStr">
        <is>
          <t>休闲零食</t>
        </is>
      </c>
      <c r="V205" s="3">
        <v>46125.978738425925</v>
      </c>
      <c r="W205" t="inlineStr">
        <is>
          <t>2026-Q2</t>
        </is>
      </c>
    </row>
    <row r="206" ht="25.5" customHeight="1">
      <c r="A206" t="inlineStr">
        <is>
          <t>法式系带花边领白衬衫女2026新款别致温柔风衬衣春夏季</t>
        </is>
      </c>
      <c r="B206" t="inlineStr">
        <is>
          <t>__upload_recvgMo2ZYxpxN.jpg</t>
        </is>
      </c>
      <c r="C206" s="2" t="str">
        <f>=HYPERLINK("https://xhslink.com/m/3aUQtMOwl7E", "https://xhslink.com/m/3aUQtMOwl7E")</f>
        <v>https://xhslink.com/m/3aUQtMOwl7E</v>
      </c>
      <c r="D206"/>
      <c r="E206">
        <v>97000</v>
      </c>
      <c r="F206">
        <v>95</v>
      </c>
      <c r="G206"/>
      <c r="H206">
        <v>1000</v>
      </c>
      <c r="I206" t="inlineStr">
        <is>
          <t>上衣</t>
        </is>
      </c>
      <c r="J206" t="inlineStr">
        <is>
          <t>0.01</t>
        </is>
      </c>
      <c r="K206"/>
      <c r="L206" t="inlineStr">
        <is>
          <t>KK穿搭分享~的店</t>
        </is>
      </c>
      <c r="M206">
        <v>597000</v>
      </c>
      <c r="N206">
        <v>4.6</v>
      </c>
      <c r="O206">
        <v>3113000</v>
      </c>
      <c r="P206" t="inlineStr">
        <is>
          <t>67ea57dac90d830001d57ce8</t>
        </is>
      </c>
      <c r="Q206" t="inlineStr">
        <is>
          <t>🚫重复</t>
        </is>
      </c>
      <c r="R206" t="inlineStr">
        <is>
          <t>16周</t>
        </is>
      </c>
      <c r="S206" t="inlineStr">
        <is>
          <t>0.16</t>
        </is>
      </c>
      <c r="T206" t="inlineStr">
        <is>
          <t>服饰穿搭</t>
        </is>
      </c>
      <c r="U206" t="inlineStr">
        <is>
          <t>女装</t>
        </is>
      </c>
      <c r="V206" s="3">
        <v>46126.97719907408</v>
      </c>
      <c r="W206" t="inlineStr">
        <is>
          <t>2026-Q2</t>
        </is>
      </c>
    </row>
    <row r="207" ht="25.5" customHeight="1">
      <c r="A207" t="inlineStr">
        <is>
          <t>【9.5选3个】自选福利大肠发圈 （孤品数量有限）发圈高马尾韩系</t>
        </is>
      </c>
      <c r="B207" t="inlineStr">
        <is>
          <t>__upload_recvgMo2ZYOH3Z.jpg</t>
        </is>
      </c>
      <c r="C207" s="2" t="str">
        <f>=HYPERLINK("https://xhslink.com/m/3AIWaCGnAv9", "https://xhslink.com/m/3AIWaCGnAv9")</f>
        <v>https://xhslink.com/m/3AIWaCGnAv9</v>
      </c>
      <c r="D207"/>
      <c r="E207">
        <v>16000</v>
      </c>
      <c r="F207">
        <v>4.5</v>
      </c>
      <c r="G207"/>
      <c r="H207">
        <v>1000</v>
      </c>
      <c r="I207" t="inlineStr">
        <is>
          <t>头饰</t>
        </is>
      </c>
      <c r="J207" t="inlineStr">
        <is>
          <t>0.06</t>
        </is>
      </c>
      <c r="K207"/>
      <c r="L207" t="inlineStr">
        <is>
          <t>tauzy陶子发圈的店的店</t>
        </is>
      </c>
      <c r="M207">
        <v>15000</v>
      </c>
      <c r="N207">
        <v>4.76</v>
      </c>
      <c r="O207">
        <v>32000</v>
      </c>
      <c r="P207" t="inlineStr">
        <is>
          <t>69c4ac9fff00dc000169e3ee</t>
        </is>
      </c>
      <c r="Q207"/>
      <c r="R207" t="inlineStr">
        <is>
          <t>16周</t>
        </is>
      </c>
      <c r="S207" t="inlineStr">
        <is>
          <t>1.07</t>
        </is>
      </c>
      <c r="T207" t="inlineStr">
        <is>
          <t>服饰穿搭</t>
        </is>
      </c>
      <c r="U207" t="inlineStr">
        <is>
          <t>配饰</t>
        </is>
      </c>
      <c r="V207" s="3">
        <v>46126.97719907408</v>
      </c>
      <c r="W207" t="inlineStr">
        <is>
          <t>2026-Q2</t>
        </is>
      </c>
    </row>
    <row r="208" ht="25.5" customHeight="1">
      <c r="A208" t="inlineStr">
        <is>
          <t>【非遗手艺 限时特惠】古法传承手工天然草本合香珠手串</t>
        </is>
      </c>
      <c r="B208" t="inlineStr">
        <is>
          <t>__upload_recvgMo2ZYQpLD.jpg</t>
        </is>
      </c>
      <c r="C208" s="2" t="str">
        <f>=HYPERLINK("https://xhslink.com/m/1E8oIGTytqC", "https://xhslink.com/m/1E8oIGTytqC")</f>
        <v>https://xhslink.com/m/1E8oIGTytqC</v>
      </c>
      <c r="D208"/>
      <c r="E208">
        <v>28000</v>
      </c>
      <c r="F208">
        <v>59.9</v>
      </c>
      <c r="G208">
        <v>15.8</v>
      </c>
      <c r="H208">
        <v>1000</v>
      </c>
      <c r="I208" t="inlineStr">
        <is>
          <t>手工</t>
        </is>
      </c>
      <c r="J208" t="inlineStr">
        <is>
          <t>0.04</t>
        </is>
      </c>
      <c r="K208" t="inlineStr">
        <is>
          <t>🔥低粉爆款</t>
        </is>
      </c>
      <c r="L208" t="inlineStr">
        <is>
          <t>阿祖非遗手作的店</t>
        </is>
      </c>
      <c r="M208">
        <v>3988</v>
      </c>
      <c r="N208">
        <v>4.85</v>
      </c>
      <c r="O208">
        <v>32000</v>
      </c>
      <c r="P208" t="inlineStr">
        <is>
          <t>69b93d2026526900018478b4</t>
        </is>
      </c>
      <c r="Q208"/>
      <c r="R208" t="inlineStr">
        <is>
          <t>16周</t>
        </is>
      </c>
      <c r="S208" t="inlineStr">
        <is>
          <t>7.02</t>
        </is>
      </c>
      <c r="T208" t="inlineStr">
        <is>
          <t>运动潮玩</t>
        </is>
      </c>
      <c r="U208" t="inlineStr">
        <is>
          <t>图书文创</t>
        </is>
      </c>
      <c r="V208" s="3">
        <v>46126.97719907408</v>
      </c>
      <c r="W208" t="inlineStr">
        <is>
          <t>2026-Q2</t>
        </is>
      </c>
    </row>
    <row r="209" ht="25.5" customHeight="1">
      <c r="A209" t="inlineStr">
        <is>
          <t>【小葵·制香】纯手工制作古法研制天然草本合香珠草本手串</t>
        </is>
      </c>
      <c r="B209" t="inlineStr">
        <is>
          <t>__upload_recvgMo2ZYEWKs.jpg</t>
        </is>
      </c>
      <c r="C209" s="2" t="str">
        <f>=HYPERLINK("https://xhslink.com/m/9yMxMfn4bPj", "https://xhslink.com/m/9yMxMfn4bPj")</f>
        <v>https://xhslink.com/m/9yMxMfn4bPj</v>
      </c>
      <c r="D209"/>
      <c r="E209">
        <v>66000</v>
      </c>
      <c r="F209">
        <v>114.8</v>
      </c>
      <c r="G209">
        <v>84.8</v>
      </c>
      <c r="H209">
        <v>1000</v>
      </c>
      <c r="I209" t="inlineStr">
        <is>
          <t>手工</t>
        </is>
      </c>
      <c r="J209" t="inlineStr">
        <is>
          <t>0.02</t>
        </is>
      </c>
      <c r="K209"/>
      <c r="L209" t="inlineStr">
        <is>
          <t>Puree小葵工作室的店</t>
        </is>
      </c>
      <c r="M209">
        <v>43000</v>
      </c>
      <c r="N209">
        <v>4.63</v>
      </c>
      <c r="O209">
        <v>338000</v>
      </c>
      <c r="P209" t="inlineStr">
        <is>
          <t>6977b48bb828e400012a7494</t>
        </is>
      </c>
      <c r="Q209" t="inlineStr">
        <is>
          <t>🚫重复</t>
        </is>
      </c>
      <c r="R209" t="inlineStr">
        <is>
          <t>16周</t>
        </is>
      </c>
      <c r="S209" t="inlineStr">
        <is>
          <t>1.53</t>
        </is>
      </c>
      <c r="T209" t="inlineStr">
        <is>
          <t>运动潮玩</t>
        </is>
      </c>
      <c r="U209" t="inlineStr">
        <is>
          <t>图书文创</t>
        </is>
      </c>
      <c r="V209" s="3">
        <v>46126.97719907408</v>
      </c>
      <c r="W209" t="inlineStr">
        <is>
          <t>2026-Q2</t>
        </is>
      </c>
    </row>
    <row r="210" ht="25.5" customHeight="1">
      <c r="A210" t="inlineStr">
        <is>
          <t>遂香记 · 【超多红豆】手工豆沙粽子清水红豆粽纯素赤豆粽端午节减糖低甜粽</t>
        </is>
      </c>
      <c r="B210" t="inlineStr">
        <is>
          <t>__upload_recvgSig7qQXVW.jpg</t>
        </is>
      </c>
      <c r="C210" s="2" t="str">
        <f>=HYPERLINK("https://xhslink.com/m/69Jwxfjcpyb", "https://xhslink.com/m/69Jwxfjcpyb")</f>
        <v>https://xhslink.com/m/69Jwxfjcpyb</v>
      </c>
      <c r="D210"/>
      <c r="E210">
        <v>67000</v>
      </c>
      <c r="F210">
        <v>29.8</v>
      </c>
      <c r="G210"/>
      <c r="H210">
        <v>1000</v>
      </c>
      <c r="I210" t="inlineStr">
        <is>
          <t>减脂零食</t>
        </is>
      </c>
      <c r="J210" t="inlineStr">
        <is>
          <t>0.01</t>
        </is>
      </c>
      <c r="K210" t="inlineStr">
        <is>
          <t>🔥低粉爆款</t>
        </is>
      </c>
      <c r="L210" t="inlineStr">
        <is>
          <t>遂香记的店</t>
        </is>
      </c>
      <c r="M210">
        <v>22000</v>
      </c>
      <c r="N210">
        <v>4.66</v>
      </c>
      <c r="O210">
        <v>297000</v>
      </c>
      <c r="P210" t="inlineStr">
        <is>
          <t>65fc1c5ae21a000001d2ca2c</t>
        </is>
      </c>
      <c r="Q210" t="inlineStr">
        <is>
          <t>🚫重复</t>
        </is>
      </c>
      <c r="R210" t="inlineStr">
        <is>
          <t>16周</t>
        </is>
      </c>
      <c r="S210" t="inlineStr">
        <is>
          <t>3.05</t>
        </is>
      </c>
      <c r="T210" t="inlineStr">
        <is>
          <t>美食滋补</t>
        </is>
      </c>
      <c r="U210" t="inlineStr">
        <is>
          <t>休闲零食</t>
        </is>
      </c>
      <c r="V210" s="3">
        <v>46127.987395833334</v>
      </c>
      <c r="W210" t="inlineStr">
        <is>
          <t>2026-Q2</t>
        </is>
      </c>
    </row>
    <row r="211" ht="25.5" customHeight="1">
      <c r="A211" t="inlineStr">
        <is>
          <t>【syy自制】原版竹节棉微透白色连帽防晒长袖外套V领拉链开衫9961</t>
        </is>
      </c>
      <c r="B211" t="inlineStr">
        <is>
          <t>__upload_recvgSimhWjMRZ.jpg</t>
        </is>
      </c>
      <c r="C211" s="2" t="str">
        <f>=HYPERLINK("https://xhslink.com/m/2TjDgaL4aSq", "https://xhslink.com/m/2TjDgaL4aSq")</f>
        <v>https://xhslink.com/m/2TjDgaL4aSq</v>
      </c>
      <c r="D211"/>
      <c r="E211">
        <v>17000</v>
      </c>
      <c r="F211">
        <v>39.9</v>
      </c>
      <c r="G211"/>
      <c r="H211">
        <v>1000</v>
      </c>
      <c r="I211" t="inlineStr">
        <is>
          <t>防晒衣</t>
        </is>
      </c>
      <c r="J211" t="inlineStr">
        <is>
          <t>0.06</t>
        </is>
      </c>
      <c r="K211"/>
      <c r="L211" t="inlineStr">
        <is>
          <t>syy鱼鱼的店</t>
        </is>
      </c>
      <c r="M211">
        <v>64000</v>
      </c>
      <c r="N211">
        <v>4.5</v>
      </c>
      <c r="O211">
        <v>335000</v>
      </c>
      <c r="P211" t="inlineStr">
        <is>
          <t>686f905f2891170015efe8da</t>
        </is>
      </c>
      <c r="Q211"/>
      <c r="R211" t="inlineStr">
        <is>
          <t>16周</t>
        </is>
      </c>
      <c r="S211" t="inlineStr">
        <is>
          <t>0.27</t>
        </is>
      </c>
      <c r="T211" t="inlineStr">
        <is>
          <t>服饰穿搭</t>
        </is>
      </c>
      <c r="U211" t="inlineStr">
        <is>
          <t>女装</t>
        </is>
      </c>
      <c r="V211" s="3">
        <v>46127.98767361111</v>
      </c>
      <c r="W211" t="inlineStr">
        <is>
          <t>2026-Q2</t>
        </is>
      </c>
    </row>
    <row r="212" ht="25.5" customHeight="1">
      <c r="A212" t="inlineStr">
        <is>
          <t>R227-R400实体品质春夏款韩版高级感女装气质上衣</t>
        </is>
      </c>
      <c r="B212" t="inlineStr">
        <is>
          <t>__upload_recvgSimhWFwT0.jpg</t>
        </is>
      </c>
      <c r="C212" s="2" t="str">
        <f>=HYPERLINK("https://xhslink.com/m/VByVo3Ady3", "https://xhslink.com/m/VByVo3Ady3")</f>
        <v>https://xhslink.com/m/VByVo3Ady3</v>
      </c>
      <c r="D212"/>
      <c r="E212">
        <v>13000</v>
      </c>
      <c r="F212">
        <v>29.9</v>
      </c>
      <c r="G212">
        <v>27.9</v>
      </c>
      <c r="H212">
        <v>1000</v>
      </c>
      <c r="I212" t="inlineStr">
        <is>
          <t>短袖</t>
        </is>
      </c>
      <c r="J212" t="inlineStr">
        <is>
          <t>0.08</t>
        </is>
      </c>
      <c r="K212"/>
      <c r="L212" t="inlineStr">
        <is>
          <t>范范酱的店</t>
        </is>
      </c>
      <c r="M212">
        <v>279000</v>
      </c>
      <c r="N212">
        <v>4.46</v>
      </c>
      <c r="O212">
        <v>584000</v>
      </c>
      <c r="P212" t="inlineStr">
        <is>
          <t>69db9a6f8c821300015aa375</t>
        </is>
      </c>
      <c r="Q212"/>
      <c r="R212" t="inlineStr">
        <is>
          <t>16周</t>
        </is>
      </c>
      <c r="S212" t="inlineStr">
        <is>
          <t>0.05</t>
        </is>
      </c>
      <c r="T212" t="inlineStr">
        <is>
          <t>服饰穿搭</t>
        </is>
      </c>
      <c r="U212" t="inlineStr">
        <is>
          <t>女装</t>
        </is>
      </c>
      <c r="V212" s="3">
        <v>46127.98767361111</v>
      </c>
      <c r="W212" t="inlineStr">
        <is>
          <t>2026-Q2</t>
        </is>
      </c>
    </row>
    <row r="213" ht="25.5" customHeight="1">
      <c r="A213" t="inlineStr">
        <is>
          <t>【棉质系列】圆领抗菌沙漏腰正肩短袖显瘦运动健身t恤春夏</t>
        </is>
      </c>
      <c r="B213" t="inlineStr">
        <is>
          <t>__upload_recvgSimhWHlMv.jpg</t>
        </is>
      </c>
      <c r="C213" s="2" t="str">
        <f>=HYPERLINK("https://xhslink.com/m/Apt8gbPRjsM", "https://xhslink.com/m/Apt8gbPRjsM")</f>
        <v>https://xhslink.com/m/Apt8gbPRjsM</v>
      </c>
      <c r="D213"/>
      <c r="E213">
        <v>23000</v>
      </c>
      <c r="F213">
        <v>139</v>
      </c>
      <c r="G213">
        <v>79</v>
      </c>
      <c r="H213">
        <v>1000</v>
      </c>
      <c r="I213" t="inlineStr">
        <is>
          <t>短袖</t>
        </is>
      </c>
      <c r="J213" t="inlineStr">
        <is>
          <t>0.04</t>
        </is>
      </c>
      <c r="K213"/>
      <c r="L213" t="inlineStr">
        <is>
          <t>淋了个鱼的店</t>
        </is>
      </c>
      <c r="M213">
        <v>16000</v>
      </c>
      <c r="N213">
        <v>4.65</v>
      </c>
      <c r="O213">
        <v>179000</v>
      </c>
      <c r="P213" t="inlineStr">
        <is>
          <t>69819b0578d8d50001b55135</t>
        </is>
      </c>
      <c r="Q213" t="inlineStr">
        <is>
          <t>🚫重复</t>
        </is>
      </c>
      <c r="R213" t="inlineStr">
        <is>
          <t>16周</t>
        </is>
      </c>
      <c r="S213" t="inlineStr">
        <is>
          <t>1.44</t>
        </is>
      </c>
      <c r="T213" t="inlineStr">
        <is>
          <t>服饰穿搭</t>
        </is>
      </c>
      <c r="U213" t="inlineStr">
        <is>
          <t>女装</t>
        </is>
      </c>
      <c r="V213" s="3">
        <v>46127.98767361111</v>
      </c>
      <c r="W213" t="inlineStr">
        <is>
          <t>2026-Q2</t>
        </is>
      </c>
    </row>
    <row r="214" ht="25.5" customHeight="1">
      <c r="A214" t="inlineStr">
        <is>
          <t>【抗起球𝟮.𝟬版~氧气tee】U领透感短袖t恤女夏季正肩短上衣</t>
        </is>
      </c>
      <c r="B214" t="inlineStr">
        <is>
          <t>__upload_recvgSimhWR5Ku.jpg</t>
        </is>
      </c>
      <c r="C214" s="2" t="str">
        <f>=HYPERLINK("https://xhslink.com/m/zkpGutz3pS", "https://xhslink.com/m/zkpGutz3pS")</f>
        <v>https://xhslink.com/m/zkpGutz3pS</v>
      </c>
      <c r="D214"/>
      <c r="E214">
        <v>33000</v>
      </c>
      <c r="F214">
        <v>35.9</v>
      </c>
      <c r="G214"/>
      <c r="H214">
        <v>1000</v>
      </c>
      <c r="I214" t="inlineStr">
        <is>
          <t>短袖</t>
        </is>
      </c>
      <c r="J214" t="inlineStr">
        <is>
          <t>0.03</t>
        </is>
      </c>
      <c r="K214"/>
      <c r="L214" t="inlineStr">
        <is>
          <t>海鸥服装厂的店</t>
        </is>
      </c>
      <c r="M214">
        <v>93000</v>
      </c>
      <c r="N214">
        <v>4.47</v>
      </c>
      <c r="O214">
        <v>1120000</v>
      </c>
      <c r="P214" t="inlineStr">
        <is>
          <t>682b7e5347f0f100016a0ec2</t>
        </is>
      </c>
      <c r="Q214" t="inlineStr">
        <is>
          <t>🚫重复</t>
        </is>
      </c>
      <c r="R214" t="inlineStr">
        <is>
          <t>16周</t>
        </is>
      </c>
      <c r="S214" t="inlineStr">
        <is>
          <t>0.35</t>
        </is>
      </c>
      <c r="T214" t="inlineStr">
        <is>
          <t>服饰穿搭</t>
        </is>
      </c>
      <c r="U214" t="inlineStr">
        <is>
          <t>女装</t>
        </is>
      </c>
      <c r="V214" s="3">
        <v>46127.98767361111</v>
      </c>
      <c r="W214" t="inlineStr">
        <is>
          <t>2026-Q2</t>
        </is>
      </c>
    </row>
    <row r="215" ht="25.5" customHeight="1">
      <c r="A215" t="inlineStr">
        <is>
          <t>咕噜•宅女同款春夏贝壳纽扣双排扣褶皱领细节娃娃衫上衣宽松双色</t>
        </is>
      </c>
      <c r="B215" t="inlineStr">
        <is>
          <t>__upload_recvgSimhWGSLC.jpg</t>
        </is>
      </c>
      <c r="C215" s="2" t="str">
        <f>=HYPERLINK("https://xhslink.com/m/7hzerzaXhDc", "https://xhslink.com/m/7hzerzaXhDc")</f>
        <v>https://xhslink.com/m/7hzerzaXhDc</v>
      </c>
      <c r="D215"/>
      <c r="E215">
        <v>7394</v>
      </c>
      <c r="F215">
        <v>99</v>
      </c>
      <c r="G215">
        <v>89</v>
      </c>
      <c r="H215">
        <v>1000</v>
      </c>
      <c r="I215" t="inlineStr">
        <is>
          <t>短袖</t>
        </is>
      </c>
      <c r="J215" t="inlineStr">
        <is>
          <t>0.14</t>
        </is>
      </c>
      <c r="K215"/>
      <c r="L215" t="inlineStr">
        <is>
          <t>咕噜大王（创业版）的店</t>
        </is>
      </c>
      <c r="M215">
        <v>322000</v>
      </c>
      <c r="N215">
        <v>4.63</v>
      </c>
      <c r="O215">
        <v>32000</v>
      </c>
      <c r="P215" t="inlineStr">
        <is>
          <t>69aa36ce970f00000198ee19</t>
        </is>
      </c>
      <c r="Q215"/>
      <c r="R215" t="inlineStr">
        <is>
          <t>16周</t>
        </is>
      </c>
      <c r="S215" t="inlineStr">
        <is>
          <t>0.02</t>
        </is>
      </c>
      <c r="T215" t="inlineStr">
        <is>
          <t>服饰穿搭</t>
        </is>
      </c>
      <c r="U215" t="inlineStr">
        <is>
          <t>女装</t>
        </is>
      </c>
      <c r="V215" s="3">
        <v>46127.98767361111</v>
      </c>
      <c r="W215" t="inlineStr">
        <is>
          <t>2026-Q2</t>
        </is>
      </c>
    </row>
    <row r="216" ht="25.5" customHeight="1">
      <c r="A216" t="inlineStr">
        <is>
          <t>绑带tee「抗起球𝟮.𝟬版」bm风灰色微透t恤女夏季短袖上衣</t>
        </is>
      </c>
      <c r="B216" t="inlineStr">
        <is>
          <t>__upload_recvgSimhW4Oej.jpg</t>
        </is>
      </c>
      <c r="C216" s="2" t="str">
        <f>=HYPERLINK("https://xhslink.com/m/9AmEBj3R6dY", "https://xhslink.com/m/9AmEBj3R6dY")</f>
        <v>https://xhslink.com/m/9AmEBj3R6dY</v>
      </c>
      <c r="D216"/>
      <c r="E216">
        <v>43000</v>
      </c>
      <c r="F216">
        <v>29.9</v>
      </c>
      <c r="G216"/>
      <c r="H216">
        <v>1000</v>
      </c>
      <c r="I216" t="inlineStr">
        <is>
          <t>短袖</t>
        </is>
      </c>
      <c r="J216" t="inlineStr">
        <is>
          <t>0.02</t>
        </is>
      </c>
      <c r="K216"/>
      <c r="L216" t="inlineStr">
        <is>
          <t>海鸥服装厂的店</t>
        </is>
      </c>
      <c r="M216">
        <v>93000</v>
      </c>
      <c r="N216">
        <v>4.47</v>
      </c>
      <c r="O216">
        <v>1120000</v>
      </c>
      <c r="P216" t="inlineStr">
        <is>
          <t>6878de98b1b9df0001dbbc5c</t>
        </is>
      </c>
      <c r="Q216" t="inlineStr">
        <is>
          <t>🚫重复</t>
        </is>
      </c>
      <c r="R216" t="inlineStr">
        <is>
          <t>16周</t>
        </is>
      </c>
      <c r="S216" t="inlineStr">
        <is>
          <t>0.46</t>
        </is>
      </c>
      <c r="T216" t="inlineStr">
        <is>
          <t>服饰穿搭</t>
        </is>
      </c>
      <c r="U216" t="inlineStr">
        <is>
          <t>女装</t>
        </is>
      </c>
      <c r="V216" s="3">
        <v>46127.98767361111</v>
      </c>
      <c r="W216" t="inlineStr">
        <is>
          <t>2026-Q2</t>
        </is>
      </c>
    </row>
    <row r="217" ht="25.5" customHeight="1">
      <c r="A217" t="inlineStr">
        <is>
          <t>@热卖4w件！慵懒感蓝白条纹斜肩短袖T恤女夏季宽松上衣</t>
        </is>
      </c>
      <c r="B217" t="inlineStr">
        <is>
          <t>__upload_recvgSimhWJl2w.jpg</t>
        </is>
      </c>
      <c r="C217" s="2" t="str">
        <f>=HYPERLINK("https://xhslink.com/m/9WHUytCtraZ", "https://xhslink.com/m/9WHUytCtraZ")</f>
        <v>https://xhslink.com/m/9WHUytCtraZ</v>
      </c>
      <c r="D217"/>
      <c r="E217">
        <v>44000</v>
      </c>
      <c r="F217">
        <v>39.9</v>
      </c>
      <c r="G217"/>
      <c r="H217">
        <v>1000</v>
      </c>
      <c r="I217" t="inlineStr">
        <is>
          <t>短袖</t>
        </is>
      </c>
      <c r="J217" t="inlineStr">
        <is>
          <t>0.02</t>
        </is>
      </c>
      <c r="K217"/>
      <c r="L217" t="inlineStr">
        <is>
          <t>海鸥服装厂的店</t>
        </is>
      </c>
      <c r="M217">
        <v>93000</v>
      </c>
      <c r="N217">
        <v>4.47</v>
      </c>
      <c r="O217">
        <v>1120000</v>
      </c>
      <c r="P217" t="inlineStr">
        <is>
          <t>67f6628c04afe30001bc02d4</t>
        </is>
      </c>
      <c r="Q217" t="inlineStr">
        <is>
          <t>🚫重复</t>
        </is>
      </c>
      <c r="R217" t="inlineStr">
        <is>
          <t>16周</t>
        </is>
      </c>
      <c r="S217" t="inlineStr">
        <is>
          <t>0.47</t>
        </is>
      </c>
      <c r="T217" t="inlineStr">
        <is>
          <t>服饰穿搭</t>
        </is>
      </c>
      <c r="U217" t="inlineStr">
        <is>
          <t>女装</t>
        </is>
      </c>
      <c r="V217" s="3">
        <v>46127.98767361111</v>
      </c>
      <c r="W217" t="inlineStr">
        <is>
          <t>2026-Q2</t>
        </is>
      </c>
    </row>
    <row r="218" ht="25.5" customHeight="1">
      <c r="A218" t="inlineStr">
        <is>
          <t>素素美女感 条纹T恤显瘦大领口轻薄微透 165G</t>
        </is>
      </c>
      <c r="B218" t="inlineStr">
        <is>
          <t>__upload_recvgSimhWacUY.jpg</t>
        </is>
      </c>
      <c r="C218" s="2" t="str">
        <f>=HYPERLINK("https://xhslink.com/m/2ufvPoEv82U", "https://xhslink.com/m/2ufvPoEv82U")</f>
        <v>https://xhslink.com/m/2ufvPoEv82U</v>
      </c>
      <c r="D218"/>
      <c r="E218">
        <v>22000</v>
      </c>
      <c r="F218">
        <v>49.8</v>
      </c>
      <c r="G218">
        <v>39.8</v>
      </c>
      <c r="H218">
        <v>1000</v>
      </c>
      <c r="I218" t="inlineStr">
        <is>
          <t>短袖</t>
        </is>
      </c>
      <c r="J218" t="inlineStr">
        <is>
          <t>0.05</t>
        </is>
      </c>
      <c r="K218"/>
      <c r="L218" t="inlineStr">
        <is>
          <t>1mo饼的店</t>
        </is>
      </c>
      <c r="M218">
        <v>97000</v>
      </c>
      <c r="N218">
        <v>4.66</v>
      </c>
      <c r="O218">
        <v>477000</v>
      </c>
      <c r="P218" t="inlineStr">
        <is>
          <t>6804eb9688ebcc0001ac7926</t>
        </is>
      </c>
      <c r="Q218" t="inlineStr">
        <is>
          <t>🚫重复</t>
        </is>
      </c>
      <c r="R218" t="inlineStr">
        <is>
          <t>16周</t>
        </is>
      </c>
      <c r="S218" t="inlineStr">
        <is>
          <t>0.23</t>
        </is>
      </c>
      <c r="T218" t="inlineStr">
        <is>
          <t>服饰穿搭</t>
        </is>
      </c>
      <c r="U218" t="inlineStr">
        <is>
          <t>女装</t>
        </is>
      </c>
      <c r="V218" s="3">
        <v>46127.98767361111</v>
      </c>
      <c r="W218" t="inlineStr">
        <is>
          <t>2026-Q2</t>
        </is>
      </c>
    </row>
    <row r="219" ht="25.5" customHeight="1">
      <c r="A219" t="inlineStr">
        <is>
          <t>"古早感条纹" 6个扣亨利衫bm圆领短袖T恤显瘦上衣 260G</t>
        </is>
      </c>
      <c r="B219" t="inlineStr">
        <is>
          <t>__upload_recvgSimhWvBjX.jpg</t>
        </is>
      </c>
      <c r="C219" s="2" t="str">
        <f>=HYPERLINK("https://xhslink.com/m/mGdTWe8cMC", "https://xhslink.com/m/mGdTWe8cMC")</f>
        <v>https://xhslink.com/m/mGdTWe8cMC</v>
      </c>
      <c r="D219"/>
      <c r="E219">
        <v>13000</v>
      </c>
      <c r="F219">
        <v>63.8</v>
      </c>
      <c r="G219">
        <v>53.8</v>
      </c>
      <c r="H219">
        <v>1000</v>
      </c>
      <c r="I219" t="inlineStr">
        <is>
          <t>短袖</t>
        </is>
      </c>
      <c r="J219" t="inlineStr">
        <is>
          <t>0.08</t>
        </is>
      </c>
      <c r="K219"/>
      <c r="L219" t="inlineStr">
        <is>
          <t>1mo饼的店</t>
        </is>
      </c>
      <c r="M219">
        <v>97000</v>
      </c>
      <c r="N219">
        <v>4.66</v>
      </c>
      <c r="O219">
        <v>477000</v>
      </c>
      <c r="P219" t="inlineStr">
        <is>
          <t>68ee8bb753446d0001289c96</t>
        </is>
      </c>
      <c r="Q219" t="inlineStr">
        <is>
          <t>🚫重复</t>
        </is>
      </c>
      <c r="R219" t="inlineStr">
        <is>
          <t>16周</t>
        </is>
      </c>
      <c r="S219" t="inlineStr">
        <is>
          <t>0.13</t>
        </is>
      </c>
      <c r="T219" t="inlineStr">
        <is>
          <t>服饰穿搭</t>
        </is>
      </c>
      <c r="U219" t="inlineStr">
        <is>
          <t>女装</t>
        </is>
      </c>
      <c r="V219" s="3">
        <v>46127.98767361111</v>
      </c>
      <c r="W219" t="inlineStr">
        <is>
          <t>2026-Q2</t>
        </is>
      </c>
    </row>
    <row r="220" ht="25.5" customHeight="1">
      <c r="A220" t="inlineStr">
        <is>
          <t>【前3000单立减10】米尼尼 美式辣妹撞色假两件polo领短袖T恤</t>
        </is>
      </c>
      <c r="B220" t="inlineStr">
        <is>
          <t>__upload_recvgSimhWWBsr.jpg</t>
        </is>
      </c>
      <c r="C220" s="2" t="str">
        <f>=HYPERLINK("https://xhslink.com/m/70QWtYiYpaD", "https://xhslink.com/m/70QWtYiYpaD")</f>
        <v>https://xhslink.com/m/70QWtYiYpaD</v>
      </c>
      <c r="D220"/>
      <c r="E220">
        <v>2656</v>
      </c>
      <c r="F220">
        <v>69.9</v>
      </c>
      <c r="G220">
        <v>59.9</v>
      </c>
      <c r="H220">
        <v>1000</v>
      </c>
      <c r="I220" t="inlineStr">
        <is>
          <t>短袖</t>
        </is>
      </c>
      <c r="J220" t="inlineStr">
        <is>
          <t>0.38</t>
        </is>
      </c>
      <c r="K220"/>
      <c r="L220" t="inlineStr">
        <is>
          <t>米尼尼studio的店</t>
        </is>
      </c>
      <c r="M220">
        <v>500000</v>
      </c>
      <c r="N220">
        <v>4.53</v>
      </c>
      <c r="O220">
        <v>638000</v>
      </c>
      <c r="P220" t="inlineStr">
        <is>
          <t>69b02e632be6440001d83381</t>
        </is>
      </c>
      <c r="Q220" t="inlineStr">
        <is>
          <t>🚫重复</t>
        </is>
      </c>
      <c r="R220" t="inlineStr">
        <is>
          <t>16周</t>
        </is>
      </c>
      <c r="S220" t="inlineStr">
        <is>
          <t>0.01</t>
        </is>
      </c>
      <c r="T220" t="inlineStr">
        <is>
          <t>服饰穿搭</t>
        </is>
      </c>
      <c r="U220" t="inlineStr">
        <is>
          <t>女装</t>
        </is>
      </c>
      <c r="V220" s="3">
        <v>46127.98767361111</v>
      </c>
      <c r="W220" t="inlineStr">
        <is>
          <t>2026-Q2</t>
        </is>
      </c>
    </row>
    <row r="221" ht="25.5" customHeight="1">
      <c r="A221" t="inlineStr">
        <is>
          <t>条件宽松 纯色宽松口袋套头百搭短袖T恤女纯欲大圆领内搭显瘦韩版</t>
        </is>
      </c>
      <c r="B221" t="inlineStr">
        <is>
          <t>__upload_recvgSimhW9HBl.jpg</t>
        </is>
      </c>
      <c r="C221" s="2" t="str">
        <f>=HYPERLINK("https://xhslink.com/m/3GkHaqMRnqJ", "https://xhslink.com/m/3GkHaqMRnqJ")</f>
        <v>https://xhslink.com/m/3GkHaqMRnqJ</v>
      </c>
      <c r="D221"/>
      <c r="E221">
        <v>17000</v>
      </c>
      <c r="F221">
        <v>69</v>
      </c>
      <c r="G221"/>
      <c r="H221">
        <v>1000</v>
      </c>
      <c r="I221" t="inlineStr">
        <is>
          <t>短袖</t>
        </is>
      </c>
      <c r="J221" t="inlineStr">
        <is>
          <t>0.06</t>
        </is>
      </c>
      <c r="K221"/>
      <c r="L221" t="inlineStr">
        <is>
          <t>汝帆服装的店</t>
        </is>
      </c>
      <c r="M221">
        <v>9620</v>
      </c>
      <c r="N221">
        <v>4.5</v>
      </c>
      <c r="O221">
        <v>45000</v>
      </c>
      <c r="P221" t="inlineStr">
        <is>
          <t>6863f99a6152790001227c88</t>
        </is>
      </c>
      <c r="Q221"/>
      <c r="R221" t="inlineStr">
        <is>
          <t>16周</t>
        </is>
      </c>
      <c r="S221" t="inlineStr">
        <is>
          <t>1.77</t>
        </is>
      </c>
      <c r="T221" t="inlineStr">
        <is>
          <t>服饰穿搭</t>
        </is>
      </c>
      <c r="U221" t="inlineStr">
        <is>
          <t>女装</t>
        </is>
      </c>
      <c r="V221" s="3">
        <v>46127.98767361111</v>
      </c>
      <c r="W221" t="inlineStr">
        <is>
          <t>2026-Q2</t>
        </is>
      </c>
    </row>
    <row r="222" ht="25.5" customHeight="1">
      <c r="A222" t="inlineStr">
        <is>
          <t>米尼尼 韩系复古无袖背心辣妹上衣</t>
        </is>
      </c>
      <c r="B222" t="inlineStr">
        <is>
          <t>__upload_recvgSimhWQ1Lw.jpg</t>
        </is>
      </c>
      <c r="C222" s="2" t="str">
        <f>=HYPERLINK("https://xhslink.com/m/63lA8zNzkih", "https://xhslink.com/m/63lA8zNzkih")</f>
        <v>https://xhslink.com/m/63lA8zNzkih</v>
      </c>
      <c r="D222"/>
      <c r="E222">
        <v>11000</v>
      </c>
      <c r="F222">
        <v>49.9</v>
      </c>
      <c r="G222">
        <v>39.9</v>
      </c>
      <c r="H222">
        <v>1000</v>
      </c>
      <c r="I222" t="inlineStr">
        <is>
          <t>短袖</t>
        </is>
      </c>
      <c r="J222" t="inlineStr">
        <is>
          <t>0.09</t>
        </is>
      </c>
      <c r="K222"/>
      <c r="L222" t="inlineStr">
        <is>
          <t>米尼尼studio的店</t>
        </is>
      </c>
      <c r="M222">
        <v>500000</v>
      </c>
      <c r="N222">
        <v>4.53</v>
      </c>
      <c r="O222">
        <v>638000</v>
      </c>
      <c r="P222" t="inlineStr">
        <is>
          <t>69a019d690d16a00010cba61</t>
        </is>
      </c>
      <c r="Q222" t="inlineStr">
        <is>
          <t>🚫重复</t>
        </is>
      </c>
      <c r="R222" t="inlineStr">
        <is>
          <t>16周</t>
        </is>
      </c>
      <c r="S222" t="inlineStr">
        <is>
          <t>0.02</t>
        </is>
      </c>
      <c r="T222" t="inlineStr">
        <is>
          <t>服饰穿搭</t>
        </is>
      </c>
      <c r="U222" t="inlineStr">
        <is>
          <t>女装</t>
        </is>
      </c>
      <c r="V222" s="3">
        <v>46127.98767361111</v>
      </c>
      <c r="W222" t="inlineStr">
        <is>
          <t>2026-Q2</t>
        </is>
      </c>
    </row>
    <row r="223" ht="25.5" customHeight="1">
      <c r="A223" t="inlineStr">
        <is>
          <t>【前5w单半价】96%棉！正肩修身显瘦！polo领短袖T！基础有型</t>
        </is>
      </c>
      <c r="B223" t="inlineStr">
        <is>
          <t>__upload_recvgSimhWeovK.jpg</t>
        </is>
      </c>
      <c r="C223" s="2" t="str">
        <f>=HYPERLINK("https://xhslink.com/m/2k8Bd0NVBfb", "https://xhslink.com/m/2k8Bd0NVBfb")</f>
        <v>https://xhslink.com/m/2k8Bd0NVBfb</v>
      </c>
      <c r="D223"/>
      <c r="E223">
        <v>54000</v>
      </c>
      <c r="F223">
        <v>79.9</v>
      </c>
      <c r="G223">
        <v>39.9</v>
      </c>
      <c r="H223">
        <v>1000</v>
      </c>
      <c r="I223" t="inlineStr">
        <is>
          <t>短袖</t>
        </is>
      </c>
      <c r="J223" t="inlineStr">
        <is>
          <t>0.02</t>
        </is>
      </c>
      <c r="K223" t="inlineStr">
        <is>
          <t>🔥低粉爆款</t>
        </is>
      </c>
      <c r="L223" t="inlineStr">
        <is>
          <t>World妈呀自制工厂的店</t>
        </is>
      </c>
      <c r="M223">
        <v>4852</v>
      </c>
      <c r="N223">
        <v>4.68</v>
      </c>
      <c r="O223">
        <v>84000</v>
      </c>
      <c r="P223" t="inlineStr">
        <is>
          <t>6841136ff07365001587bb26</t>
        </is>
      </c>
      <c r="Q223"/>
      <c r="R223" t="inlineStr">
        <is>
          <t>16周</t>
        </is>
      </c>
      <c r="S223" t="inlineStr">
        <is>
          <t>11.13</t>
        </is>
      </c>
      <c r="T223" t="inlineStr">
        <is>
          <t>服饰穿搭</t>
        </is>
      </c>
      <c r="U223" t="inlineStr">
        <is>
          <t>女装</t>
        </is>
      </c>
      <c r="V223" s="3">
        <v>46127.98767361111</v>
      </c>
      <c r="W223" t="inlineStr">
        <is>
          <t>2026-Q2</t>
        </is>
      </c>
    </row>
    <row r="224" ht="25.5" customHeight="1">
      <c r="A224" t="inlineStr">
        <is>
          <t>轻奢版轻薄透气极简风桑蚕丝渔夫帽女春夏出游显脸小遮阳防晒帽潮</t>
        </is>
      </c>
      <c r="B224" t="inlineStr">
        <is>
          <t>__upload_recvgSimhWJoEX.jpg</t>
        </is>
      </c>
      <c r="C224" s="2" t="str">
        <f>=HYPERLINK("https://xhslink.com/m/1IwR3P0tr19", "https://xhslink.com/m/1IwR3P0tr19")</f>
        <v>https://xhslink.com/m/1IwR3P0tr19</v>
      </c>
      <c r="D224"/>
      <c r="E224">
        <v>2832</v>
      </c>
      <c r="F224">
        <v>79.9</v>
      </c>
      <c r="G224"/>
      <c r="H224">
        <v>1000</v>
      </c>
      <c r="I224" t="inlineStr">
        <is>
          <t>遮阳帽</t>
        </is>
      </c>
      <c r="J224" t="inlineStr">
        <is>
          <t>0.35</t>
        </is>
      </c>
      <c r="K224"/>
      <c r="L224" t="inlineStr">
        <is>
          <t>大大轻奢配饰的店</t>
        </is>
      </c>
      <c r="M224">
        <v>22000</v>
      </c>
      <c r="N224">
        <v>4.74</v>
      </c>
      <c r="O224">
        <v>281000</v>
      </c>
      <c r="P224" t="inlineStr">
        <is>
          <t>67fde33351259e0015f759bd</t>
        </is>
      </c>
      <c r="Q224" t="inlineStr">
        <is>
          <t>🚫重复</t>
        </is>
      </c>
      <c r="R224" t="inlineStr">
        <is>
          <t>16周</t>
        </is>
      </c>
      <c r="S224" t="inlineStr">
        <is>
          <t>0.13</t>
        </is>
      </c>
      <c r="T224" t="inlineStr">
        <is>
          <t>服饰穿搭</t>
        </is>
      </c>
      <c r="U224" t="inlineStr">
        <is>
          <t>鞋靴箱包</t>
        </is>
      </c>
      <c r="V224" s="3">
        <v>46127.98767361111</v>
      </c>
      <c r="W224" t="inlineStr">
        <is>
          <t>2026-Q2</t>
        </is>
      </c>
    </row>
    <row r="225" ht="25.5" customHeight="1">
      <c r="A225" t="inlineStr">
        <is>
          <t>七分微喇叭瑜伽裤HP</t>
        </is>
      </c>
      <c r="B225" t="inlineStr">
        <is>
          <t>__upload_recvgY7N5z2jtN.jpg</t>
        </is>
      </c>
      <c r="C225" s="2" t="str">
        <f>=HYPERLINK("https://xhslink.com/m/66kadvrim3A", "https://xhslink.com/m/66kadvrim3A")</f>
        <v>https://xhslink.com/m/66kadvrim3A</v>
      </c>
      <c r="D225"/>
      <c r="E225">
        <v>15000</v>
      </c>
      <c r="F225">
        <v>79</v>
      </c>
      <c r="G225"/>
      <c r="H225">
        <v>1000</v>
      </c>
      <c r="I225" t="inlineStr">
        <is>
          <t>裤子</t>
        </is>
      </c>
      <c r="J225" t="inlineStr">
        <is>
          <t>0.07</t>
        </is>
      </c>
      <c r="K225"/>
      <c r="L225" t="inlineStr">
        <is>
          <t>小花爱美丽Fancy Flora的店</t>
        </is>
      </c>
      <c r="M225">
        <v>8474</v>
      </c>
      <c r="N225">
        <v>4.6</v>
      </c>
      <c r="O225">
        <v>27000</v>
      </c>
      <c r="P225" t="inlineStr">
        <is>
          <t>686bbd1fe0232100158d0de8</t>
        </is>
      </c>
      <c r="Q225" t="inlineStr">
        <is>
          <t>🚫重复</t>
        </is>
      </c>
      <c r="R225" t="inlineStr">
        <is>
          <t>16周</t>
        </is>
      </c>
      <c r="S225" t="inlineStr">
        <is>
          <t>1.77</t>
        </is>
      </c>
      <c r="T225" t="inlineStr">
        <is>
          <t>运动潮玩</t>
        </is>
      </c>
      <c r="U225" t="inlineStr">
        <is>
          <t>运动户外装备</t>
        </is>
      </c>
      <c r="V225" s="3">
        <v>46128.98467592592</v>
      </c>
      <c r="W225" t="inlineStr">
        <is>
          <t>2026-Q2</t>
        </is>
      </c>
    </row>
    <row r="226" ht="25.5" customHeight="1">
      <c r="A226" t="inlineStr">
        <is>
          <t>玫瑰草花杂花基地直发鲜切花普通快递包邮到家</t>
        </is>
      </c>
      <c r="B226" t="inlineStr">
        <is>
          <t>__upload_recvh40CU0N5Pa.jpg</t>
        </is>
      </c>
      <c r="C226" s="2" t="str">
        <f>=HYPERLINK("https://xhslink.com/m/9JebN8Br7wu", "https://xhslink.com/m/9JebN8Br7wu")</f>
        <v>https://xhslink.com/m/9JebN8Br7wu</v>
      </c>
      <c r="D226"/>
      <c r="E226">
        <v>20000</v>
      </c>
      <c r="F226">
        <v>25.8</v>
      </c>
      <c r="G226"/>
      <c r="H226">
        <v>1000</v>
      </c>
      <c r="I226" t="inlineStr">
        <is>
          <t>绿植</t>
        </is>
      </c>
      <c r="J226" t="inlineStr">
        <is>
          <t>0.05</t>
        </is>
      </c>
      <c r="K226" t="inlineStr">
        <is>
          <t>🔥低粉爆款</t>
        </is>
      </c>
      <c r="L226" t="inlineStr">
        <is>
          <t>花事百货的店</t>
        </is>
      </c>
      <c r="M226">
        <v>4391</v>
      </c>
      <c r="N226">
        <v>4.12</v>
      </c>
      <c r="O226">
        <v>19000</v>
      </c>
      <c r="P226" t="inlineStr">
        <is>
          <t>688311d102d7b0000177385b</t>
        </is>
      </c>
      <c r="Q226"/>
      <c r="R226" t="inlineStr">
        <is>
          <t>16周</t>
        </is>
      </c>
      <c r="S226" t="inlineStr">
        <is>
          <t>4.55</t>
        </is>
      </c>
      <c r="T226" t="inlineStr">
        <is>
          <t>家居生活</t>
        </is>
      </c>
      <c r="U226" t="inlineStr">
        <is>
          <t>家具家装</t>
        </is>
      </c>
      <c r="V226" s="3">
        <v>46129.991064814814</v>
      </c>
      <c r="W226" t="inlineStr">
        <is>
          <t>2026-Q2</t>
        </is>
      </c>
    </row>
    <row r="227" ht="25.5" customHeight="1">
      <c r="A227" t="inlineStr">
        <is>
          <t>山西特产纯碱烤馍休闲非油炸馍丁解馋充饥抗饿饼干小零食手指馍</t>
        </is>
      </c>
      <c r="B227" t="inlineStr">
        <is>
          <t>__upload_recvh40CU0oBWf.jpg</t>
        </is>
      </c>
      <c r="C227" s="2" t="str">
        <f>=HYPERLINK("https://xhslink.com/m/35X6sYD3kjM", "https://xhslink.com/m/35X6sYD3kjM")</f>
        <v>https://xhslink.com/m/35X6sYD3kjM</v>
      </c>
      <c r="D227"/>
      <c r="E227">
        <v>102000</v>
      </c>
      <c r="F227">
        <v>15.9</v>
      </c>
      <c r="G227">
        <v>8.9</v>
      </c>
      <c r="H227">
        <v>1000</v>
      </c>
      <c r="I227" t="inlineStr">
        <is>
          <t>宿舍零食</t>
        </is>
      </c>
      <c r="J227" t="inlineStr">
        <is>
          <t>0.01</t>
        </is>
      </c>
      <c r="K227" t="inlineStr">
        <is>
          <t>🔥低粉爆款</t>
        </is>
      </c>
      <c r="L227" t="inlineStr">
        <is>
          <t>相约冬季的店</t>
        </is>
      </c>
      <c r="M227">
        <v>179</v>
      </c>
      <c r="N227">
        <v>4.5</v>
      </c>
      <c r="O227">
        <v>102000</v>
      </c>
      <c r="P227" t="inlineStr">
        <is>
          <t>686e3e8c42008300016a7081</t>
        </is>
      </c>
      <c r="Q227" t="inlineStr">
        <is>
          <t>🚫重复</t>
        </is>
      </c>
      <c r="R227" t="inlineStr">
        <is>
          <t>16周</t>
        </is>
      </c>
      <c r="S227" t="inlineStr">
        <is>
          <t>569.83</t>
        </is>
      </c>
      <c r="T227" t="inlineStr">
        <is>
          <t>美食滋补</t>
        </is>
      </c>
      <c r="U227" t="inlineStr">
        <is>
          <t>休闲零食</t>
        </is>
      </c>
      <c r="V227" s="3">
        <v>46129.991064814814</v>
      </c>
      <c r="W227" t="inlineStr">
        <is>
          <t>2026-Q2</t>
        </is>
      </c>
    </row>
    <row r="228" ht="25.5" customHeight="1">
      <c r="A228" t="inlineStr">
        <is>
          <t>【海南金煌芒果】三亚芒果当季新鲜水果孕妇水仙芒纸核芒鲜甜5斤</t>
        </is>
      </c>
      <c r="B228" t="inlineStr">
        <is>
          <t>__upload_recvh40CU0Y0oT.jpg</t>
        </is>
      </c>
      <c r="C228" s="2" t="str">
        <f>=HYPERLINK("https://xhslink.com/m/yE4o9rz0Qt", "https://xhslink.com/m/yE4o9rz0Qt")</f>
        <v>https://xhslink.com/m/yE4o9rz0Qt</v>
      </c>
      <c r="D228"/>
      <c r="E228">
        <v>484000</v>
      </c>
      <c r="F228">
        <v>57.9</v>
      </c>
      <c r="G228">
        <v>52.9</v>
      </c>
      <c r="H228">
        <v>1000</v>
      </c>
      <c r="I228" t="inlineStr">
        <is>
          <t>水果</t>
        </is>
      </c>
      <c r="J228" t="inlineStr">
        <is>
          <t>0.00</t>
        </is>
      </c>
      <c r="K228" t="inlineStr">
        <is>
          <t>🔥低粉爆款</t>
        </is>
      </c>
      <c r="L228" t="inlineStr">
        <is>
          <t>野里鲜果的店</t>
        </is>
      </c>
      <c r="M228">
        <v>4490</v>
      </c>
      <c r="N228">
        <v>4.5</v>
      </c>
      <c r="O228">
        <v>248000</v>
      </c>
      <c r="P228" t="inlineStr">
        <is>
          <t>67bc9c6ef2389c00019d2025</t>
        </is>
      </c>
      <c r="Q228" t="inlineStr">
        <is>
          <t>🚫重复</t>
        </is>
      </c>
      <c r="R228" t="inlineStr">
        <is>
          <t>16周</t>
        </is>
      </c>
      <c r="S228" t="inlineStr">
        <is>
          <t>107.80</t>
        </is>
      </c>
      <c r="T228" t="inlineStr">
        <is>
          <t>美食滋补</t>
        </is>
      </c>
      <c r="U228" t="inlineStr">
        <is>
          <t>生鲜特产</t>
        </is>
      </c>
      <c r="V228" s="3">
        <v>46129.991064814814</v>
      </c>
      <c r="W228" t="inlineStr">
        <is>
          <t>2026-Q2</t>
        </is>
      </c>
    </row>
    <row r="229" ht="25.5" customHeight="1">
      <c r="A229" t="inlineStr">
        <is>
          <t>正宗奶油苹果山东烟台奶油富士新鲜水果现摘产地直发</t>
        </is>
      </c>
      <c r="B229" t="inlineStr">
        <is>
          <t>__upload_recvh40CU0oGXK.jpg</t>
        </is>
      </c>
      <c r="C229" s="2" t="str">
        <f>=HYPERLINK("https://xhslink.com/m/2ALv5yfaAqm", "https://xhslink.com/m/2ALv5yfaAqm")</f>
        <v>https://xhslink.com/m/2ALv5yfaAqm</v>
      </c>
      <c r="D229"/>
      <c r="E229">
        <v>25000</v>
      </c>
      <c r="F229">
        <v>55.9</v>
      </c>
      <c r="G229">
        <v>50.9</v>
      </c>
      <c r="H229">
        <v>1000</v>
      </c>
      <c r="I229" t="inlineStr">
        <is>
          <t>水果</t>
        </is>
      </c>
      <c r="J229" t="inlineStr">
        <is>
          <t>0.04</t>
        </is>
      </c>
      <c r="K229" t="inlineStr">
        <is>
          <t>🔥低粉爆款</t>
        </is>
      </c>
      <c r="L229" t="inlineStr">
        <is>
          <t>嘉启小店的店</t>
        </is>
      </c>
      <c r="M229">
        <v>60</v>
      </c>
      <c r="N229">
        <v>4.6</v>
      </c>
      <c r="O229">
        <v>5553</v>
      </c>
      <c r="P229" t="inlineStr">
        <is>
          <t>680891e9a548d00015e0fdd7</t>
        </is>
      </c>
      <c r="Q229" t="inlineStr">
        <is>
          <t>🚫重复</t>
        </is>
      </c>
      <c r="R229" t="inlineStr">
        <is>
          <t>16周</t>
        </is>
      </c>
      <c r="S229" t="inlineStr">
        <is>
          <t>416.67</t>
        </is>
      </c>
      <c r="T229" t="inlineStr">
        <is>
          <t>美食滋补</t>
        </is>
      </c>
      <c r="U229" t="inlineStr">
        <is>
          <t>生鲜特产</t>
        </is>
      </c>
      <c r="V229" s="3">
        <v>46129.991064814814</v>
      </c>
      <c r="W229" t="inlineStr">
        <is>
          <t>2026-Q2</t>
        </is>
      </c>
    </row>
    <row r="230" ht="25.5" customHeight="1">
      <c r="A230" t="inlineStr">
        <is>
          <t>糖五朵 · 【漫画腰高弹ebb背心】夏季基础百搭遮副乳内衣可拆卸胸垫吊带</t>
        </is>
      </c>
      <c r="B230" t="inlineStr">
        <is>
          <t>__upload_recvh9P0bmvIhr.jpg</t>
        </is>
      </c>
      <c r="C230" s="2" t="str">
        <f>=HYPERLINK("https://xhslink.com/m/3UF687gRjai", "https://xhslink.com/m/3UF687gRjai")</f>
        <v>https://xhslink.com/m/3UF687gRjai</v>
      </c>
      <c r="D230"/>
      <c r="E230">
        <v>114000</v>
      </c>
      <c r="F230">
        <v>89</v>
      </c>
      <c r="G230">
        <v>39.9</v>
      </c>
      <c r="H230">
        <v>1000</v>
      </c>
      <c r="I230" t="inlineStr">
        <is>
          <t>大码吊带</t>
        </is>
      </c>
      <c r="J230" t="inlineStr">
        <is>
          <t>0.01</t>
        </is>
      </c>
      <c r="K230"/>
      <c r="L230" t="inlineStr">
        <is>
          <t>糖五朵的店</t>
        </is>
      </c>
      <c r="M230">
        <v>815000</v>
      </c>
      <c r="N230">
        <v>4.63</v>
      </c>
      <c r="O230">
        <v>1254000</v>
      </c>
      <c r="P230" t="inlineStr">
        <is>
          <t>67c9877b2aad820001177f58</t>
        </is>
      </c>
      <c r="Q230" t="inlineStr">
        <is>
          <t>🚫重复</t>
        </is>
      </c>
      <c r="R230" t="inlineStr">
        <is>
          <t>16周</t>
        </is>
      </c>
      <c r="S230" t="inlineStr">
        <is>
          <t>0.14</t>
        </is>
      </c>
      <c r="T230" t="inlineStr">
        <is>
          <t>服饰穿搭</t>
        </is>
      </c>
      <c r="U230" t="inlineStr">
        <is>
          <t>女装</t>
        </is>
      </c>
      <c r="V230" s="3">
        <v>46130.98501157408</v>
      </c>
      <c r="W230" t="inlineStr">
        <is>
          <t>2026-Q2</t>
        </is>
      </c>
    </row>
    <row r="231" ht="25.5" customHeight="1">
      <c r="A231" t="inlineStr">
        <is>
          <t>Enjoy it乐在其中 · 压力小腿袜女专业运动健身跑步肌能压缩袜徒步骑行长筒袜</t>
        </is>
      </c>
      <c r="B231" t="inlineStr">
        <is>
          <t>__upload_recvh9P0bmoqsV.jpg</t>
        </is>
      </c>
      <c r="C231" s="2" t="str">
        <f>=HYPERLINK("https://xhslink.com/m/8dBVspKjJLN", "https://xhslink.com/m/8dBVspKjJLN")</f>
        <v>https://xhslink.com/m/8dBVspKjJLN</v>
      </c>
      <c r="D231"/>
      <c r="E231">
        <v>61000</v>
      </c>
      <c r="F231">
        <v>49.9</v>
      </c>
      <c r="G231">
        <v>43.81</v>
      </c>
      <c r="H231">
        <v>1000</v>
      </c>
      <c r="I231" t="inlineStr">
        <is>
          <t>袜子</t>
        </is>
      </c>
      <c r="J231" t="inlineStr">
        <is>
          <t>0.02</t>
        </is>
      </c>
      <c r="K231"/>
      <c r="L231" t="inlineStr">
        <is>
          <t>enjoy it旗舰店</t>
        </is>
      </c>
      <c r="M231">
        <v>79000</v>
      </c>
      <c r="N231">
        <v>4.69</v>
      </c>
      <c r="O231">
        <v>496000</v>
      </c>
      <c r="P231" t="inlineStr">
        <is>
          <t>696070e3bb020d00015dca2c</t>
        </is>
      </c>
      <c r="Q231" t="inlineStr">
        <is>
          <t>🚫重复</t>
        </is>
      </c>
      <c r="R231" t="inlineStr">
        <is>
          <t>16周</t>
        </is>
      </c>
      <c r="S231" t="inlineStr">
        <is>
          <t>0.77</t>
        </is>
      </c>
      <c r="T231" t="inlineStr">
        <is>
          <t>运动潮玩</t>
        </is>
      </c>
      <c r="U231" t="inlineStr">
        <is>
          <t>运动户外装备</t>
        </is>
      </c>
      <c r="V231" s="3">
        <v>46130.98501157408</v>
      </c>
      <c r="W231" t="inlineStr">
        <is>
          <t>2026-Q2</t>
        </is>
      </c>
    </row>
    <row r="232" ht="25.5" customHeight="1">
      <c r="A232" t="inlineStr">
        <is>
          <t>纯棉袜子女春夏季无骨短筒袜吸汗透气防臭竖条纹纯色百搭低帮船袜</t>
        </is>
      </c>
      <c r="B232" t="inlineStr">
        <is>
          <t>__upload_recvh9P0bmkNDR.jpg</t>
        </is>
      </c>
      <c r="C232" s="2" t="str">
        <f>=HYPERLINK("https://xhslink.com/m/91G0IF9k22e", "https://xhslink.com/m/91G0IF9k22e")</f>
        <v>https://xhslink.com/m/91G0IF9k22e</v>
      </c>
      <c r="D232"/>
      <c r="E232">
        <v>6175</v>
      </c>
      <c r="F232">
        <v>23.8</v>
      </c>
      <c r="G232">
        <v>13.8</v>
      </c>
      <c r="H232">
        <v>1000</v>
      </c>
      <c r="I232" t="inlineStr">
        <is>
          <t>袜子</t>
        </is>
      </c>
      <c r="J232" t="inlineStr">
        <is>
          <t>0.16</t>
        </is>
      </c>
      <c r="K232" t="inlineStr">
        <is>
          <t>🔥低粉爆款</t>
        </is>
      </c>
      <c r="L232" t="inlineStr">
        <is>
          <t>集智针织的店</t>
        </is>
      </c>
      <c r="M232">
        <v>1088</v>
      </c>
      <c r="N232">
        <v>4.45</v>
      </c>
      <c r="O232">
        <v>61000</v>
      </c>
      <c r="P232" t="inlineStr">
        <is>
          <t>69b4cfd2fbb3a40001ca8a44</t>
        </is>
      </c>
      <c r="Q232" t="inlineStr">
        <is>
          <t>🚫重复</t>
        </is>
      </c>
      <c r="R232" t="inlineStr">
        <is>
          <t>16周</t>
        </is>
      </c>
      <c r="S232" t="inlineStr">
        <is>
          <t>5.68</t>
        </is>
      </c>
      <c r="T232" t="inlineStr">
        <is>
          <t>服饰穿搭</t>
        </is>
      </c>
      <c r="U232" t="inlineStr">
        <is>
          <t>鞋靴箱包</t>
        </is>
      </c>
      <c r="V232" s="3">
        <v>46130.98501157408</v>
      </c>
      <c r="W232" t="inlineStr">
        <is>
          <t>2026-Q2</t>
        </is>
      </c>
    </row>
    <row r="233" ht="25.5" customHeight="1">
      <c r="A233" t="inlineStr">
        <is>
          <t>拼豆221色拼豆融合豆质量好2.6mmMARD豆coco通用每袋约10g</t>
        </is>
      </c>
      <c r="B233" t="inlineStr">
        <is>
          <t>__upload_recvh9P0bm0eNX.jpg</t>
        </is>
      </c>
      <c r="C233" s="2" t="str">
        <f>=HYPERLINK("https://xhslink.com/m/9RKDinAxy5h", "https://xhslink.com/m/9RKDinAxy5h")</f>
        <v>https://xhslink.com/m/9RKDinAxy5h</v>
      </c>
      <c r="D233"/>
      <c r="E233">
        <v>2290</v>
      </c>
      <c r="F233">
        <v>88</v>
      </c>
      <c r="G233"/>
      <c r="H233">
        <v>1000</v>
      </c>
      <c r="I233" t="inlineStr">
        <is>
          <t>拼豆</t>
        </is>
      </c>
      <c r="J233" t="inlineStr">
        <is>
          <t>0.44</t>
        </is>
      </c>
      <c r="K233"/>
      <c r="L233" t="inlineStr">
        <is>
          <t>华瀚拼豆的店</t>
        </is>
      </c>
      <c r="M233">
        <v>2180</v>
      </c>
      <c r="N233">
        <v>4.71</v>
      </c>
      <c r="O233">
        <v>2553</v>
      </c>
      <c r="P233" t="inlineStr">
        <is>
          <t>69ce1af6069e7b00016b4a83</t>
        </is>
      </c>
      <c r="Q233"/>
      <c r="R233" t="inlineStr">
        <is>
          <t>16周</t>
        </is>
      </c>
      <c r="S233" t="inlineStr">
        <is>
          <t>1.05</t>
        </is>
      </c>
      <c r="T233" t="inlineStr">
        <is>
          <t>运动潮玩</t>
        </is>
      </c>
      <c r="U233" t="inlineStr">
        <is>
          <t>潮玩手办</t>
        </is>
      </c>
      <c r="V233" s="3">
        <v>46130.98501157408</v>
      </c>
      <c r="W233" t="inlineStr">
        <is>
          <t>2026-Q2</t>
        </is>
      </c>
    </row>
    <row r="234" ht="25.5" customHeight="1">
      <c r="A234" t="inlineStr">
        <is>
          <t>牛胸口脆脆 吃一次就爱上</t>
        </is>
      </c>
      <c r="B234" t="inlineStr">
        <is>
          <t>__upload_recvh9P0bmlmet.jpg</t>
        </is>
      </c>
      <c r="C234" s="2" t="str">
        <f>=HYPERLINK("https://xhslink.com/m/1PDxBsP1WMT", "https://xhslink.com/m/1PDxBsP1WMT")</f>
        <v>https://xhslink.com/m/1PDxBsP1WMT</v>
      </c>
      <c r="D234"/>
      <c r="E234">
        <v>48000</v>
      </c>
      <c r="F234">
        <v>35.9</v>
      </c>
      <c r="G234"/>
      <c r="H234">
        <v>1000</v>
      </c>
      <c r="I234" t="inlineStr">
        <is>
          <t>低热量零食</t>
        </is>
      </c>
      <c r="J234" t="inlineStr">
        <is>
          <t>0.02</t>
        </is>
      </c>
      <c r="K234"/>
      <c r="L234" t="inlineStr">
        <is>
          <t>奶沃NAIWO的店</t>
        </is>
      </c>
      <c r="M234">
        <v>51000</v>
      </c>
      <c r="N234">
        <v>4.69</v>
      </c>
      <c r="O234">
        <v>54000</v>
      </c>
      <c r="P234" t="inlineStr">
        <is>
          <t>6942d11b96f5ad0001049683</t>
        </is>
      </c>
      <c r="Q234"/>
      <c r="R234" t="inlineStr">
        <is>
          <t>16周</t>
        </is>
      </c>
      <c r="S234" t="inlineStr">
        <is>
          <t>0.94</t>
        </is>
      </c>
      <c r="T234" t="inlineStr">
        <is>
          <t>美食滋补</t>
        </is>
      </c>
      <c r="U234" t="inlineStr">
        <is>
          <t>休闲零食</t>
        </is>
      </c>
      <c r="V234" s="3">
        <v>46130.98501157408</v>
      </c>
      <c r="W234" t="inlineStr">
        <is>
          <t>2026-Q2</t>
        </is>
      </c>
    </row>
    <row r="235" ht="25.5" customHeight="1">
      <c r="A235" t="inlineStr">
        <is>
          <t>【手工现做】迪拜纯脂巧克力软曲奇-开心果榛子口味60g/枚</t>
        </is>
      </c>
      <c r="B235" t="inlineStr">
        <is>
          <t>__upload_recvh9P0bmQNJK.jpg</t>
        </is>
      </c>
      <c r="C235" s="2" t="str">
        <f>=HYPERLINK("https://xhslink.com/m/1FX9ZF4F2bw", "https://xhslink.com/m/1FX9ZF4F2bw")</f>
        <v>https://xhslink.com/m/1FX9ZF4F2bw</v>
      </c>
      <c r="D235"/>
      <c r="E235">
        <v>32000</v>
      </c>
      <c r="F235">
        <v>49.9</v>
      </c>
      <c r="G235">
        <v>29.9</v>
      </c>
      <c r="H235">
        <v>1000</v>
      </c>
      <c r="I235" t="inlineStr">
        <is>
          <t>低热量零食</t>
        </is>
      </c>
      <c r="J235" t="inlineStr">
        <is>
          <t>0.03</t>
        </is>
      </c>
      <c r="K235" t="inlineStr">
        <is>
          <t>🔥低粉爆款</t>
        </is>
      </c>
      <c r="L235" t="inlineStr">
        <is>
          <t>麦穗儿BAKERY的店</t>
        </is>
      </c>
      <c r="M235">
        <v>6683</v>
      </c>
      <c r="N235">
        <v>4.52</v>
      </c>
      <c r="O235">
        <v>180000</v>
      </c>
      <c r="P235" t="inlineStr">
        <is>
          <t>69b2b3f299f8fe00010eb990</t>
        </is>
      </c>
      <c r="Q235" t="inlineStr">
        <is>
          <t>🚫重复</t>
        </is>
      </c>
      <c r="R235" t="inlineStr">
        <is>
          <t>16周</t>
        </is>
      </c>
      <c r="S235" t="inlineStr">
        <is>
          <t>4.79</t>
        </is>
      </c>
      <c r="T235" t="inlineStr">
        <is>
          <t>美食滋补</t>
        </is>
      </c>
      <c r="U235" t="inlineStr">
        <is>
          <t>休闲零食</t>
        </is>
      </c>
      <c r="V235" s="3">
        <v>46130.98501157408</v>
      </c>
      <c r="W235" t="inlineStr">
        <is>
          <t>2026-Q2</t>
        </is>
      </c>
    </row>
    <row r="236" ht="25.5" customHeight="1">
      <c r="A236" t="inlineStr">
        <is>
          <t>【前1w单立减20R】MCT纯脂黑巧克力脆墩墩甜品档案下午茶70g/个</t>
        </is>
      </c>
      <c r="B236" t="inlineStr">
        <is>
          <t>__upload_recvh9P0bm4Mq6.jpg</t>
        </is>
      </c>
      <c r="C236" s="2" t="str">
        <f>=HYPERLINK("https://xhslink.com/m/22s0OIaOlE7", "https://xhslink.com/m/22s0OIaOlE7")</f>
        <v>https://xhslink.com/m/22s0OIaOlE7</v>
      </c>
      <c r="D236"/>
      <c r="E236">
        <v>10000</v>
      </c>
      <c r="F236">
        <v>49.8</v>
      </c>
      <c r="G236">
        <v>29.8</v>
      </c>
      <c r="H236">
        <v>1000</v>
      </c>
      <c r="I236" t="inlineStr">
        <is>
          <t>低热量零食</t>
        </is>
      </c>
      <c r="J236" t="inlineStr">
        <is>
          <t>0.10</t>
        </is>
      </c>
      <c r="K236" t="inlineStr">
        <is>
          <t>🔥低粉爆款</t>
        </is>
      </c>
      <c r="L236" t="inlineStr">
        <is>
          <t>麦栈Bakery的店</t>
        </is>
      </c>
      <c r="M236">
        <v>1219</v>
      </c>
      <c r="N236">
        <v>4.49</v>
      </c>
      <c r="O236">
        <v>15000</v>
      </c>
      <c r="P236" t="inlineStr">
        <is>
          <t>68b02e1d71b9e20001334fb3</t>
        </is>
      </c>
      <c r="Q236"/>
      <c r="R236" t="inlineStr">
        <is>
          <t>16周</t>
        </is>
      </c>
      <c r="S236" t="inlineStr">
        <is>
          <t>8.20</t>
        </is>
      </c>
      <c r="T236" t="inlineStr">
        <is>
          <t>美食滋补</t>
        </is>
      </c>
      <c r="U236" t="inlineStr">
        <is>
          <t>休闲零食</t>
        </is>
      </c>
      <c r="V236" s="3">
        <v>46130.98501157408</v>
      </c>
      <c r="W236" t="inlineStr">
        <is>
          <t>2026-Q2</t>
        </is>
      </c>
    </row>
    <row r="237" ht="25.5" customHeight="1">
      <c r="A237" t="inlineStr">
        <is>
          <t>【独立包装】山东粗粮即食0糖油馒头全麦燕麦荞麦玉米90g</t>
        </is>
      </c>
      <c r="B237" t="inlineStr">
        <is>
          <t>__upload_recvh9P0bmYOgT.jpg</t>
        </is>
      </c>
      <c r="C237" s="2" t="str">
        <f>=HYPERLINK("https://xhslink.com/m/3JEvFkKnZuO", "https://xhslink.com/m/3JEvFkKnZuO")</f>
        <v>https://xhslink.com/m/3JEvFkKnZuO</v>
      </c>
      <c r="D237"/>
      <c r="E237">
        <v>40000</v>
      </c>
      <c r="F237">
        <v>28.8</v>
      </c>
      <c r="G237">
        <v>18.8</v>
      </c>
      <c r="H237">
        <v>1000</v>
      </c>
      <c r="I237" t="inlineStr">
        <is>
          <t>低热量零食</t>
        </is>
      </c>
      <c r="J237" t="inlineStr">
        <is>
          <t>0.03</t>
        </is>
      </c>
      <c r="K237"/>
      <c r="L237" t="inlineStr">
        <is>
          <t>一间轻食店的店</t>
        </is>
      </c>
      <c r="M237">
        <v>19000</v>
      </c>
      <c r="N237">
        <v>4.68</v>
      </c>
      <c r="O237">
        <v>163000</v>
      </c>
      <c r="P237" t="inlineStr">
        <is>
          <t>69006a683f37a90001206d01</t>
        </is>
      </c>
      <c r="Q237" t="inlineStr">
        <is>
          <t>🚫重复</t>
        </is>
      </c>
      <c r="R237" t="inlineStr">
        <is>
          <t>16周</t>
        </is>
      </c>
      <c r="S237" t="inlineStr">
        <is>
          <t>2.11</t>
        </is>
      </c>
      <c r="T237" t="inlineStr">
        <is>
          <t>美食滋补</t>
        </is>
      </c>
      <c r="U237" t="inlineStr">
        <is>
          <t>休闲零食</t>
        </is>
      </c>
      <c r="V237" s="3">
        <v>46130.98501157408</v>
      </c>
      <c r="W237" t="inlineStr">
        <is>
          <t>2026-Q2</t>
        </is>
      </c>
    </row>
    <row r="238" ht="25.5" customHeight="1">
      <c r="A238" t="inlineStr">
        <is>
          <t>【9.5选3个】自选福利大肠发圈 （孤品数量有限）发圈高马尾韩系</t>
        </is>
      </c>
      <c r="B238" t="inlineStr">
        <is>
          <t>__upload_recvh9P0bm0C5Z.jpg</t>
        </is>
      </c>
      <c r="C238" s="2" t="str">
        <f>=HYPERLINK("https://xhslink.com/m/70QeMDwZR8m", "https://xhslink.com/m/70QeMDwZR8m")</f>
        <v>https://xhslink.com/m/70QeMDwZR8m</v>
      </c>
      <c r="D238"/>
      <c r="E238">
        <v>20000</v>
      </c>
      <c r="F238">
        <v>4.5</v>
      </c>
      <c r="G238"/>
      <c r="H238">
        <v>1000</v>
      </c>
      <c r="I238" t="inlineStr">
        <is>
          <t>配饰</t>
        </is>
      </c>
      <c r="J238" t="inlineStr">
        <is>
          <t>0.05</t>
        </is>
      </c>
      <c r="K238"/>
      <c r="L238" t="inlineStr">
        <is>
          <t>tauzy陶子发圈的店</t>
        </is>
      </c>
      <c r="M238">
        <v>16000</v>
      </c>
      <c r="N238">
        <v>4.75</v>
      </c>
      <c r="O238">
        <v>38000</v>
      </c>
      <c r="P238" t="inlineStr">
        <is>
          <t>69c204b123faf80001011f3d</t>
        </is>
      </c>
      <c r="Q238"/>
      <c r="R238" t="inlineStr">
        <is>
          <t>16周</t>
        </is>
      </c>
      <c r="S238" t="inlineStr">
        <is>
          <t>1.25</t>
        </is>
      </c>
      <c r="T238" t="inlineStr">
        <is>
          <t>服饰穿搭</t>
        </is>
      </c>
      <c r="U238" t="inlineStr">
        <is>
          <t>配饰</t>
        </is>
      </c>
      <c r="V238" s="3">
        <v>46130.98501157408</v>
      </c>
      <c r="W238" t="inlineStr">
        <is>
          <t>2026-Q2</t>
        </is>
      </c>
    </row>
    <row r="239" ht="25.5" customHeight="1">
      <c r="A239" t="inlineStr">
        <is>
          <t>7色·春夏分趾小腿袜薄款网眼透气吸汗无骨堆堆袜二趾袜人字拖tabi</t>
        </is>
      </c>
      <c r="B239" t="inlineStr">
        <is>
          <t>__upload_recvh9P0bmLyRr.jpg</t>
        </is>
      </c>
      <c r="C239" s="2" t="str">
        <f>=HYPERLINK("https://xhslink.com/m/KTYm1bml7X", "https://xhslink.com/m/KTYm1bml7X")</f>
        <v>https://xhslink.com/m/KTYm1bml7X</v>
      </c>
      <c r="D239"/>
      <c r="E239">
        <v>1883</v>
      </c>
      <c r="F239">
        <v>68.9</v>
      </c>
      <c r="G239">
        <v>58.9</v>
      </c>
      <c r="H239">
        <v>1000</v>
      </c>
      <c r="I239" t="inlineStr">
        <is>
          <t>袜子</t>
        </is>
      </c>
      <c r="J239" t="inlineStr">
        <is>
          <t>0.53</t>
        </is>
      </c>
      <c r="K239"/>
      <c r="L239" t="inlineStr">
        <is>
          <t>我在凌晨做袜子的店</t>
        </is>
      </c>
      <c r="M239">
        <v>5677</v>
      </c>
      <c r="N239">
        <v>4.74</v>
      </c>
      <c r="O239">
        <v>131000</v>
      </c>
      <c r="P239" t="inlineStr">
        <is>
          <t>69d87f658a7da80001f1419f</t>
        </is>
      </c>
      <c r="Q239"/>
      <c r="R239" t="inlineStr">
        <is>
          <t>16周</t>
        </is>
      </c>
      <c r="S239" t="inlineStr">
        <is>
          <t>0.33</t>
        </is>
      </c>
      <c r="T239" t="inlineStr">
        <is>
          <t>服饰穿搭</t>
        </is>
      </c>
      <c r="U239" t="inlineStr">
        <is>
          <t>鞋靴箱包</t>
        </is>
      </c>
      <c r="V239" s="3">
        <v>46130.98501157408</v>
      </c>
      <c r="W239" t="inlineStr">
        <is>
          <t>2026-Q2</t>
        </is>
      </c>
    </row>
    <row r="240" ht="25.5" customHeight="1">
      <c r="A240" t="inlineStr">
        <is>
          <t>口袋冰感柔丝裙 韩系纯色抗皱小个子半身裙显瘦A字伞裙 超好搭</t>
        </is>
      </c>
      <c r="B240" t="inlineStr">
        <is>
          <t>__upload_recvhfQmhq1eZi.jpg</t>
        </is>
      </c>
      <c r="C240" s="2" t="str">
        <f>=HYPERLINK("https://xhslink.com/m/AndIGoYKrO8", "https://xhslink.com/m/AndIGoYKrO8")</f>
        <v>https://xhslink.com/m/AndIGoYKrO8</v>
      </c>
      <c r="D240"/>
      <c r="E240">
        <v>30000</v>
      </c>
      <c r="F240">
        <v>98</v>
      </c>
      <c r="G240">
        <v>68</v>
      </c>
      <c r="H240">
        <v>1000</v>
      </c>
      <c r="I240" t="inlineStr">
        <is>
          <t>半身裙</t>
        </is>
      </c>
      <c r="J240" t="inlineStr">
        <is>
          <t>0.03</t>
        </is>
      </c>
      <c r="K240" t="inlineStr">
        <is>
          <t>🔥低粉爆款</t>
        </is>
      </c>
      <c r="L240" t="inlineStr">
        <is>
          <t>可可西里打底系的店</t>
        </is>
      </c>
      <c r="M240">
        <v>10000</v>
      </c>
      <c r="N240">
        <v>4.72</v>
      </c>
      <c r="O240">
        <v>61000</v>
      </c>
      <c r="P240" t="inlineStr">
        <is>
          <t>67e131339800e50001c1c2c7</t>
        </is>
      </c>
      <c r="Q240" t="inlineStr">
        <is>
          <t>🚫重复</t>
        </is>
      </c>
      <c r="R240" t="inlineStr">
        <is>
          <t>17周</t>
        </is>
      </c>
      <c r="S240" t="inlineStr">
        <is>
          <t>3.00</t>
        </is>
      </c>
      <c r="T240" t="inlineStr">
        <is>
          <t>服饰穿搭</t>
        </is>
      </c>
      <c r="U240" t="inlineStr">
        <is>
          <t>女装</t>
        </is>
      </c>
      <c r="V240" s="3">
        <v>46132.014918981484</v>
      </c>
      <c r="W240" t="inlineStr">
        <is>
          <t>2026-Q2</t>
        </is>
      </c>
    </row>
    <row r="241" ht="25.5" customHeight="1">
      <c r="A241" t="inlineStr">
        <is>
          <t>『藤姐同款正确版2.0』复古波点荷叶边半身裙A字短裙前8000单78.8</t>
        </is>
      </c>
      <c r="B241" t="inlineStr">
        <is>
          <t>__upload_recvhfQmhqjnBP.jpg</t>
        </is>
      </c>
      <c r="C241" s="2" t="str">
        <f>=HYPERLINK("https://xhslink.com/m/6gOG7oNXaBc", "https://xhslink.com/m/6gOG7oNXaBc")</f>
        <v>https://xhslink.com/m/6gOG7oNXaBc</v>
      </c>
      <c r="D241"/>
      <c r="E241">
        <v>6862</v>
      </c>
      <c r="F241">
        <v>78.8</v>
      </c>
      <c r="G241"/>
      <c r="H241">
        <v>1000</v>
      </c>
      <c r="I241" t="inlineStr">
        <is>
          <t>半身裙</t>
        </is>
      </c>
      <c r="J241" t="inlineStr">
        <is>
          <t>0.15</t>
        </is>
      </c>
      <c r="K241"/>
      <c r="L241" t="inlineStr">
        <is>
          <t>花姐做工厂的店</t>
        </is>
      </c>
      <c r="M241">
        <v>37000</v>
      </c>
      <c r="N241">
        <v>4.54</v>
      </c>
      <c r="O241">
        <v>292000</v>
      </c>
      <c r="P241" t="inlineStr">
        <is>
          <t>69c29e265e5f050001120dd2</t>
        </is>
      </c>
      <c r="Q241" t="inlineStr">
        <is>
          <t>🚫重复</t>
        </is>
      </c>
      <c r="R241" t="inlineStr">
        <is>
          <t>17周</t>
        </is>
      </c>
      <c r="S241" t="inlineStr">
        <is>
          <t>0.19</t>
        </is>
      </c>
      <c r="T241" t="inlineStr">
        <is>
          <t>服饰穿搭</t>
        </is>
      </c>
      <c r="U241" t="inlineStr">
        <is>
          <t>女装</t>
        </is>
      </c>
      <c r="V241" s="3">
        <v>46132.014918981484</v>
      </c>
      <c r="W241" t="inlineStr">
        <is>
          <t>2026-Q2</t>
        </is>
      </c>
    </row>
    <row r="242" ht="25.5" customHeight="1">
      <c r="A242" t="inlineStr">
        <is>
          <t>S925纯银四爪闪钻锆石项链女百搭锁骨链</t>
        </is>
      </c>
      <c r="B242" t="inlineStr">
        <is>
          <t>__upload_recvhfQmhqxsLY.jpg</t>
        </is>
      </c>
      <c r="C242" s="2" t="str">
        <f>=HYPERLINK("https://xhslink.com/m/22BfQ75ujQ2", "https://xhslink.com/m/22BfQ75ujQ2")</f>
        <v>https://xhslink.com/m/22BfQ75ujQ2</v>
      </c>
      <c r="D242"/>
      <c r="E242">
        <v>8102</v>
      </c>
      <c r="F242">
        <v>89.9</v>
      </c>
      <c r="G242">
        <v>59.8</v>
      </c>
      <c r="H242">
        <v>1000</v>
      </c>
      <c r="I242" t="inlineStr">
        <is>
          <t>手链项链</t>
        </is>
      </c>
      <c r="J242" t="inlineStr">
        <is>
          <t>0.12</t>
        </is>
      </c>
      <c r="K242" t="inlineStr">
        <is>
          <t>🔥低粉爆款</t>
        </is>
      </c>
      <c r="L242" t="inlineStr">
        <is>
          <t>可里lulu的店</t>
        </is>
      </c>
      <c r="M242">
        <v>513</v>
      </c>
      <c r="N242">
        <v>4.51</v>
      </c>
      <c r="O242">
        <v>9602</v>
      </c>
      <c r="P242" t="inlineStr">
        <is>
          <t>69b2819a180bf40001f411b9</t>
        </is>
      </c>
      <c r="Q242"/>
      <c r="R242" t="inlineStr">
        <is>
          <t>17周</t>
        </is>
      </c>
      <c r="S242" t="inlineStr">
        <is>
          <t>15.79</t>
        </is>
      </c>
      <c r="T242" t="inlineStr">
        <is>
          <t>服饰穿搭</t>
        </is>
      </c>
      <c r="U242" t="inlineStr">
        <is>
          <t>配饰</t>
        </is>
      </c>
      <c r="V242" s="3">
        <v>46132.014918981484</v>
      </c>
      <c r="W242" t="inlineStr">
        <is>
          <t>2026-Q2</t>
        </is>
      </c>
    </row>
    <row r="243" ht="25.5" customHeight="1">
      <c r="A243" t="inlineStr">
        <is>
          <t>momo•白雪公主•手串 原创手串饰品 礼物 苹果珍珠手串</t>
        </is>
      </c>
      <c r="B243" t="inlineStr">
        <is>
          <t>__upload_recvhfQmhqLPJR.jpg</t>
        </is>
      </c>
      <c r="C243" s="2" t="str">
        <f>=HYPERLINK("https://xhslink.com/m/5NUTnhC3ZPT", "https://xhslink.com/m/5NUTnhC3ZPT")</f>
        <v>https://xhslink.com/m/5NUTnhC3ZPT</v>
      </c>
      <c r="D243"/>
      <c r="E243">
        <v>2090</v>
      </c>
      <c r="F243">
        <v>580</v>
      </c>
      <c r="G243">
        <v>498</v>
      </c>
      <c r="H243">
        <v>1000</v>
      </c>
      <c r="I243" t="inlineStr">
        <is>
          <t>手链项链</t>
        </is>
      </c>
      <c r="J243" t="inlineStr">
        <is>
          <t>0.48</t>
        </is>
      </c>
      <c r="K243"/>
      <c r="L243" t="inlineStr">
        <is>
          <t>卖苹果的momo的店</t>
        </is>
      </c>
      <c r="M243">
        <v>60000</v>
      </c>
      <c r="N243">
        <v>4.65</v>
      </c>
      <c r="O243">
        <v>195000</v>
      </c>
      <c r="P243" t="inlineStr">
        <is>
          <t>69bac27fe6196b00018cb795</t>
        </is>
      </c>
      <c r="Q243"/>
      <c r="R243" t="inlineStr">
        <is>
          <t>17周</t>
        </is>
      </c>
      <c r="S243" t="inlineStr">
        <is>
          <t>0.03</t>
        </is>
      </c>
      <c r="T243" t="inlineStr">
        <is>
          <t>服饰穿搭</t>
        </is>
      </c>
      <c r="U243" t="inlineStr">
        <is>
          <t>配饰</t>
        </is>
      </c>
      <c r="V243" s="3">
        <v>46132.014918981484</v>
      </c>
      <c r="W243" t="inlineStr">
        <is>
          <t>2026-Q2</t>
        </is>
      </c>
    </row>
    <row r="244" ht="25.5" customHeight="1">
      <c r="A244" t="inlineStr">
        <is>
          <t>【新店开业*每日仅限100单！】手作奶酥碱水棒 低卡代餐饱腹</t>
        </is>
      </c>
      <c r="B244" t="inlineStr">
        <is>
          <t>__upload_recvhfQmhqzPdw.jpg</t>
        </is>
      </c>
      <c r="C244" s="2" t="str">
        <f>=HYPERLINK("https://xhslink.com/m/60TFBHkxLtr", "https://xhslink.com/m/60TFBHkxLtr")</f>
        <v>https://xhslink.com/m/60TFBHkxLtr</v>
      </c>
      <c r="D244"/>
      <c r="E244">
        <v>108000</v>
      </c>
      <c r="F244">
        <v>20.8</v>
      </c>
      <c r="G244">
        <v>9.9</v>
      </c>
      <c r="H244">
        <v>1000</v>
      </c>
      <c r="I244" t="inlineStr">
        <is>
          <t>早餐食品</t>
        </is>
      </c>
      <c r="J244" t="inlineStr">
        <is>
          <t>0.01</t>
        </is>
      </c>
      <c r="K244" t="inlineStr">
        <is>
          <t>🔥低粉爆款</t>
        </is>
      </c>
      <c r="L244" t="inlineStr">
        <is>
          <t>紫面包Handmade的店</t>
        </is>
      </c>
      <c r="M244">
        <v>4030</v>
      </c>
      <c r="N244">
        <v>4.4</v>
      </c>
      <c r="O244">
        <v>107000</v>
      </c>
      <c r="P244" t="inlineStr">
        <is>
          <t>697232053067f40001161e41</t>
        </is>
      </c>
      <c r="Q244" t="inlineStr">
        <is>
          <t>🚫重复</t>
        </is>
      </c>
      <c r="R244" t="inlineStr">
        <is>
          <t>17周</t>
        </is>
      </c>
      <c r="S244" t="inlineStr">
        <is>
          <t>26.80</t>
        </is>
      </c>
      <c r="T244" t="inlineStr">
        <is>
          <t>美食滋补</t>
        </is>
      </c>
      <c r="U244" t="inlineStr">
        <is>
          <t>休闲零食</t>
        </is>
      </c>
      <c r="V244" s="3">
        <v>46132.014918981484</v>
      </c>
      <c r="W244" t="inlineStr">
        <is>
          <t>2026-Q2</t>
        </is>
      </c>
    </row>
    <row r="245" ht="25.5" customHeight="1">
      <c r="A245" t="inlineStr">
        <is>
          <t>【独立包装】山东粗粮即食0糖油馒头全麦燕麦荞麦玉米90g</t>
        </is>
      </c>
      <c r="B245" t="inlineStr">
        <is>
          <t>__upload_recvhfQmhqPNJu.jpg</t>
        </is>
      </c>
      <c r="C245" s="2" t="str">
        <f>=HYPERLINK("https://xhslink.com/m/9qxdaGnymRI", "https://xhslink.com/m/9qxdaGnymRI")</f>
        <v>https://xhslink.com/m/9qxdaGnymRI</v>
      </c>
      <c r="D245"/>
      <c r="E245">
        <v>41000</v>
      </c>
      <c r="F245">
        <v>38.8</v>
      </c>
      <c r="G245">
        <v>26.8</v>
      </c>
      <c r="H245">
        <v>1000</v>
      </c>
      <c r="I245" t="inlineStr">
        <is>
          <t>早餐食品</t>
        </is>
      </c>
      <c r="J245" t="inlineStr">
        <is>
          <t>0.02</t>
        </is>
      </c>
      <c r="K245"/>
      <c r="L245" t="inlineStr">
        <is>
          <t>一间轻食店的店</t>
        </is>
      </c>
      <c r="M245">
        <v>19000</v>
      </c>
      <c r="N245">
        <v>4.69</v>
      </c>
      <c r="O245">
        <v>163000</v>
      </c>
      <c r="P245" t="inlineStr">
        <is>
          <t>69006a683f37a90001206cfe</t>
        </is>
      </c>
      <c r="Q245" t="inlineStr">
        <is>
          <t>🚫重复</t>
        </is>
      </c>
      <c r="R245" t="inlineStr">
        <is>
          <t>17周</t>
        </is>
      </c>
      <c r="S245" t="inlineStr">
        <is>
          <t>2.16</t>
        </is>
      </c>
      <c r="T245" t="inlineStr">
        <is>
          <t>美食滋补</t>
        </is>
      </c>
      <c r="U245" t="inlineStr">
        <is>
          <t>休闲零食</t>
        </is>
      </c>
      <c r="V245" s="3">
        <v>46132.014918981484</v>
      </c>
      <c r="W245" t="inlineStr">
        <is>
          <t>2026-Q2</t>
        </is>
      </c>
    </row>
    <row r="246" ht="25.5" customHeight="1">
      <c r="A246" t="inlineStr">
        <is>
          <t>PARPER LAB · 濒危生物九色眼影盘升级新包装烫金图案parper塞伦盖蒂动物盘</t>
        </is>
      </c>
      <c r="B246" t="inlineStr">
        <is>
          <t>__upload_recvhfQmhqpB64.jpg</t>
        </is>
      </c>
      <c r="C246" s="2" t="str">
        <f>=HYPERLINK("https://xhslink.com/m/4YNcXJ4udQi", "https://xhslink.com/m/4YNcXJ4udQi")</f>
        <v>https://xhslink.com/m/4YNcXJ4udQi</v>
      </c>
      <c r="D246"/>
      <c r="E246">
        <v>16000</v>
      </c>
      <c r="F246">
        <v>149</v>
      </c>
      <c r="G246">
        <v>69</v>
      </c>
      <c r="H246">
        <v>1000</v>
      </c>
      <c r="I246" t="inlineStr">
        <is>
          <t>美妆</t>
        </is>
      </c>
      <c r="J246" t="inlineStr">
        <is>
          <t>0.06</t>
        </is>
      </c>
      <c r="K246"/>
      <c r="L246" t="inlineStr">
        <is>
          <t>啪啵旗舰店</t>
        </is>
      </c>
      <c r="M246">
        <v>17000</v>
      </c>
      <c r="N246">
        <v>4.41</v>
      </c>
      <c r="O246">
        <v>81000</v>
      </c>
      <c r="P246" t="inlineStr">
        <is>
          <t>688728b3e08d4d000180724f</t>
        </is>
      </c>
      <c r="Q246" t="inlineStr">
        <is>
          <t>🚫重复</t>
        </is>
      </c>
      <c r="R246" t="inlineStr">
        <is>
          <t>17周</t>
        </is>
      </c>
      <c r="S246" t="inlineStr">
        <is>
          <t>0.94</t>
        </is>
      </c>
      <c r="T246" t="inlineStr">
        <is>
          <t>美妆个护</t>
        </is>
      </c>
      <c r="U246" t="inlineStr">
        <is>
          <t>护肤彩妆</t>
        </is>
      </c>
      <c r="V246" s="3">
        <v>46132.014918981484</v>
      </c>
      <c r="W246" t="inlineStr">
        <is>
          <t>2026-Q2</t>
        </is>
      </c>
    </row>
    <row r="247" ht="25.5" customHeight="1">
      <c r="A247" t="inlineStr">
        <is>
          <t>美式春夏慵懒风垂感裤 休闲弹力裤 宽松直筒显瘦拖地裤</t>
        </is>
      </c>
      <c r="B247" t="inlineStr">
        <is>
          <t>recvcB48ezshL5.jpg</t>
        </is>
      </c>
      <c r="C247" s="2" t="str">
        <f>=HYPERLINK("https://xhslink.com/m/9YWKFh6dyoz", "https://xhslink.com/m/9YWKFh6dyoz")</f>
        <v>https://xhslink.com/m/9YWKFh6dyoz</v>
      </c>
      <c r="D247"/>
      <c r="E247">
        <v>171000</v>
      </c>
      <c r="F247">
        <v>69.9</v>
      </c>
      <c r="G247"/>
      <c r="H247">
        <v>900</v>
      </c>
      <c r="I247" t="inlineStr">
        <is>
          <t>休闲裤</t>
        </is>
      </c>
      <c r="J247" t="inlineStr">
        <is>
          <t>0.01</t>
        </is>
      </c>
      <c r="K247"/>
      <c r="L247" t="inlineStr">
        <is>
          <t>小鹅学姐穿搭的店的店</t>
        </is>
      </c>
      <c r="M247">
        <v>229000</v>
      </c>
      <c r="N247">
        <v>4.39</v>
      </c>
      <c r="O247">
        <v>1448000</v>
      </c>
      <c r="P247" t="inlineStr">
        <is>
          <t>681717fcdd59fa00016d63a8</t>
        </is>
      </c>
      <c r="Q247" t="inlineStr">
        <is>
          <t>🚫重复</t>
        </is>
      </c>
      <c r="R247" t="inlineStr">
        <is>
          <t>14周</t>
        </is>
      </c>
      <c r="S247" t="inlineStr">
        <is>
          <t>0.75</t>
        </is>
      </c>
      <c r="T247" t="inlineStr">
        <is>
          <t>服饰穿搭</t>
        </is>
      </c>
      <c r="U247" t="inlineStr">
        <is>
          <t>女装</t>
        </is>
      </c>
      <c r="V247" s="3">
        <v>46112.78107638889</v>
      </c>
      <c r="W247" t="inlineStr">
        <is>
          <t>2026-Q1</t>
        </is>
      </c>
    </row>
    <row r="248" ht="25.5" customHeight="1">
      <c r="A248" t="inlineStr">
        <is>
          <t>秋季老钱风直筒裤女</t>
        </is>
      </c>
      <c r="B248" t="inlineStr">
        <is>
          <t>recvcB48ezsrlq.jpg</t>
        </is>
      </c>
      <c r="C248" s="2" t="str">
        <f>=HYPERLINK("https://xhslink.com/m/5I9aD8nwgle", "https://xhslink.com/m/5I9aD8nwgle")</f>
        <v>https://xhslink.com/m/5I9aD8nwgle</v>
      </c>
      <c r="D248"/>
      <c r="E248">
        <v>39000</v>
      </c>
      <c r="F248">
        <v>149</v>
      </c>
      <c r="G248"/>
      <c r="H248">
        <v>900</v>
      </c>
      <c r="I248" t="inlineStr">
        <is>
          <t>裤子</t>
        </is>
      </c>
      <c r="J248" t="inlineStr">
        <is>
          <t>0.02</t>
        </is>
      </c>
      <c r="K248" t="inlineStr">
        <is>
          <t>🔥低粉爆款</t>
        </is>
      </c>
      <c r="L248" t="inlineStr">
        <is>
          <t>MEI RUI的店</t>
        </is>
      </c>
      <c r="M248">
        <v>13000</v>
      </c>
      <c r="N248">
        <v>4.63</v>
      </c>
      <c r="O248">
        <v>69000</v>
      </c>
      <c r="P248" t="inlineStr">
        <is>
          <t>68d75fcc3f37a90001e8f54d</t>
        </is>
      </c>
      <c r="Q248" t="inlineStr">
        <is>
          <t>🚫重复</t>
        </is>
      </c>
      <c r="R248" t="inlineStr">
        <is>
          <t>14周</t>
        </is>
      </c>
      <c r="S248" t="inlineStr">
        <is>
          <t>3.00</t>
        </is>
      </c>
      <c r="T248" t="inlineStr">
        <is>
          <t>服饰穿搭</t>
        </is>
      </c>
      <c r="U248" t="inlineStr">
        <is>
          <t>女装</t>
        </is>
      </c>
      <c r="V248" s="3">
        <v>46112.78107638889</v>
      </c>
      <c r="W248" t="inlineStr">
        <is>
          <t>2026-Q1</t>
        </is>
      </c>
    </row>
    <row r="249" ht="25.5" customHeight="1">
      <c r="A249" t="inlineStr">
        <is>
          <t>宁波水磨年糕1包350g装（初八之后发货）</t>
        </is>
      </c>
      <c r="B249" t="inlineStr">
        <is>
          <t>recvcMzZj8ml6x.jpg</t>
        </is>
      </c>
      <c r="C249" s="2" t="str">
        <f>=HYPERLINK("https://xhslink.com/m/9UEv5LV6OSz", "https://xhslink.com/m/9UEv5LV6OSz")</f>
        <v>https://xhslink.com/m/9UEv5LV6OSz</v>
      </c>
      <c r="D249"/>
      <c r="E249">
        <v>186000</v>
      </c>
      <c r="F249">
        <v>140</v>
      </c>
      <c r="G249"/>
      <c r="H249">
        <v>900</v>
      </c>
      <c r="I249" t="inlineStr">
        <is>
          <t>零食速食</t>
        </is>
      </c>
      <c r="J249" t="inlineStr">
        <is>
          <t>0.00</t>
        </is>
      </c>
      <c r="K249" t="inlineStr">
        <is>
          <t>🔥低粉爆款</t>
        </is>
      </c>
      <c r="L249" t="inlineStr">
        <is>
          <t>乡下头-金二狗的店</t>
        </is>
      </c>
      <c r="M249">
        <v>52000</v>
      </c>
      <c r="N249">
        <v>4.63</v>
      </c>
      <c r="O249">
        <v>362000</v>
      </c>
      <c r="P249" t="inlineStr">
        <is>
          <t>64f0cb6fec12bb00014c5431</t>
        </is>
      </c>
      <c r="Q249"/>
      <c r="R249" t="inlineStr">
        <is>
          <t>14周</t>
        </is>
      </c>
      <c r="S249" t="inlineStr">
        <is>
          <t>3.58</t>
        </is>
      </c>
      <c r="T249" t="inlineStr">
        <is>
          <t>美食滋补</t>
        </is>
      </c>
      <c r="U249" t="inlineStr">
        <is>
          <t>休闲零食</t>
        </is>
      </c>
      <c r="V249" s="3">
        <v>46112.78107638889</v>
      </c>
      <c r="W249" t="inlineStr">
        <is>
          <t>2026-Q1</t>
        </is>
      </c>
    </row>
    <row r="250" ht="25.5" customHeight="1">
      <c r="A250" t="inlineStr">
        <is>
          <t>自制 时尚工作者的尼龙降落伞托特腋下包 多隔层设计</t>
        </is>
      </c>
      <c r="B250" t="inlineStr">
        <is>
          <t>recvd6YlGVR1FD.jpg</t>
        </is>
      </c>
      <c r="C250" s="2" t="str">
        <f>=HYPERLINK("https://xhslink.com/m/1iAEVAdcj3g", "https://xhslink.com/m/1iAEVAdcj3g")</f>
        <v>https://xhslink.com/m/1iAEVAdcj3g</v>
      </c>
      <c r="D250"/>
      <c r="E250">
        <v>3976</v>
      </c>
      <c r="F250">
        <v>195</v>
      </c>
      <c r="G250"/>
      <c r="H250">
        <v>900</v>
      </c>
      <c r="I250" t="inlineStr">
        <is>
          <t>托特包</t>
        </is>
      </c>
      <c r="J250" t="inlineStr">
        <is>
          <t>0.23</t>
        </is>
      </c>
      <c r="K250"/>
      <c r="L250" t="inlineStr">
        <is>
          <t>大宇姓张的店</t>
        </is>
      </c>
      <c r="M250">
        <v>184000</v>
      </c>
      <c r="N250">
        <v>4.73</v>
      </c>
      <c r="O250">
        <v>293000</v>
      </c>
      <c r="P250" t="inlineStr">
        <is>
          <t>684849063aea530001674897</t>
        </is>
      </c>
      <c r="Q250" t="inlineStr">
        <is>
          <t>🚫重复</t>
        </is>
      </c>
      <c r="R250" t="inlineStr">
        <is>
          <t>14周</t>
        </is>
      </c>
      <c r="S250" t="inlineStr">
        <is>
          <t>0.02</t>
        </is>
      </c>
      <c r="T250" t="inlineStr">
        <is>
          <t>家居生活</t>
        </is>
      </c>
      <c r="U250" t="inlineStr">
        <is>
          <t>家居日用</t>
        </is>
      </c>
      <c r="V250" s="3">
        <v>46112.78107638889</v>
      </c>
      <c r="W250" t="inlineStr">
        <is>
          <t>2026-Q1</t>
        </is>
      </c>
    </row>
    <row r="251" ht="25.5" customHeight="1">
      <c r="A251" t="inlineStr">
        <is>
          <t>士丹顿茶餐厅 · 配料超干净动物黄油无边厚切多口味草莓巧克力抹茶橙丁苹果泥健康</t>
        </is>
      </c>
      <c r="B251" t="inlineStr">
        <is>
          <t>recvdRkif4W4c1.jpg</t>
        </is>
      </c>
      <c r="C251" s="2" t="str">
        <f>=HYPERLINK("https://xhslink.com/m/loFICI7hJm", "https://xhslink.com/m/loFICI7hJm")</f>
        <v>https://xhslink.com/m/loFICI7hJm</v>
      </c>
      <c r="D251"/>
      <c r="E251">
        <v>6739</v>
      </c>
      <c r="F251">
        <v>29.9</v>
      </c>
      <c r="G251">
        <v>19.9</v>
      </c>
      <c r="H251">
        <v>900</v>
      </c>
      <c r="I251" t="inlineStr">
        <is>
          <t>零食</t>
        </is>
      </c>
      <c r="J251" t="inlineStr">
        <is>
          <t>0.13</t>
        </is>
      </c>
      <c r="K251"/>
      <c r="L251" t="inlineStr">
        <is>
          <t>士丹頓茶餐廳旗舰店</t>
        </is>
      </c>
      <c r="M251">
        <v>15000</v>
      </c>
      <c r="N251">
        <v>4.72</v>
      </c>
      <c r="O251">
        <v>334000</v>
      </c>
      <c r="P251" t="inlineStr">
        <is>
          <t>69169066d4669a00016edbdd</t>
        </is>
      </c>
      <c r="Q251"/>
      <c r="R251" t="inlineStr">
        <is>
          <t>14周</t>
        </is>
      </c>
      <c r="S251" t="inlineStr">
        <is>
          <t>0.45</t>
        </is>
      </c>
      <c r="T251" t="inlineStr">
        <is>
          <t>美食滋补</t>
        </is>
      </c>
      <c r="U251" t="inlineStr">
        <is>
          <t>休闲零食</t>
        </is>
      </c>
      <c r="V251" s="3">
        <v>46112.78107638889</v>
      </c>
      <c r="W251" t="inlineStr">
        <is>
          <t>2026-Q1</t>
        </is>
      </c>
    </row>
    <row r="252" ht="25.5" customHeight="1">
      <c r="A252" t="inlineStr">
        <is>
          <t>金煌芒当季新鲜水果果肉饱满好剥皮不涩口现摘农家自种产地直发</t>
        </is>
      </c>
      <c r="B252" t="inlineStr">
        <is>
          <t>recvdUhmdatJNB.jpg</t>
        </is>
      </c>
      <c r="C252" s="2" t="str">
        <f>=HYPERLINK("https://xhslink.com/m/3JkfAb3lYix", "https://xhslink.com/m/3JkfAb3lYix")</f>
        <v>https://xhslink.com/m/3JkfAb3lYix</v>
      </c>
      <c r="D252"/>
      <c r="E252">
        <v>3068</v>
      </c>
      <c r="F252">
        <v>35.8</v>
      </c>
      <c r="G252">
        <v>23.8</v>
      </c>
      <c r="H252">
        <v>900</v>
      </c>
      <c r="I252" t="inlineStr">
        <is>
          <t>夏季水果</t>
        </is>
      </c>
      <c r="J252" t="inlineStr">
        <is>
          <t>0.29</t>
        </is>
      </c>
      <c r="K252" t="inlineStr">
        <is>
          <t>🔥低粉爆款</t>
        </is>
      </c>
      <c r="L252" t="inlineStr">
        <is>
          <t>芒芒酱的店</t>
        </is>
      </c>
      <c r="M252">
        <v>88</v>
      </c>
      <c r="N252">
        <v>4.63</v>
      </c>
      <c r="O252">
        <v>3231</v>
      </c>
      <c r="P252" t="inlineStr">
        <is>
          <t>699fb8916b5a83000150c36b</t>
        </is>
      </c>
      <c r="Q252" t="inlineStr">
        <is>
          <t>🚫重复</t>
        </is>
      </c>
      <c r="R252" t="inlineStr">
        <is>
          <t>14周</t>
        </is>
      </c>
      <c r="S252" t="inlineStr">
        <is>
          <t>34.86</t>
        </is>
      </c>
      <c r="T252" t="inlineStr">
        <is>
          <t>美食滋补</t>
        </is>
      </c>
      <c r="U252" t="inlineStr">
        <is>
          <t>生鲜特产</t>
        </is>
      </c>
      <c r="V252" s="3">
        <v>46112.78107638889</v>
      </c>
      <c r="W252" t="inlineStr">
        <is>
          <t>2026-Q1</t>
        </is>
      </c>
    </row>
    <row r="253" ht="25.5" customHeight="1">
      <c r="A253" t="inlineStr">
        <is>
          <t>轻便双肩包女大学生高中韩版迷你包包旅行电脑背包通勤包袋小书包</t>
        </is>
      </c>
      <c r="B253" t="inlineStr">
        <is>
          <t>recvdUN7QQdKzS.jpg</t>
        </is>
      </c>
      <c r="C253" s="2" t="str">
        <f>=HYPERLINK("https://xhslink.com/m/70hCAHZSZwM", "https://xhslink.com/m/70hCAHZSZwM")</f>
        <v>https://xhslink.com/m/70hCAHZSZwM</v>
      </c>
      <c r="D253"/>
      <c r="E253">
        <v>7340</v>
      </c>
      <c r="F253">
        <v>69.9</v>
      </c>
      <c r="G253"/>
      <c r="H253">
        <v>900</v>
      </c>
      <c r="I253" t="inlineStr">
        <is>
          <t>包包</t>
        </is>
      </c>
      <c r="J253" t="inlineStr">
        <is>
          <t>0.12</t>
        </is>
      </c>
      <c r="K253" t="inlineStr">
        <is>
          <t>🔥低粉爆款</t>
        </is>
      </c>
      <c r="L253" t="inlineStr">
        <is>
          <t>甜妹旅行的店</t>
        </is>
      </c>
      <c r="M253">
        <v>1102</v>
      </c>
      <c r="N253">
        <v>4.73</v>
      </c>
      <c r="O253">
        <v>7662</v>
      </c>
      <c r="P253" t="inlineStr">
        <is>
          <t>6945f5b9d96c4500014e4c95</t>
        </is>
      </c>
      <c r="Q253" t="inlineStr">
        <is>
          <t>🚫重复</t>
        </is>
      </c>
      <c r="R253" t="inlineStr">
        <is>
          <t>14周</t>
        </is>
      </c>
      <c r="S253" t="inlineStr">
        <is>
          <t>6.66</t>
        </is>
      </c>
      <c r="T253" t="inlineStr">
        <is>
          <t>服饰穿搭</t>
        </is>
      </c>
      <c r="U253" t="inlineStr">
        <is>
          <t>鞋靴箱包</t>
        </is>
      </c>
      <c r="V253" s="3">
        <v>46112.78107638889</v>
      </c>
      <c r="W253" t="inlineStr">
        <is>
          <t>2026-Q1</t>
        </is>
      </c>
    </row>
    <row r="254" ht="25.5" customHeight="1">
      <c r="A254" t="inlineStr">
        <is>
          <t>【橙子家】54-64大头围韩系刺绣显脸小鸭舌帽百搭棒球帽简约高级</t>
        </is>
      </c>
      <c r="B254" t="inlineStr">
        <is>
          <t>recve0Cd8qLaMv.jpg</t>
        </is>
      </c>
      <c r="C254" s="2" t="str">
        <f>=HYPERLINK("https://xhslink.com/m/ilgWn8H9cx", "https://xhslink.com/m/ilgWn8H9cx")</f>
        <v>https://xhslink.com/m/ilgWn8H9cx</v>
      </c>
      <c r="D254"/>
      <c r="E254">
        <v>12000</v>
      </c>
      <c r="F254">
        <v>36.8</v>
      </c>
      <c r="G254"/>
      <c r="H254">
        <v>900</v>
      </c>
      <c r="I254" t="inlineStr">
        <is>
          <t>穿搭</t>
        </is>
      </c>
      <c r="J254" t="inlineStr">
        <is>
          <t>0.07</t>
        </is>
      </c>
      <c r="K254"/>
      <c r="L254" t="inlineStr">
        <is>
          <t>多肉脸橙子的店</t>
        </is>
      </c>
      <c r="M254">
        <v>82000</v>
      </c>
      <c r="N254">
        <v>4.48</v>
      </c>
      <c r="O254">
        <v>1276000</v>
      </c>
      <c r="P254" t="inlineStr">
        <is>
          <t>69578e7cbd92f500013f5e42</t>
        </is>
      </c>
      <c r="Q254" t="inlineStr">
        <is>
          <t>🚫重复</t>
        </is>
      </c>
      <c r="R254" t="inlineStr">
        <is>
          <t>14周</t>
        </is>
      </c>
      <c r="S254" t="inlineStr">
        <is>
          <t>0.15</t>
        </is>
      </c>
      <c r="T254" t="inlineStr">
        <is>
          <t>服饰穿搭</t>
        </is>
      </c>
      <c r="U254" t="inlineStr">
        <is>
          <t>女装</t>
        </is>
      </c>
      <c r="V254" s="3">
        <v>46112.78107638889</v>
      </c>
      <c r="W254" t="inlineStr">
        <is>
          <t>2026-Q1</t>
        </is>
      </c>
    </row>
    <row r="255" ht="25.5" customHeight="1">
      <c r="A255" t="inlineStr">
        <is>
          <t>30姆米22姆米真丝立体发圈柔雾纱支撑好看又有型</t>
        </is>
      </c>
      <c r="B255" t="inlineStr">
        <is>
          <t>recveckoIERFd9.jpg</t>
        </is>
      </c>
      <c r="C255" s="2" t="str">
        <f>=HYPERLINK("https://xhslink.com/m/8fhr2ado7zY", "https://xhslink.com/m/8fhr2ado7zY")</f>
        <v>https://xhslink.com/m/8fhr2ado7zY</v>
      </c>
      <c r="D255"/>
      <c r="E255">
        <v>106000</v>
      </c>
      <c r="F255">
        <v>20.9</v>
      </c>
      <c r="G255">
        <v>12.54</v>
      </c>
      <c r="H255">
        <v>900</v>
      </c>
      <c r="I255" t="inlineStr">
        <is>
          <t>配饰</t>
        </is>
      </c>
      <c r="J255" t="inlineStr">
        <is>
          <t>0.01</t>
        </is>
      </c>
      <c r="K255" t="inlineStr">
        <is>
          <t>🔥低粉爆款</t>
        </is>
      </c>
      <c r="L255" t="inlineStr">
        <is>
          <t>Alvin silk的店</t>
        </is>
      </c>
      <c r="M255">
        <v>10000</v>
      </c>
      <c r="N255">
        <v>4.58</v>
      </c>
      <c r="O255">
        <v>144000</v>
      </c>
      <c r="P255" t="inlineStr">
        <is>
          <t>67fd34bb04afe30001076d31</t>
        </is>
      </c>
      <c r="Q255" t="inlineStr">
        <is>
          <t>🚫重复</t>
        </is>
      </c>
      <c r="R255" t="inlineStr">
        <is>
          <t>14周</t>
        </is>
      </c>
      <c r="S255" t="inlineStr">
        <is>
          <t>10.60</t>
        </is>
      </c>
      <c r="T255" t="inlineStr">
        <is>
          <t>服饰穿搭</t>
        </is>
      </c>
      <c r="U255" t="inlineStr">
        <is>
          <t>配饰</t>
        </is>
      </c>
      <c r="V255" s="3">
        <v>46112.78107638889</v>
      </c>
      <c r="W255" t="inlineStr">
        <is>
          <t>2026-Q1</t>
        </is>
      </c>
    </row>
    <row r="256" ht="25.5" customHeight="1">
      <c r="A256" t="inlineStr">
        <is>
          <t>陕西绿心【徐香猕猴桃】放软吃当季新鲜水果</t>
        </is>
      </c>
      <c r="B256" t="inlineStr">
        <is>
          <t>recvei9Bi5BrEn.jpg</t>
        </is>
      </c>
      <c r="C256" s="2" t="str">
        <f>=HYPERLINK("https://xhslink.com/m/919fSrbOJW7", "https://xhslink.com/m/919fSrbOJW7")</f>
        <v>https://xhslink.com/m/919fSrbOJW7</v>
      </c>
      <c r="D256"/>
      <c r="E256">
        <v>603000</v>
      </c>
      <c r="F256">
        <v>52.9</v>
      </c>
      <c r="G256"/>
      <c r="H256">
        <v>900</v>
      </c>
      <c r="I256" t="inlineStr">
        <is>
          <t>水果</t>
        </is>
      </c>
      <c r="J256" t="inlineStr">
        <is>
          <t>0.00</t>
        </is>
      </c>
      <c r="K256" t="inlineStr">
        <is>
          <t>🔥低粉爆款</t>
        </is>
      </c>
      <c r="L256" t="inlineStr">
        <is>
          <t>果小乐的店</t>
        </is>
      </c>
      <c r="M256">
        <v>6531</v>
      </c>
      <c r="N256">
        <v>4.56</v>
      </c>
      <c r="O256">
        <v>1216000</v>
      </c>
      <c r="P256" t="inlineStr">
        <is>
          <t>68d009d634db2a000187657c</t>
        </is>
      </c>
      <c r="Q256" t="inlineStr">
        <is>
          <t>🚫重复</t>
        </is>
      </c>
      <c r="R256" t="inlineStr">
        <is>
          <t>14周</t>
        </is>
      </c>
      <c r="S256" t="inlineStr">
        <is>
          <t>92.33</t>
        </is>
      </c>
      <c r="T256" t="inlineStr">
        <is>
          <t>美食滋补</t>
        </is>
      </c>
      <c r="U256" t="inlineStr">
        <is>
          <t>生鲜特产</t>
        </is>
      </c>
      <c r="V256" s="3">
        <v>46112.78107638889</v>
      </c>
      <c r="W256" t="inlineStr">
        <is>
          <t>2026-Q1</t>
        </is>
      </c>
    </row>
    <row r="257" ht="25.5" customHeight="1">
      <c r="A257" t="inlineStr">
        <is>
          <t>【小猫大王】平替小马复古黑色真皮分趾单鞋女舒适软底休闲鞋</t>
        </is>
      </c>
      <c r="B257" t="inlineStr">
        <is>
          <t>recvekduUIkTW7.jpg</t>
        </is>
      </c>
      <c r="C257" s="2" t="str">
        <f>=HYPERLINK("https://xhslink.com/m/AfvxUby6333", "https://xhslink.com/m/AfvxUby6333")</f>
        <v>https://xhslink.com/m/AfvxUby6333</v>
      </c>
      <c r="D257"/>
      <c r="E257">
        <v>1536</v>
      </c>
      <c r="F257">
        <v>159</v>
      </c>
      <c r="G257">
        <v>73.9</v>
      </c>
      <c r="H257">
        <v>900</v>
      </c>
      <c r="I257" t="inlineStr">
        <is>
          <t>鞋靴</t>
        </is>
      </c>
      <c r="J257" t="inlineStr">
        <is>
          <t>0.59</t>
        </is>
      </c>
      <c r="K257"/>
      <c r="L257" t="inlineStr">
        <is>
          <t>小猫大王ovo的店</t>
        </is>
      </c>
      <c r="M257">
        <v>2567</v>
      </c>
      <c r="N257">
        <v>4.21</v>
      </c>
      <c r="O257">
        <v>2735</v>
      </c>
      <c r="P257" t="inlineStr">
        <is>
          <t>69ad2f9d301443000103a345</t>
        </is>
      </c>
      <c r="Q257"/>
      <c r="R257" t="inlineStr">
        <is>
          <t>14周</t>
        </is>
      </c>
      <c r="S257" t="inlineStr">
        <is>
          <t>0.60</t>
        </is>
      </c>
      <c r="T257" t="inlineStr">
        <is>
          <t>服饰穿搭</t>
        </is>
      </c>
      <c r="U257" t="inlineStr">
        <is>
          <t>鞋靴箱包</t>
        </is>
      </c>
      <c r="V257" s="3">
        <v>46112.78107638889</v>
      </c>
      <c r="W257" t="inlineStr">
        <is>
          <t>2026-Q1</t>
        </is>
      </c>
    </row>
    <row r="258" ht="25.5" customHeight="1">
      <c r="A258" t="inlineStr">
        <is>
          <t>三兔船长 · 预售｜3-5天发货·【季节款】舟山红虾鲜肉小馄饨手工·现做新鲜</t>
        </is>
      </c>
      <c r="B258" t="inlineStr">
        <is>
          <t>recvekduUIFoXg.jpg</t>
        </is>
      </c>
      <c r="C258" s="2" t="str">
        <f>=HYPERLINK("https://xhslink.com/m/8DWMr0YfMBg", "https://xhslink.com/m/8DWMr0YfMBg")</f>
        <v>https://xhslink.com/m/8DWMr0YfMBg</v>
      </c>
      <c r="D258"/>
      <c r="E258">
        <v>5098</v>
      </c>
      <c r="F258">
        <v>69.9</v>
      </c>
      <c r="G258"/>
      <c r="H258">
        <v>900</v>
      </c>
      <c r="I258" t="inlineStr">
        <is>
          <t>速食冻品</t>
        </is>
      </c>
      <c r="J258" t="inlineStr">
        <is>
          <t>0.18</t>
        </is>
      </c>
      <c r="K258"/>
      <c r="L258" t="inlineStr">
        <is>
          <t>三兔船长的店</t>
        </is>
      </c>
      <c r="M258">
        <v>20000</v>
      </c>
      <c r="N258">
        <v>4.66</v>
      </c>
      <c r="O258">
        <v>109000</v>
      </c>
      <c r="P258" t="inlineStr">
        <is>
          <t>69802c46e0470600014f2e82</t>
        </is>
      </c>
      <c r="Q258" t="inlineStr">
        <is>
          <t>🚫重复</t>
        </is>
      </c>
      <c r="R258" t="inlineStr">
        <is>
          <t>14周</t>
        </is>
      </c>
      <c r="S258" t="inlineStr">
        <is>
          <t>0.25</t>
        </is>
      </c>
      <c r="T258" t="inlineStr">
        <is>
          <t>美食滋补</t>
        </is>
      </c>
      <c r="U258" t="inlineStr">
        <is>
          <t>生鲜特产</t>
        </is>
      </c>
      <c r="V258" s="3">
        <v>46112.78107638889</v>
      </c>
      <c r="W258" t="inlineStr">
        <is>
          <t>2026-Q1</t>
        </is>
      </c>
    </row>
    <row r="259" ht="25.5" customHeight="1">
      <c r="A259" t="inlineStr">
        <is>
          <t>拉链卫衣外套2025年秋冬季宽松版型韩系开衫</t>
        </is>
      </c>
      <c r="B259" t="inlineStr">
        <is>
          <t>recveNXG9tyoj5.jpg</t>
        </is>
      </c>
      <c r="C259" s="2" t="str">
        <f>=HYPERLINK("https://xhslink.com/m/8S5i5BjybGR", "https://xhslink.com/m/8S5i5BjybGR")</f>
        <v>https://xhslink.com/m/8S5i5BjybGR</v>
      </c>
      <c r="D259"/>
      <c r="E259">
        <v>13000</v>
      </c>
      <c r="F259">
        <v>96</v>
      </c>
      <c r="G259">
        <v>86</v>
      </c>
      <c r="H259">
        <v>900</v>
      </c>
      <c r="I259" t="inlineStr">
        <is>
          <t>卫衣</t>
        </is>
      </c>
      <c r="J259" t="inlineStr">
        <is>
          <t>0.07</t>
        </is>
      </c>
      <c r="K259"/>
      <c r="L259" t="inlineStr">
        <is>
          <t>奶蓝bc的店</t>
        </is>
      </c>
      <c r="M259">
        <v>20000</v>
      </c>
      <c r="N259">
        <v>4.67</v>
      </c>
      <c r="O259">
        <v>122000</v>
      </c>
      <c r="P259" t="inlineStr">
        <is>
          <t>68cbfe9ad1f7b800015d382d</t>
        </is>
      </c>
      <c r="Q259" t="inlineStr">
        <is>
          <t>🚫重复</t>
        </is>
      </c>
      <c r="R259" t="inlineStr">
        <is>
          <t>14周</t>
        </is>
      </c>
      <c r="S259" t="inlineStr">
        <is>
          <t>0.65</t>
        </is>
      </c>
      <c r="T259" t="inlineStr">
        <is>
          <t>服饰穿搭</t>
        </is>
      </c>
      <c r="U259" t="inlineStr">
        <is>
          <t>女装</t>
        </is>
      </c>
      <c r="V259" s="3">
        <v>46112.78107638889</v>
      </c>
      <c r="W259" t="inlineStr">
        <is>
          <t>2026-Q1</t>
        </is>
      </c>
    </row>
    <row r="260" ht="25.5" customHeight="1">
      <c r="A260" t="inlineStr">
        <is>
          <t>拉链款 复古鳄鱼纹托特包 大容量通勤包 时尚百搭大包</t>
        </is>
      </c>
      <c r="B260" t="inlineStr">
        <is>
          <t>recveNXG9tmPFT.jpg</t>
        </is>
      </c>
      <c r="C260" s="2" t="str">
        <f>=HYPERLINK("https://xhslink.com/m/41uyb5KiW5j", "https://xhslink.com/m/41uyb5KiW5j")</f>
        <v>https://xhslink.com/m/41uyb5KiW5j</v>
      </c>
      <c r="D260"/>
      <c r="E260">
        <v>79000</v>
      </c>
      <c r="F260">
        <v>29</v>
      </c>
      <c r="G260">
        <v>19</v>
      </c>
      <c r="H260">
        <v>900</v>
      </c>
      <c r="I260" t="inlineStr">
        <is>
          <t>包包</t>
        </is>
      </c>
      <c r="J260" t="inlineStr">
        <is>
          <t>0.01</t>
        </is>
      </c>
      <c r="K260" t="inlineStr">
        <is>
          <t>🔥低粉爆款</t>
        </is>
      </c>
      <c r="L260" t="inlineStr">
        <is>
          <t>Ciaaaa_的店</t>
        </is>
      </c>
      <c r="M260">
        <v>2594</v>
      </c>
      <c r="N260">
        <v>4.6</v>
      </c>
      <c r="O260">
        <v>109000</v>
      </c>
      <c r="P260" t="inlineStr">
        <is>
          <t>68dd4b8fb56f160001c11785</t>
        </is>
      </c>
      <c r="Q260" t="inlineStr">
        <is>
          <t>🚫重复</t>
        </is>
      </c>
      <c r="R260" t="inlineStr">
        <is>
          <t>14周</t>
        </is>
      </c>
      <c r="S260" t="inlineStr">
        <is>
          <t>30.45</t>
        </is>
      </c>
      <c r="T260" t="inlineStr">
        <is>
          <t>服饰穿搭</t>
        </is>
      </c>
      <c r="U260" t="inlineStr">
        <is>
          <t>鞋靴箱包</t>
        </is>
      </c>
      <c r="V260" s="3">
        <v>46112.78107638889</v>
      </c>
      <c r="W260" t="inlineStr">
        <is>
          <t>2026-Q1</t>
        </is>
      </c>
    </row>
    <row r="261" ht="25.5" customHeight="1">
      <c r="A261" t="inlineStr">
        <is>
          <t>任选八枚【29.9/8包邮】手作碱水面包碱水棒套餐健身代餐早餐</t>
        </is>
      </c>
      <c r="B261" t="inlineStr">
        <is>
          <t>recveNXG9tImmG.jpg</t>
        </is>
      </c>
      <c r="C261" s="2" t="str">
        <f>=HYPERLINK("https://xhslink.com/m/AWMInIOSxIZ", "https://xhslink.com/m/AWMInIOSxIZ")</f>
        <v>https://xhslink.com/m/AWMInIOSxIZ</v>
      </c>
      <c r="D261"/>
      <c r="E261">
        <v>566000</v>
      </c>
      <c r="F261">
        <v>20</v>
      </c>
      <c r="G261">
        <v>11.6</v>
      </c>
      <c r="H261">
        <v>900</v>
      </c>
      <c r="I261" t="inlineStr">
        <is>
          <t>减脂主食</t>
        </is>
      </c>
      <c r="J261" t="inlineStr">
        <is>
          <t>0.00</t>
        </is>
      </c>
      <c r="K261" t="inlineStr">
        <is>
          <t>🔥低粉爆款</t>
        </is>
      </c>
      <c r="L261" t="inlineStr">
        <is>
          <t>谷味侬手作的店</t>
        </is>
      </c>
      <c r="M261">
        <v>8676</v>
      </c>
      <c r="N261">
        <v>4.3</v>
      </c>
      <c r="O261">
        <v>1444000</v>
      </c>
      <c r="P261" t="inlineStr">
        <is>
          <t>68e71c577d3b3f0001fc09f0</t>
        </is>
      </c>
      <c r="Q261" t="inlineStr">
        <is>
          <t>🚫重复</t>
        </is>
      </c>
      <c r="R261" t="inlineStr">
        <is>
          <t>14周</t>
        </is>
      </c>
      <c r="S261" t="inlineStr">
        <is>
          <t>65.24</t>
        </is>
      </c>
      <c r="T261" t="inlineStr">
        <is>
          <t>美食滋补</t>
        </is>
      </c>
      <c r="U261" t="inlineStr">
        <is>
          <t>休闲零食</t>
        </is>
      </c>
      <c r="V261" s="3">
        <v>46112.78107638889</v>
      </c>
      <c r="W261" t="inlineStr">
        <is>
          <t>2026-Q1</t>
        </is>
      </c>
    </row>
    <row r="262" ht="25.5" customHeight="1">
      <c r="A262" t="inlineStr">
        <is>
          <t>【上新特惠】遮副乳• 简约百搭休闲运动背心（高品质版）</t>
        </is>
      </c>
      <c r="B262" t="inlineStr">
        <is>
          <t>recveTJWJN9INY.jpg</t>
        </is>
      </c>
      <c r="C262" s="2" t="str">
        <f>=HYPERLINK("https://xhslink.com/m/4IuOWkassVh", "https://xhslink.com/m/4IuOWkassVh")</f>
        <v>https://xhslink.com/m/4IuOWkassVh</v>
      </c>
      <c r="D262"/>
      <c r="E262">
        <v>142000</v>
      </c>
      <c r="F262">
        <v>39.9</v>
      </c>
      <c r="G262"/>
      <c r="H262">
        <v>900</v>
      </c>
      <c r="I262" t="inlineStr">
        <is>
          <t>运动背心</t>
        </is>
      </c>
      <c r="J262" t="inlineStr">
        <is>
          <t>0.01</t>
        </is>
      </c>
      <c r="K262" t="inlineStr">
        <is>
          <t>🔥低粉爆款</t>
        </is>
      </c>
      <c r="L262" t="inlineStr">
        <is>
          <t>好运丽姿的店</t>
        </is>
      </c>
      <c r="M262">
        <v>5745</v>
      </c>
      <c r="N262">
        <v>4.73</v>
      </c>
      <c r="O262">
        <v>206000</v>
      </c>
      <c r="P262" t="inlineStr">
        <is>
          <t>67c00f2af6588900014525be</t>
        </is>
      </c>
      <c r="Q262" t="inlineStr">
        <is>
          <t>🚫重复</t>
        </is>
      </c>
      <c r="R262" t="inlineStr">
        <is>
          <t>14周</t>
        </is>
      </c>
      <c r="S262" t="inlineStr">
        <is>
          <t>24.72</t>
        </is>
      </c>
      <c r="T262" t="inlineStr">
        <is>
          <t>服饰穿搭</t>
        </is>
      </c>
      <c r="U262" t="inlineStr">
        <is>
          <t>女装</t>
        </is>
      </c>
      <c r="V262" s="3">
        <v>46112.78107638889</v>
      </c>
      <c r="W262" t="inlineStr">
        <is>
          <t>2026-Q1</t>
        </is>
      </c>
    </row>
    <row r="263" ht="25.5" customHeight="1">
      <c r="A263" t="inlineStr">
        <is>
          <t>鱼骨工字显瘦棉质运动背心～</t>
        </is>
      </c>
      <c r="B263" t="inlineStr">
        <is>
          <t>recvf2aASaSKXl.jpg</t>
        </is>
      </c>
      <c r="C263" s="2" t="str">
        <f>=HYPERLINK("https://xhslink.com/m/An55EapIobo", "https://xhslink.com/m/An55EapIobo")</f>
        <v>https://xhslink.com/m/An55EapIobo</v>
      </c>
      <c r="D263"/>
      <c r="E263">
        <v>85000</v>
      </c>
      <c r="F263">
        <v>28.9</v>
      </c>
      <c r="G263"/>
      <c r="H263">
        <v>900</v>
      </c>
      <c r="I263" t="inlineStr">
        <is>
          <t>运动背心</t>
        </is>
      </c>
      <c r="J263" t="inlineStr">
        <is>
          <t>0.01</t>
        </is>
      </c>
      <c r="K263" t="inlineStr">
        <is>
          <t>🔥低粉爆款</t>
        </is>
      </c>
      <c r="L263" t="inlineStr">
        <is>
          <t>过年啦的店</t>
        </is>
      </c>
      <c r="M263">
        <v>16000</v>
      </c>
      <c r="N263">
        <v>4.43</v>
      </c>
      <c r="O263">
        <v>104000</v>
      </c>
      <c r="P263" t="inlineStr">
        <is>
          <t>689dbe0fd3dd4d0001315091</t>
        </is>
      </c>
      <c r="Q263" t="inlineStr">
        <is>
          <t>🚫重复</t>
        </is>
      </c>
      <c r="R263" t="inlineStr">
        <is>
          <t>14周</t>
        </is>
      </c>
      <c r="S263" t="inlineStr">
        <is>
          <t>5.31</t>
        </is>
      </c>
      <c r="T263" t="inlineStr">
        <is>
          <t>服饰穿搭</t>
        </is>
      </c>
      <c r="U263" t="inlineStr">
        <is>
          <t>女装</t>
        </is>
      </c>
      <c r="V263" s="3">
        <v>46112.78107638889</v>
      </c>
      <c r="W263" t="inlineStr">
        <is>
          <t>2026-Q1</t>
        </is>
      </c>
    </row>
    <row r="264" ht="25.5" customHeight="1">
      <c r="A264" t="inlineStr">
        <is>
          <t>芭蕾款EVA一体式韩系甜美洞洞鞋（2.1cm增高）</t>
        </is>
      </c>
      <c r="B264" t="inlineStr">
        <is>
          <t>recvf5pAkIOr5Y.jpg</t>
        </is>
      </c>
      <c r="C264" s="2" t="str">
        <f>=HYPERLINK("https://xhslink.com/m/52b60992MxO", "https://xhslink.com/m/52b60992MxO")</f>
        <v>https://xhslink.com/m/52b60992MxO</v>
      </c>
      <c r="D264"/>
      <c r="E264">
        <v>944</v>
      </c>
      <c r="F264">
        <v>129</v>
      </c>
      <c r="G264">
        <v>47</v>
      </c>
      <c r="H264">
        <v>900</v>
      </c>
      <c r="I264" t="inlineStr">
        <is>
          <t>凉鞋</t>
        </is>
      </c>
      <c r="J264" t="inlineStr">
        <is>
          <t>0.95</t>
        </is>
      </c>
      <c r="K264"/>
      <c r="L264" t="inlineStr">
        <is>
          <t>厂二代小张的店</t>
        </is>
      </c>
      <c r="M264">
        <v>2816</v>
      </c>
      <c r="N264">
        <v>4.45</v>
      </c>
      <c r="O264">
        <v>11000</v>
      </c>
      <c r="P264" t="inlineStr">
        <is>
          <t>69a41bf119f8df0015d685f4</t>
        </is>
      </c>
      <c r="Q264" t="inlineStr">
        <is>
          <t>🚫重复</t>
        </is>
      </c>
      <c r="R264" t="inlineStr">
        <is>
          <t>14周</t>
        </is>
      </c>
      <c r="S264" t="inlineStr">
        <is>
          <t>0.34</t>
        </is>
      </c>
      <c r="T264" t="inlineStr">
        <is>
          <t>服饰穿搭</t>
        </is>
      </c>
      <c r="U264" t="inlineStr">
        <is>
          <t>鞋靴箱包</t>
        </is>
      </c>
      <c r="V264" s="3">
        <v>46112.78107638889</v>
      </c>
      <c r="W264" t="inlineStr">
        <is>
          <t>2026-Q1</t>
        </is>
      </c>
    </row>
    <row r="265" ht="25.5" customHeight="1">
      <c r="A265" t="inlineStr">
        <is>
          <t>纳桔 · 【宠粉惊喜价】【尖叫薄】儿童春夏轻薄吸湿透气长袖【无拇指扣】</t>
        </is>
      </c>
      <c r="B265" t="inlineStr">
        <is>
          <t>recvfenb18h3ho.jpg</t>
        </is>
      </c>
      <c r="C265" s="2" t="str">
        <f>=HYPERLINK("https://xhslink.com/m/9JWVkA46f1l", "https://xhslink.com/m/9JWVkA46f1l")</f>
        <v>https://xhslink.com/m/9JWVkA46f1l</v>
      </c>
      <c r="D265"/>
      <c r="E265">
        <v>60000</v>
      </c>
      <c r="F265">
        <v>98</v>
      </c>
      <c r="G265">
        <v>68.6</v>
      </c>
      <c r="H265">
        <v>900</v>
      </c>
      <c r="I265" t="inlineStr">
        <is>
          <t>亲子户外</t>
        </is>
      </c>
      <c r="J265" t="inlineStr">
        <is>
          <t>0.01</t>
        </is>
      </c>
      <c r="K265"/>
      <c r="L265" t="inlineStr">
        <is>
          <t>纳桔童装旗舰店</t>
        </is>
      </c>
      <c r="M265">
        <v>69000</v>
      </c>
      <c r="N265">
        <v>4.76</v>
      </c>
      <c r="O265">
        <v>412000</v>
      </c>
      <c r="P265" t="inlineStr">
        <is>
          <t>69afb1e5ac2e1900016dd36f</t>
        </is>
      </c>
      <c r="Q265"/>
      <c r="R265" t="inlineStr">
        <is>
          <t>14周</t>
        </is>
      </c>
      <c r="S265" t="inlineStr">
        <is>
          <t>0.87</t>
        </is>
      </c>
      <c r="T265" t="inlineStr">
        <is>
          <t>母婴亲子</t>
        </is>
      </c>
      <c r="U265" t="inlineStr">
        <is>
          <t>童装童鞋</t>
        </is>
      </c>
      <c r="V265" s="3">
        <v>46112.78107638889</v>
      </c>
      <c r="W265" t="inlineStr">
        <is>
          <t>2026-Q1</t>
        </is>
      </c>
    </row>
    <row r="266" ht="25.5" customHeight="1">
      <c r="A266" t="inlineStr">
        <is>
          <t>宜家 · 派克拉储物袋衣物收纳袋被子整理袋搬家用大容量打包袋</t>
        </is>
      </c>
      <c r="B266" t="inlineStr">
        <is>
          <t>recvfenb18EVq5_fix.jpg</t>
        </is>
      </c>
      <c r="C266" s="2" t="str">
        <f>=HYPERLINK("https://xhslink.com/m/4XTNImJ3lXO", "https://xhslink.com/m/4XTNImJ3lXO")</f>
        <v>https://xhslink.com/m/4XTNImJ3lXO</v>
      </c>
      <c r="D266"/>
      <c r="E266">
        <v>10000</v>
      </c>
      <c r="F266">
        <v>9.9</v>
      </c>
      <c r="G266"/>
      <c r="H266">
        <v>900</v>
      </c>
      <c r="I266" t="inlineStr">
        <is>
          <t>包收纳</t>
        </is>
      </c>
      <c r="J266" t="inlineStr">
        <is>
          <t>0.09</t>
        </is>
      </c>
      <c r="K266" t="inlineStr">
        <is>
          <t>🔥低粉爆款</t>
        </is>
      </c>
      <c r="L266" t="inlineStr">
        <is>
          <t>宜璟璟的店</t>
        </is>
      </c>
      <c r="M266">
        <v>116</v>
      </c>
      <c r="N266">
        <v>4.56</v>
      </c>
      <c r="O266">
        <v>11000</v>
      </c>
      <c r="P266" t="inlineStr">
        <is>
          <t>685e5e24f89aa5000162c19c</t>
        </is>
      </c>
      <c r="Q266"/>
      <c r="R266" t="inlineStr">
        <is>
          <t>14周</t>
        </is>
      </c>
      <c r="S266" t="inlineStr">
        <is>
          <t>86.21</t>
        </is>
      </c>
      <c r="T266" t="inlineStr">
        <is>
          <t>家居生活</t>
        </is>
      </c>
      <c r="U266" t="inlineStr">
        <is>
          <t>家居日用</t>
        </is>
      </c>
      <c r="V266" s="3">
        <v>46112.78107638889</v>
      </c>
      <c r="W266" t="inlineStr">
        <is>
          <t>2026-Q1</t>
        </is>
      </c>
    </row>
    <row r="267" ht="25.5" customHeight="1">
      <c r="A267" t="inlineStr">
        <is>
          <t>【顺丰特快/空运】云南蓝莓抚仙湖蓝莓高山蓝莓25号花香蓝莓</t>
        </is>
      </c>
      <c r="B267" t="inlineStr">
        <is>
          <t>recvfjOYGLaws1.jpg</t>
        </is>
      </c>
      <c r="C267" s="2" t="str">
        <f>=HYPERLINK("https://xhslink.com/m/49njynMY8uF", "https://xhslink.com/m/49njynMY8uF")</f>
        <v>https://xhslink.com/m/49njynMY8uF</v>
      </c>
      <c r="D267"/>
      <c r="E267">
        <v>433000</v>
      </c>
      <c r="F267">
        <v>43.8</v>
      </c>
      <c r="G267"/>
      <c r="H267">
        <v>900</v>
      </c>
      <c r="I267" t="inlineStr">
        <is>
          <t>水果</t>
        </is>
      </c>
      <c r="J267" t="inlineStr">
        <is>
          <t>0.00</t>
        </is>
      </c>
      <c r="K267"/>
      <c r="L267" t="inlineStr">
        <is>
          <t>洋洋乡村生活~的店</t>
        </is>
      </c>
      <c r="M267">
        <v>147000</v>
      </c>
      <c r="N267">
        <v>4.62</v>
      </c>
      <c r="O267">
        <v>1793000</v>
      </c>
      <c r="P267" t="inlineStr">
        <is>
          <t>6784d01503b5e4000147e2b0</t>
        </is>
      </c>
      <c r="Q267" t="inlineStr">
        <is>
          <t>🚫重复</t>
        </is>
      </c>
      <c r="R267" t="inlineStr">
        <is>
          <t>14周</t>
        </is>
      </c>
      <c r="S267" t="inlineStr">
        <is>
          <t>2.95</t>
        </is>
      </c>
      <c r="T267" t="inlineStr">
        <is>
          <t>美食滋补</t>
        </is>
      </c>
      <c r="U267" t="inlineStr">
        <is>
          <t>生鲜特产</t>
        </is>
      </c>
      <c r="V267" s="3">
        <v>46112.78107638889</v>
      </c>
      <c r="W267" t="inlineStr">
        <is>
          <t>2026-Q1</t>
        </is>
      </c>
    </row>
    <row r="268" ht="25.5" customHeight="1">
      <c r="A268" t="inlineStr">
        <is>
          <t>手剥大号虾仁 不泡药无添加 去虾线 不泡保水剂 海虾仁</t>
        </is>
      </c>
      <c r="B268" t="inlineStr">
        <is>
          <t>recvfjOYGLZn83.jpg</t>
        </is>
      </c>
      <c r="C268" s="2" t="str">
        <f>=HYPERLINK("https://xhslink.com/m/10U09qywBlY", "https://xhslink.com/m/10U09qywBlY")</f>
        <v>https://xhslink.com/m/10U09qywBlY</v>
      </c>
      <c r="D268"/>
      <c r="E268">
        <v>12000</v>
      </c>
      <c r="F268">
        <v>142</v>
      </c>
      <c r="G268">
        <v>103</v>
      </c>
      <c r="H268">
        <v>900</v>
      </c>
      <c r="I268" t="inlineStr">
        <is>
          <t>海鲜</t>
        </is>
      </c>
      <c r="J268" t="inlineStr">
        <is>
          <t>0.07</t>
        </is>
      </c>
      <c r="K268" t="inlineStr">
        <is>
          <t>🔥低粉爆款</t>
        </is>
      </c>
      <c r="L268" t="inlineStr">
        <is>
          <t>沧海渔舟的店</t>
        </is>
      </c>
      <c r="M268">
        <v>642</v>
      </c>
      <c r="N268">
        <v>4.67</v>
      </c>
      <c r="O268">
        <v>12000</v>
      </c>
      <c r="P268" t="inlineStr">
        <is>
          <t>694bea0ced00c400015c2ff4</t>
        </is>
      </c>
      <c r="Q268"/>
      <c r="R268" t="inlineStr">
        <is>
          <t>14周</t>
        </is>
      </c>
      <c r="S268" t="inlineStr">
        <is>
          <t>18.69</t>
        </is>
      </c>
      <c r="T268" t="inlineStr">
        <is>
          <t>美食滋补</t>
        </is>
      </c>
      <c r="U268" t="inlineStr">
        <is>
          <t>生鲜特产</t>
        </is>
      </c>
      <c r="V268" s="3">
        <v>46112.78107638889</v>
      </c>
      <c r="W268" t="inlineStr">
        <is>
          <t>2026-Q1</t>
        </is>
      </c>
    </row>
    <row r="269" ht="25.5" customHeight="1">
      <c r="A269" t="inlineStr">
        <is>
          <t>抢疯了！立减10元！工厂直发韩系红色休闲格纹包包女大容量礼物</t>
        </is>
      </c>
      <c r="B269" t="inlineStr">
        <is>
          <t>recvfqmLqZkHCR.jpg</t>
        </is>
      </c>
      <c r="C269" s="2" t="str">
        <f>=HYPERLINK("https://xhslink.com/m/1OdJTSdoAd1", "https://xhslink.com/m/1OdJTSdoAd1")</f>
        <v>https://xhslink.com/m/1OdJTSdoAd1</v>
      </c>
      <c r="D269"/>
      <c r="E269">
        <v>1131</v>
      </c>
      <c r="F269">
        <v>29.9</v>
      </c>
      <c r="G269">
        <v>13.9</v>
      </c>
      <c r="H269">
        <v>900</v>
      </c>
      <c r="I269" t="inlineStr">
        <is>
          <t>韩系包包</t>
        </is>
      </c>
      <c r="J269" t="inlineStr">
        <is>
          <t>0.80</t>
        </is>
      </c>
      <c r="K269" t="inlineStr">
        <is>
          <t>🔥低粉爆款</t>
        </is>
      </c>
      <c r="L269" t="inlineStr">
        <is>
          <t>好运小番🍅的店</t>
        </is>
      </c>
      <c r="M269">
        <v>194</v>
      </c>
      <c r="N269">
        <v>4.65</v>
      </c>
      <c r="O269">
        <v>23000</v>
      </c>
      <c r="P269" t="inlineStr">
        <is>
          <t>69bc17df15bd740001313682</t>
        </is>
      </c>
      <c r="Q269"/>
      <c r="R269" t="inlineStr">
        <is>
          <t>14周</t>
        </is>
      </c>
      <c r="S269" t="inlineStr">
        <is>
          <t>5.83</t>
        </is>
      </c>
      <c r="T269" t="inlineStr">
        <is>
          <t>服饰穿搭</t>
        </is>
      </c>
      <c r="U269" t="inlineStr">
        <is>
          <t>鞋靴箱包</t>
        </is>
      </c>
      <c r="V269" s="3">
        <v>46112.78107638889</v>
      </c>
      <c r="W269" t="inlineStr">
        <is>
          <t>2026-Q1</t>
        </is>
      </c>
    </row>
    <row r="270" ht="25.5" customHeight="1">
      <c r="A270" t="inlineStr">
        <is>
          <t>氢能量 · 带刻度水洗耐磨搓条 耐磨可水洗不掉砂甲型刻度方便对比</t>
        </is>
      </c>
      <c r="B270" t="inlineStr">
        <is>
          <t>recvfqmLqZrWLU.jpg</t>
        </is>
      </c>
      <c r="C270" s="2" t="str">
        <f>=HYPERLINK("https://xhslink.com/m/3SyXx9t3V7c", "https://xhslink.com/m/3SyXx9t3V7c")</f>
        <v>https://xhslink.com/m/3SyXx9t3V7c</v>
      </c>
      <c r="D270"/>
      <c r="E270">
        <v>49000</v>
      </c>
      <c r="F270">
        <v>12</v>
      </c>
      <c r="G270">
        <v>6.99</v>
      </c>
      <c r="H270">
        <v>900</v>
      </c>
      <c r="I270" t="inlineStr">
        <is>
          <t>美甲</t>
        </is>
      </c>
      <c r="J270" t="inlineStr">
        <is>
          <t>0.02</t>
        </is>
      </c>
      <c r="K270" t="inlineStr">
        <is>
          <t>🔥低粉爆款</t>
        </is>
      </c>
      <c r="L270" t="inlineStr">
        <is>
          <t>氢能量旗舰店</t>
        </is>
      </c>
      <c r="M270">
        <v>3290</v>
      </c>
      <c r="N270">
        <v>4.51</v>
      </c>
      <c r="O270">
        <v>51000</v>
      </c>
      <c r="P270" t="inlineStr">
        <is>
          <t>67ec9a5215a11800150e25b4</t>
        </is>
      </c>
      <c r="Q270"/>
      <c r="R270" t="inlineStr">
        <is>
          <t>14周</t>
        </is>
      </c>
      <c r="S270" t="inlineStr">
        <is>
          <t>14.89</t>
        </is>
      </c>
      <c r="T270" t="inlineStr">
        <is>
          <t>美妆个护</t>
        </is>
      </c>
      <c r="U270" t="inlineStr">
        <is>
          <t>护肤彩妆</t>
        </is>
      </c>
      <c r="V270" s="3">
        <v>46112.78107638889</v>
      </c>
      <c r="W270" t="inlineStr">
        <is>
          <t>2026-Q1</t>
        </is>
      </c>
    </row>
    <row r="271" ht="25.5" customHeight="1">
      <c r="A271" t="inlineStr">
        <is>
          <t>苏小匠【磨砂牛皮】烟花烫钻一脚蹬勃肯鞋春秋新款厚底包头拖鞋女</t>
        </is>
      </c>
      <c r="B271" t="inlineStr">
        <is>
          <t>recvfD7quwwxh7.jpg</t>
        </is>
      </c>
      <c r="C271" s="2" t="str">
        <f>=HYPERLINK("https://xhslink.com/m/9vlVREI3VSH", "https://xhslink.com/m/9vlVREI3VSH")</f>
        <v>https://xhslink.com/m/9vlVREI3VSH</v>
      </c>
      <c r="D271"/>
      <c r="E271">
        <v>468</v>
      </c>
      <c r="F271">
        <v>328</v>
      </c>
      <c r="G271">
        <v>79</v>
      </c>
      <c r="H271">
        <v>900</v>
      </c>
      <c r="I271" t="inlineStr">
        <is>
          <t>厚底勃肯鞋</t>
        </is>
      </c>
      <c r="J271" t="inlineStr">
        <is>
          <t>1.92</t>
        </is>
      </c>
      <c r="K271" t="inlineStr">
        <is>
          <t>🔥低粉爆款</t>
        </is>
      </c>
      <c r="L271" t="inlineStr">
        <is>
          <t>苏小匠 手工真皮女鞋的店</t>
        </is>
      </c>
      <c r="M271">
        <v>93</v>
      </c>
      <c r="N271">
        <v>4.68</v>
      </c>
      <c r="O271">
        <v>549</v>
      </c>
      <c r="P271" t="inlineStr">
        <is>
          <t>69c1124effa26d0001d62282</t>
        </is>
      </c>
      <c r="Q271"/>
      <c r="R271" t="inlineStr">
        <is>
          <t>14周</t>
        </is>
      </c>
      <c r="S271" t="inlineStr">
        <is>
          <t>5.03</t>
        </is>
      </c>
      <c r="T271" t="inlineStr">
        <is>
          <t>服饰穿搭</t>
        </is>
      </c>
      <c r="U271" t="inlineStr">
        <is>
          <t>鞋靴箱包</t>
        </is>
      </c>
      <c r="V271" s="3">
        <v>46114.78872685185</v>
      </c>
      <c r="W271" t="inlineStr">
        <is>
          <t>2026-Q2</t>
        </is>
      </c>
    </row>
    <row r="272" ht="25.5" customHeight="1">
      <c r="A272" t="inlineStr">
        <is>
          <t>【古早双细带】EVA材质前3cm后7cm/前2cm后5cm坡跟厚底人字拖</t>
        </is>
      </c>
      <c r="B272" t="inlineStr">
        <is>
          <t>recvfKbRx195qC.jpg</t>
        </is>
      </c>
      <c r="C272" s="2" t="str">
        <f>=HYPERLINK("https://xhslink.com/m/7oQkPF8kJWc", "https://xhslink.com/m/7oQkPF8kJWc")</f>
        <v>https://xhslink.com/m/7oQkPF8kJWc</v>
      </c>
      <c r="D272"/>
      <c r="E272">
        <v>37000</v>
      </c>
      <c r="F272">
        <v>37.9</v>
      </c>
      <c r="G272">
        <v>27.9</v>
      </c>
      <c r="H272">
        <v>900</v>
      </c>
      <c r="I272" t="inlineStr">
        <is>
          <t>人字拖</t>
        </is>
      </c>
      <c r="J272" t="inlineStr">
        <is>
          <t>0.02</t>
        </is>
      </c>
      <c r="K272"/>
      <c r="L272" t="inlineStr">
        <is>
          <t>起个什么名儿的店</t>
        </is>
      </c>
      <c r="M272">
        <v>120000</v>
      </c>
      <c r="N272">
        <v>4.54</v>
      </c>
      <c r="O272">
        <v>155000</v>
      </c>
      <c r="P272" t="inlineStr">
        <is>
          <t>6829af125380b80001097ac2</t>
        </is>
      </c>
      <c r="Q272"/>
      <c r="R272" t="inlineStr">
        <is>
          <t>14周</t>
        </is>
      </c>
      <c r="S272" t="inlineStr">
        <is>
          <t>0.31</t>
        </is>
      </c>
      <c r="T272" t="inlineStr">
        <is>
          <t>服饰穿搭</t>
        </is>
      </c>
      <c r="U272" t="inlineStr">
        <is>
          <t>鞋靴箱包</t>
        </is>
      </c>
      <c r="V272" s="3">
        <v>46115.998090277775</v>
      </c>
      <c r="W272" t="inlineStr">
        <is>
          <t>2026-Q2</t>
        </is>
      </c>
    </row>
    <row r="273" ht="25.5" customHeight="1">
      <c r="A273" t="inlineStr">
        <is>
          <t>前11w单立减 30!女春夏季高腰宽松显瘦休闲直筒运动裤卫裤60%棉</t>
        </is>
      </c>
      <c r="B273" t="inlineStr">
        <is>
          <t>recvfKbRx1v6HX.jpg</t>
        </is>
      </c>
      <c r="C273" s="2" t="str">
        <f>=HYPERLINK("https://xhslink.com/m/2Gsudp0EBfu", "https://xhslink.com/m/2Gsudp0EBfu")</f>
        <v>https://xhslink.com/m/2Gsudp0EBfu</v>
      </c>
      <c r="D273"/>
      <c r="E273">
        <v>107000</v>
      </c>
      <c r="F273">
        <v>99.9</v>
      </c>
      <c r="G273">
        <v>64.5</v>
      </c>
      <c r="H273">
        <v>900</v>
      </c>
      <c r="I273" t="inlineStr">
        <is>
          <t>裤子</t>
        </is>
      </c>
      <c r="J273" t="inlineStr">
        <is>
          <t>0.01</t>
        </is>
      </c>
      <c r="K273" t="inlineStr">
        <is>
          <t>🔥低粉爆款</t>
        </is>
      </c>
      <c r="L273" t="inlineStr">
        <is>
          <t>哆哆米米米的店</t>
        </is>
      </c>
      <c r="M273">
        <v>12000</v>
      </c>
      <c r="N273">
        <v>4.56</v>
      </c>
      <c r="O273">
        <v>107000</v>
      </c>
      <c r="P273" t="inlineStr">
        <is>
          <t>68e87b2f6a569a0015aabbf5</t>
        </is>
      </c>
      <c r="Q273" t="inlineStr">
        <is>
          <t>🚫重复</t>
        </is>
      </c>
      <c r="R273" t="inlineStr">
        <is>
          <t>14周</t>
        </is>
      </c>
      <c r="S273" t="inlineStr">
        <is>
          <t>8.92</t>
        </is>
      </c>
      <c r="T273" t="inlineStr">
        <is>
          <t>服饰穿搭</t>
        </is>
      </c>
      <c r="U273" t="inlineStr">
        <is>
          <t>女装</t>
        </is>
      </c>
      <c r="V273" s="3">
        <v>46115.998090277775</v>
      </c>
      <c r="W273" t="inlineStr">
        <is>
          <t>2026-Q2</t>
        </is>
      </c>
    </row>
    <row r="274" ht="25.5" customHeight="1">
      <c r="A274" t="inlineStr">
        <is>
          <t>西域美农 · 鹰嘴豆非油炸香酥可口400g /450g 休闲零食</t>
        </is>
      </c>
      <c r="B274" t="inlineStr">
        <is>
          <t>recvfP5nJfFvTW.jpg</t>
        </is>
      </c>
      <c r="C274" s="2" t="str">
        <f>=HYPERLINK("https://xhslink.com/m/9G8JtRtUEOO", "https://xhslink.com/m/9G8JtRtUEOO")</f>
        <v>https://xhslink.com/m/9G8JtRtUEOO</v>
      </c>
      <c r="D274"/>
      <c r="E274">
        <v>60000</v>
      </c>
      <c r="F274">
        <v>29.9</v>
      </c>
      <c r="G274">
        <v>19.9</v>
      </c>
      <c r="H274">
        <v>900</v>
      </c>
      <c r="I274" t="inlineStr">
        <is>
          <t>坚果果干</t>
        </is>
      </c>
      <c r="J274" t="inlineStr">
        <is>
          <t>0.01</t>
        </is>
      </c>
      <c r="K274" t="inlineStr">
        <is>
          <t>🔥低粉爆款</t>
        </is>
      </c>
      <c r="L274" t="inlineStr">
        <is>
          <t>西域美农休闲零食旗舰店</t>
        </is>
      </c>
      <c r="M274">
        <v>4651</v>
      </c>
      <c r="N274">
        <v>4.53</v>
      </c>
      <c r="O274">
        <v>115000</v>
      </c>
      <c r="P274" t="inlineStr">
        <is>
          <t>664ebcacca6baf00011e4ccd</t>
        </is>
      </c>
      <c r="Q274"/>
      <c r="R274" t="inlineStr">
        <is>
          <t>14周</t>
        </is>
      </c>
      <c r="S274" t="inlineStr">
        <is>
          <t>12.90</t>
        </is>
      </c>
      <c r="T274" t="inlineStr">
        <is>
          <t>美食滋补</t>
        </is>
      </c>
      <c r="U274" t="inlineStr">
        <is>
          <t>休闲零食</t>
        </is>
      </c>
      <c r="V274" s="3">
        <v>46116.835335648146</v>
      </c>
      <c r="W274" t="inlineStr">
        <is>
          <t>2026-Q2</t>
        </is>
      </c>
    </row>
    <row r="275" ht="25.5" customHeight="1">
      <c r="A275" t="inlineStr">
        <is>
          <t>"古早感条纹" 6个扣亨利衫bm圆领短袖T恤显瘦上衣 260G</t>
        </is>
      </c>
      <c r="B275" t="inlineStr">
        <is>
          <t>recvg1BDH55V5j.jpg</t>
        </is>
      </c>
      <c r="C275" s="2" t="str">
        <f>=HYPERLINK("https://xhslink.com/m/9uTwypEhH7A", "https://xhslink.com/m/9uTwypEhH7A")</f>
        <v>https://xhslink.com/m/9uTwypEhH7A</v>
      </c>
      <c r="D275"/>
      <c r="E275">
        <v>11000</v>
      </c>
      <c r="F275">
        <v>63.8</v>
      </c>
      <c r="G275">
        <v>53.8</v>
      </c>
      <c r="H275">
        <v>900</v>
      </c>
      <c r="I275" t="inlineStr">
        <is>
          <t>T恤</t>
        </is>
      </c>
      <c r="J275" t="inlineStr">
        <is>
          <t>0.08</t>
        </is>
      </c>
      <c r="K275"/>
      <c r="L275" t="inlineStr">
        <is>
          <t>1mo饼的店</t>
        </is>
      </c>
      <c r="M275">
        <v>94000</v>
      </c>
      <c r="N275">
        <v>4.71</v>
      </c>
      <c r="O275">
        <v>461000</v>
      </c>
      <c r="P275" t="inlineStr">
        <is>
          <t>68ee8bb753446d0001289c99</t>
        </is>
      </c>
      <c r="Q275" t="inlineStr">
        <is>
          <t>🚫重复</t>
        </is>
      </c>
      <c r="R275" t="inlineStr">
        <is>
          <t>15周</t>
        </is>
      </c>
      <c r="S275" t="inlineStr">
        <is>
          <t>0.12</t>
        </is>
      </c>
      <c r="T275" t="inlineStr">
        <is>
          <t>服饰穿搭</t>
        </is>
      </c>
      <c r="U275" t="inlineStr">
        <is>
          <t>女装</t>
        </is>
      </c>
      <c r="V275" s="3">
        <v>46118.97659722222</v>
      </c>
      <c r="W275" t="inlineStr">
        <is>
          <t>2026-Q2</t>
        </is>
      </c>
    </row>
    <row r="276" ht="25.5" customHeight="1">
      <c r="A276" t="inlineStr">
        <is>
          <t>【老舅同款】新款果冻8字拉力器肩背拉伸开背瑜伽弹力带</t>
        </is>
      </c>
      <c r="B276" t="inlineStr">
        <is>
          <t>recvg1BDH5ZcLC.jpg</t>
        </is>
      </c>
      <c r="C276" s="2" t="str">
        <f>=HYPERLINK("https://xhslink.com/m/8SxI738yWhP", "https://xhslink.com/m/8SxI738yWhP")</f>
        <v>https://xhslink.com/m/8SxI738yWhP</v>
      </c>
      <c r="D276"/>
      <c r="E276">
        <v>97000</v>
      </c>
      <c r="F276">
        <v>29.9</v>
      </c>
      <c r="G276"/>
      <c r="H276">
        <v>900</v>
      </c>
      <c r="I276" t="inlineStr">
        <is>
          <t>健身</t>
        </is>
      </c>
      <c r="J276" t="inlineStr">
        <is>
          <t>0.01</t>
        </is>
      </c>
      <c r="K276"/>
      <c r="L276" t="inlineStr">
        <is>
          <t>浩云老舅「居家锻炼」的店</t>
        </is>
      </c>
      <c r="M276">
        <v>407000</v>
      </c>
      <c r="N276">
        <v>4.62</v>
      </c>
      <c r="O276">
        <v>151000</v>
      </c>
      <c r="P276" t="inlineStr">
        <is>
          <t>675bfa33d0d8020015d6a5ce</t>
        </is>
      </c>
      <c r="Q276"/>
      <c r="R276" t="inlineStr">
        <is>
          <t>15周</t>
        </is>
      </c>
      <c r="S276" t="inlineStr">
        <is>
          <t>0.24</t>
        </is>
      </c>
      <c r="T276" t="inlineStr">
        <is>
          <t>运动潮玩</t>
        </is>
      </c>
      <c r="U276" t="inlineStr">
        <is>
          <t>运动户外装备</t>
        </is>
      </c>
      <c r="V276" s="3">
        <v>46118.97659722222</v>
      </c>
      <c r="W276" t="inlineStr">
        <is>
          <t>2026-Q2</t>
        </is>
      </c>
    </row>
    <row r="277" ht="25.5" customHeight="1">
      <c r="A277" t="inlineStr">
        <is>
          <t>S&amp;W · 低强度运动背心瑜伽普拉提健身日常休闲时尚细肩带高弹背心8044</t>
        </is>
      </c>
      <c r="B277" t="inlineStr">
        <is>
          <t>recvg1BDH51Vc6.jpg</t>
        </is>
      </c>
      <c r="C277" s="2" t="str">
        <f>=HYPERLINK("https://xhslink.com/m/6H06e1K6tmQ", "https://xhslink.com/m/6H06e1K6tmQ")</f>
        <v>https://xhslink.com/m/6H06e1K6tmQ</v>
      </c>
      <c r="D277"/>
      <c r="E277">
        <v>86000</v>
      </c>
      <c r="F277">
        <v>189</v>
      </c>
      <c r="G277">
        <v>69.9</v>
      </c>
      <c r="H277">
        <v>900</v>
      </c>
      <c r="I277" t="inlineStr">
        <is>
          <t>健身</t>
        </is>
      </c>
      <c r="J277" t="inlineStr">
        <is>
          <t>0.01</t>
        </is>
      </c>
      <c r="K277"/>
      <c r="L277" t="inlineStr">
        <is>
          <t>S&amp;W速惟旗舰店</t>
        </is>
      </c>
      <c r="M277">
        <v>38000</v>
      </c>
      <c r="N277">
        <v>4.49</v>
      </c>
      <c r="O277">
        <v>815000</v>
      </c>
      <c r="P277" t="inlineStr">
        <is>
          <t>662208885bb60e00015fe5f4</t>
        </is>
      </c>
      <c r="Q277" t="inlineStr">
        <is>
          <t>🚫重复</t>
        </is>
      </c>
      <c r="R277" t="inlineStr">
        <is>
          <t>15周</t>
        </is>
      </c>
      <c r="S277" t="inlineStr">
        <is>
          <t>2.26</t>
        </is>
      </c>
      <c r="T277" t="inlineStr">
        <is>
          <t>运动潮玩</t>
        </is>
      </c>
      <c r="U277" t="inlineStr">
        <is>
          <t>运动户外装备</t>
        </is>
      </c>
      <c r="V277" s="3">
        <v>46118.97659722222</v>
      </c>
      <c r="W277" t="inlineStr">
        <is>
          <t>2026-Q2</t>
        </is>
      </c>
    </row>
    <row r="278" ht="25.5" customHeight="1">
      <c r="A278" t="inlineStr">
        <is>
          <t>肉肉拼豆铺｜新店冲量价 现货高品质融合豆2.6mm拼豆黑白</t>
        </is>
      </c>
      <c r="B278" t="inlineStr">
        <is>
          <t>recvgd5oYIeBpm.jpg</t>
        </is>
      </c>
      <c r="C278" s="2" t="str">
        <f>=HYPERLINK("https://xhslink.com/m/7mhZBQgl5jE", "https://xhslink.com/m/7mhZBQgl5jE")</f>
        <v>https://xhslink.com/m/7mhZBQgl5jE</v>
      </c>
      <c r="D278"/>
      <c r="E278">
        <v>53000</v>
      </c>
      <c r="F278">
        <v>5.99</v>
      </c>
      <c r="G278"/>
      <c r="H278">
        <v>900</v>
      </c>
      <c r="I278" t="inlineStr">
        <is>
          <t>拼豆</t>
        </is>
      </c>
      <c r="J278" t="inlineStr">
        <is>
          <t>0.02</t>
        </is>
      </c>
      <c r="K278" t="inlineStr">
        <is>
          <t>🔥低粉爆款</t>
        </is>
      </c>
      <c r="L278" t="inlineStr">
        <is>
          <t>肉肉拼豆小铺的店</t>
        </is>
      </c>
      <c r="M278">
        <v>9307</v>
      </c>
      <c r="N278">
        <v>4.55</v>
      </c>
      <c r="O278">
        <v>149000</v>
      </c>
      <c r="P278" t="inlineStr">
        <is>
          <t>694cc630ed00c4000173980e</t>
        </is>
      </c>
      <c r="Q278" t="inlineStr">
        <is>
          <t>🚫重复</t>
        </is>
      </c>
      <c r="R278" t="inlineStr">
        <is>
          <t>15周</t>
        </is>
      </c>
      <c r="S278" t="inlineStr">
        <is>
          <t>5.69</t>
        </is>
      </c>
      <c r="T278" t="inlineStr">
        <is>
          <t>运动潮玩</t>
        </is>
      </c>
      <c r="U278" t="inlineStr">
        <is>
          <t>潮玩手办</t>
        </is>
      </c>
      <c r="V278" s="3">
        <v>46120.939930555556</v>
      </c>
      <c r="W278" t="inlineStr">
        <is>
          <t>2026-Q2</t>
        </is>
      </c>
    </row>
    <row r="279" ht="25.5" customHeight="1">
      <c r="A279" t="inlineStr">
        <is>
          <t>前600单特价！双面磁吸手机支架合金材质桌面支架赠磁吸环</t>
        </is>
      </c>
      <c r="B279" t="inlineStr">
        <is>
          <t>recvgd5oYIBDA7.jpg</t>
        </is>
      </c>
      <c r="C279" s="2" t="str">
        <f>=HYPERLINK("https://xhslink.com/m/6pOxTYXM2wo", "https://xhslink.com/m/6pOxTYXM2wo")</f>
        <v>https://xhslink.com/m/6pOxTYXM2wo</v>
      </c>
      <c r="D279"/>
      <c r="E279">
        <v>41000</v>
      </c>
      <c r="F279">
        <v>35.9</v>
      </c>
      <c r="G279">
        <v>33.9</v>
      </c>
      <c r="H279">
        <v>900</v>
      </c>
      <c r="I279" t="inlineStr">
        <is>
          <t>手机支架</t>
        </is>
      </c>
      <c r="J279" t="inlineStr">
        <is>
          <t>0.02</t>
        </is>
      </c>
      <c r="K279" t="inlineStr">
        <is>
          <t>🔥低粉爆款</t>
        </is>
      </c>
      <c r="L279" t="inlineStr">
        <is>
          <t>可可乐乐儿的店</t>
        </is>
      </c>
      <c r="M279">
        <v>1558</v>
      </c>
      <c r="N279">
        <v>4.58</v>
      </c>
      <c r="O279">
        <v>43000</v>
      </c>
      <c r="P279" t="inlineStr">
        <is>
          <t>6923d7ebe7d6b50001580f13</t>
        </is>
      </c>
      <c r="Q279" t="inlineStr">
        <is>
          <t>🚫重复</t>
        </is>
      </c>
      <c r="R279" t="inlineStr">
        <is>
          <t>15周</t>
        </is>
      </c>
      <c r="S279" t="inlineStr">
        <is>
          <t>26.32</t>
        </is>
      </c>
      <c r="T279" t="inlineStr">
        <is>
          <t>数码家电</t>
        </is>
      </c>
      <c r="U279" t="inlineStr">
        <is>
          <t>数码配件</t>
        </is>
      </c>
      <c r="V279" s="3">
        <v>46120.939930555556</v>
      </c>
      <c r="W279" t="inlineStr">
        <is>
          <t>2026-Q2</t>
        </is>
      </c>
    </row>
    <row r="280" ht="25.5" customHeight="1">
      <c r="A280" t="inlineStr">
        <is>
          <t>短保6天古早味老式手工夹心面包蓝莓沙拉奶油肉松早餐代餐小零食</t>
        </is>
      </c>
      <c r="B280" t="inlineStr">
        <is>
          <t>recvgjaKnc23Me.jpg</t>
        </is>
      </c>
      <c r="C280" s="2" t="str">
        <f>=HYPERLINK("https://xhslink.com/m/7APMLZeSrUS", "https://xhslink.com/m/7APMLZeSrUS")</f>
        <v>https://xhslink.com/m/7APMLZeSrUS</v>
      </c>
      <c r="D280"/>
      <c r="E280">
        <v>52000</v>
      </c>
      <c r="F280">
        <v>19.9</v>
      </c>
      <c r="G280">
        <v>10.8</v>
      </c>
      <c r="H280">
        <v>900</v>
      </c>
      <c r="I280" t="inlineStr">
        <is>
          <t>面包</t>
        </is>
      </c>
      <c r="J280" t="inlineStr">
        <is>
          <t>0.02</t>
        </is>
      </c>
      <c r="K280" t="inlineStr">
        <is>
          <t>🔥低粉爆款</t>
        </is>
      </c>
      <c r="L280" t="inlineStr">
        <is>
          <t>吧拉拉爱吃的店</t>
        </is>
      </c>
      <c r="M280">
        <v>4149</v>
      </c>
      <c r="N280">
        <v>3.78</v>
      </c>
      <c r="O280">
        <v>99000</v>
      </c>
      <c r="P280" t="inlineStr">
        <is>
          <t>681c71ab2afd33000165fbbe</t>
        </is>
      </c>
      <c r="Q280" t="inlineStr">
        <is>
          <t>🚫重复</t>
        </is>
      </c>
      <c r="R280" t="inlineStr">
        <is>
          <t>15周</t>
        </is>
      </c>
      <c r="S280" t="inlineStr">
        <is>
          <t>12.53</t>
        </is>
      </c>
      <c r="T280" t="inlineStr">
        <is>
          <t>美食滋补</t>
        </is>
      </c>
      <c r="U280" t="inlineStr">
        <is>
          <t>休闲零食</t>
        </is>
      </c>
      <c r="V280" s="3">
        <v>46121.98079861111</v>
      </c>
      <c r="W280" t="inlineStr">
        <is>
          <t>2026-Q2</t>
        </is>
      </c>
    </row>
    <row r="281" ht="25.5" customHeight="1">
      <c r="A281" t="inlineStr">
        <is>
          <t>海南金钻凤梨巨甜爆汁！产地直发！孕妇水果！应季水果！坏果包赔</t>
        </is>
      </c>
      <c r="B281" t="inlineStr">
        <is>
          <t>recvgjaKncN2NF.jpg</t>
        </is>
      </c>
      <c r="C281" s="2" t="str">
        <f>=HYPERLINK("https://xhslink.com/m/d41oNqk5AQ", "https://xhslink.com/m/d41oNqk5AQ")</f>
        <v>https://xhslink.com/m/d41oNqk5AQ</v>
      </c>
      <c r="D281"/>
      <c r="E281">
        <v>64000</v>
      </c>
      <c r="F281">
        <v>23.9</v>
      </c>
      <c r="G281">
        <v>11.9</v>
      </c>
      <c r="H281">
        <v>900</v>
      </c>
      <c r="I281" t="inlineStr">
        <is>
          <t>水果</t>
        </is>
      </c>
      <c r="J281" t="inlineStr">
        <is>
          <t>0.01</t>
        </is>
      </c>
      <c r="K281" t="inlineStr">
        <is>
          <t>🔥低粉爆款</t>
        </is>
      </c>
      <c r="L281" t="inlineStr">
        <is>
          <t>小芳家水果园的店</t>
        </is>
      </c>
      <c r="M281">
        <v>540</v>
      </c>
      <c r="N281">
        <v>4.16</v>
      </c>
      <c r="O281">
        <v>23000</v>
      </c>
      <c r="P281" t="inlineStr">
        <is>
          <t>699dd2afd5afea00010fc0b6</t>
        </is>
      </c>
      <c r="Q281"/>
      <c r="R281" t="inlineStr">
        <is>
          <t>15周</t>
        </is>
      </c>
      <c r="S281" t="inlineStr">
        <is>
          <t>118.52</t>
        </is>
      </c>
      <c r="T281" t="inlineStr">
        <is>
          <t>美食滋补</t>
        </is>
      </c>
      <c r="U281" t="inlineStr">
        <is>
          <t>生鲜特产</t>
        </is>
      </c>
      <c r="V281" s="3">
        <v>46121.98079861111</v>
      </c>
      <c r="W281" t="inlineStr">
        <is>
          <t>2026-Q2</t>
        </is>
      </c>
    </row>
    <row r="282" ht="25.5" customHeight="1">
      <c r="A282" t="inlineStr">
        <is>
          <t>【新品限时立减】肌理感阔腿裤宽松休春夏柔软宽松直筒显瘦空气裤</t>
        </is>
      </c>
      <c r="B282" t="inlineStr">
        <is>
          <t>recvgjaKncbk4M.jpg</t>
        </is>
      </c>
      <c r="C282" s="2" t="str">
        <f>=HYPERLINK("https://xhslink.com/m/A1K5QBgCmtY", "https://xhslink.com/m/A1K5QBgCmtY")</f>
        <v>https://xhslink.com/m/A1K5QBgCmtY</v>
      </c>
      <c r="D282"/>
      <c r="E282">
        <v>1347</v>
      </c>
      <c r="F282">
        <v>79</v>
      </c>
      <c r="G282">
        <v>59</v>
      </c>
      <c r="H282">
        <v>900</v>
      </c>
      <c r="I282" t="inlineStr">
        <is>
          <t>裤子</t>
        </is>
      </c>
      <c r="J282" t="inlineStr">
        <is>
          <t>0.67</t>
        </is>
      </c>
      <c r="K282"/>
      <c r="L282" t="inlineStr">
        <is>
          <t>小京鱼i穿搭的店</t>
        </is>
      </c>
      <c r="M282">
        <v>28000</v>
      </c>
      <c r="N282">
        <v>4.58</v>
      </c>
      <c r="O282">
        <v>216000</v>
      </c>
      <c r="P282" t="inlineStr">
        <is>
          <t>69b8fd65964c0f0015f6a228</t>
        </is>
      </c>
      <c r="Q282" t="inlineStr">
        <is>
          <t>🚫重复</t>
        </is>
      </c>
      <c r="R282" t="inlineStr">
        <is>
          <t>15周</t>
        </is>
      </c>
      <c r="S282" t="inlineStr">
        <is>
          <t>0.05</t>
        </is>
      </c>
      <c r="T282" t="inlineStr">
        <is>
          <t>服饰穿搭</t>
        </is>
      </c>
      <c r="U282" t="inlineStr">
        <is>
          <t>女装</t>
        </is>
      </c>
      <c r="V282" s="3">
        <v>46121.98079861111</v>
      </c>
      <c r="W282" t="inlineStr">
        <is>
          <t>2026-Q2</t>
        </is>
      </c>
    </row>
    <row r="283" ht="25.5" customHeight="1">
      <c r="A283" t="inlineStr">
        <is>
          <t>韩国Heisan波点双肩包韩系轻薄户外运动背包通勤休闲包</t>
        </is>
      </c>
      <c r="B283" t="inlineStr">
        <is>
          <t>recvgoYCuBLEOX.jpg</t>
        </is>
      </c>
      <c r="C283" s="2" t="str">
        <f>=HYPERLINK("https://xhslink.com/m/8YWGUzV7eEa", "https://xhslink.com/m/8YWGUzV7eEa")</f>
        <v>https://xhslink.com/m/8YWGUzV7eEa</v>
      </c>
      <c r="D283"/>
      <c r="E283">
        <v>1901</v>
      </c>
      <c r="F283">
        <v>59</v>
      </c>
      <c r="G283"/>
      <c r="H283">
        <v>900</v>
      </c>
      <c r="I283" t="inlineStr">
        <is>
          <t>运动包配</t>
        </is>
      </c>
      <c r="J283" t="inlineStr">
        <is>
          <t>0.47</t>
        </is>
      </c>
      <c r="K283"/>
      <c r="L283" t="inlineStr">
        <is>
          <t>Snow studio的店</t>
        </is>
      </c>
      <c r="M283">
        <v>849</v>
      </c>
      <c r="N283">
        <v>4.58</v>
      </c>
      <c r="O283">
        <v>2244</v>
      </c>
      <c r="P283" t="inlineStr">
        <is>
          <t>6994e1ae87daa00001644a65</t>
        </is>
      </c>
      <c r="Q283"/>
      <c r="R283" t="inlineStr">
        <is>
          <t>15周</t>
        </is>
      </c>
      <c r="S283" t="inlineStr">
        <is>
          <t>2.24</t>
        </is>
      </c>
      <c r="T283" t="inlineStr">
        <is>
          <t>服饰穿搭</t>
        </is>
      </c>
      <c r="U283" t="inlineStr">
        <is>
          <t>鞋靴箱包</t>
        </is>
      </c>
      <c r="V283" s="3">
        <v>46122.97351851852</v>
      </c>
      <c r="W283" t="inlineStr">
        <is>
          <t>2026-Q2</t>
        </is>
      </c>
    </row>
    <row r="284" ht="25.5" customHeight="1">
      <c r="A284" t="inlineStr">
        <is>
          <t>山西特产纯碱烤馍休闲非油炸馍丁解馋充饥抗饿饼干小零食手指馍</t>
        </is>
      </c>
      <c r="B284" t="inlineStr">
        <is>
          <t>recvguTbC15ofp.jpg</t>
        </is>
      </c>
      <c r="C284" s="2" t="str">
        <f>=HYPERLINK("https://xhslink.com/m/70JvGJuyim6", "https://xhslink.com/m/70JvGJuyim6")</f>
        <v>https://xhslink.com/m/70JvGJuyim6</v>
      </c>
      <c r="D284"/>
      <c r="E284">
        <v>97000</v>
      </c>
      <c r="F284">
        <v>15.9</v>
      </c>
      <c r="G284">
        <v>8.9</v>
      </c>
      <c r="H284">
        <v>900</v>
      </c>
      <c r="I284" t="inlineStr">
        <is>
          <t>饼干</t>
        </is>
      </c>
      <c r="J284" t="inlineStr">
        <is>
          <t>0.01</t>
        </is>
      </c>
      <c r="K284" t="inlineStr">
        <is>
          <t>🔥低粉爆款</t>
        </is>
      </c>
      <c r="L284" t="inlineStr">
        <is>
          <t>相约冬季的店</t>
        </is>
      </c>
      <c r="M284">
        <v>176</v>
      </c>
      <c r="N284">
        <v>4.49</v>
      </c>
      <c r="O284">
        <v>98000</v>
      </c>
      <c r="P284" t="inlineStr">
        <is>
          <t>686e3e8c42008300016a708d</t>
        </is>
      </c>
      <c r="Q284" t="inlineStr">
        <is>
          <t>🚫重复</t>
        </is>
      </c>
      <c r="R284" t="inlineStr">
        <is>
          <t>15周</t>
        </is>
      </c>
      <c r="S284" t="inlineStr">
        <is>
          <t>551.14</t>
        </is>
      </c>
      <c r="T284" t="inlineStr">
        <is>
          <t>美食滋补</t>
        </is>
      </c>
      <c r="U284" t="inlineStr">
        <is>
          <t>休闲零食</t>
        </is>
      </c>
      <c r="V284" s="3">
        <v>46123.98462962963</v>
      </c>
      <c r="W284" t="inlineStr">
        <is>
          <t>2026-Q2</t>
        </is>
      </c>
    </row>
    <row r="285" ht="25.5" customHeight="1">
      <c r="A285" t="inlineStr">
        <is>
          <t>【顺丰冷链包邮】潮汕墨鱼丸低脂食物轻食火锅丸子空气炸锅食材</t>
        </is>
      </c>
      <c r="B285" t="inlineStr">
        <is>
          <t>__upload_recvgAET7xHZxD.jpg</t>
        </is>
      </c>
      <c r="C285" s="2" t="str">
        <f>=HYPERLINK("https://xhslink.com/m/9KDrKYvxBa1", "https://xhslink.com/m/9KDrKYvxBa1")</f>
        <v>https://xhslink.com/m/9KDrKYvxBa1</v>
      </c>
      <c r="D285"/>
      <c r="E285">
        <v>114000</v>
      </c>
      <c r="F285">
        <v>53.8</v>
      </c>
      <c r="G285">
        <v>41.8</v>
      </c>
      <c r="H285">
        <v>900</v>
      </c>
      <c r="I285" t="inlineStr">
        <is>
          <t>低脂零食</t>
        </is>
      </c>
      <c r="J285" t="inlineStr">
        <is>
          <t>0.01</t>
        </is>
      </c>
      <c r="K285" t="inlineStr">
        <is>
          <t>🔥低粉爆款</t>
        </is>
      </c>
      <c r="L285" t="inlineStr">
        <is>
          <t>牛肉丸研究所🐮的店</t>
        </is>
      </c>
      <c r="M285">
        <v>9558</v>
      </c>
      <c r="N285">
        <v>4.79</v>
      </c>
      <c r="O285">
        <v>184000</v>
      </c>
      <c r="P285" t="inlineStr">
        <is>
          <t>686289a8283593000162b952</t>
        </is>
      </c>
      <c r="Q285" t="inlineStr">
        <is>
          <t>🚫重复</t>
        </is>
      </c>
      <c r="R285" t="inlineStr">
        <is>
          <t>15周</t>
        </is>
      </c>
      <c r="S285" t="inlineStr">
        <is>
          <t>11.93</t>
        </is>
      </c>
      <c r="T285" t="inlineStr">
        <is>
          <t>美食滋补</t>
        </is>
      </c>
      <c r="U285" t="inlineStr">
        <is>
          <t>休闲零食</t>
        </is>
      </c>
      <c r="V285" s="3">
        <v>46124.971342592595</v>
      </c>
      <c r="W285" t="inlineStr">
        <is>
          <t>2026-Q2</t>
        </is>
      </c>
    </row>
    <row r="286" ht="25.5" customHeight="1">
      <c r="A286" t="inlineStr">
        <is>
          <t>夏季正肩显瘦基础款纯棉t恤女微胖小个子短袖</t>
        </is>
      </c>
      <c r="B286" t="inlineStr">
        <is>
          <t>__upload_recvgSimhWcPqX.jpg</t>
        </is>
      </c>
      <c r="C286" s="2" t="str">
        <f>=HYPERLINK("https://xhslink.com/m/60ytGKQsjLH", "https://xhslink.com/m/60ytGKQsjLH")</f>
        <v>https://xhslink.com/m/60ytGKQsjLH</v>
      </c>
      <c r="D286"/>
      <c r="E286">
        <v>22000</v>
      </c>
      <c r="F286">
        <v>39.9</v>
      </c>
      <c r="G286">
        <v>27.8</v>
      </c>
      <c r="H286">
        <v>900</v>
      </c>
      <c r="I286" t="inlineStr">
        <is>
          <t>短袖</t>
        </is>
      </c>
      <c r="J286" t="inlineStr">
        <is>
          <t>0.04</t>
        </is>
      </c>
      <c r="K286" t="inlineStr">
        <is>
          <t>🔥低粉爆款</t>
        </is>
      </c>
      <c r="L286" t="inlineStr">
        <is>
          <t>散步路过试衣间的店</t>
        </is>
      </c>
      <c r="M286">
        <v>2382</v>
      </c>
      <c r="N286">
        <v>4.73</v>
      </c>
      <c r="O286">
        <v>50000</v>
      </c>
      <c r="P286" t="inlineStr">
        <is>
          <t>681d635879923300016c1308</t>
        </is>
      </c>
      <c r="Q286" t="inlineStr">
        <is>
          <t>🚫重复</t>
        </is>
      </c>
      <c r="R286" t="inlineStr">
        <is>
          <t>16周</t>
        </is>
      </c>
      <c r="S286" t="inlineStr">
        <is>
          <t>9.24</t>
        </is>
      </c>
      <c r="T286" t="inlineStr">
        <is>
          <t>服饰穿搭</t>
        </is>
      </c>
      <c r="U286" t="inlineStr">
        <is>
          <t>女装</t>
        </is>
      </c>
      <c r="V286" s="3">
        <v>46127.98767361111</v>
      </c>
      <c r="W286" t="inlineStr">
        <is>
          <t>2026-Q2</t>
        </is>
      </c>
    </row>
    <row r="287" ht="25.5" customHeight="1">
      <c r="A287" t="inlineStr">
        <is>
          <t>正肩掐腰t恤女圆领灰色显身材修身棉显瘦辣妹高腰打底衫内搭上衣</t>
        </is>
      </c>
      <c r="B287" t="inlineStr">
        <is>
          <t>__upload_recvgSimhWO5KV.jpg</t>
        </is>
      </c>
      <c r="C287" s="2" t="str">
        <f>=HYPERLINK("https://xhslink.com/m/1zvMlkJMLgD", "https://xhslink.com/m/1zvMlkJMLgD")</f>
        <v>https://xhslink.com/m/1zvMlkJMLgD</v>
      </c>
      <c r="D287"/>
      <c r="E287">
        <v>91000</v>
      </c>
      <c r="F287">
        <v>29.9</v>
      </c>
      <c r="G287">
        <v>22.9</v>
      </c>
      <c r="H287">
        <v>900</v>
      </c>
      <c r="I287" t="inlineStr">
        <is>
          <t>短袖</t>
        </is>
      </c>
      <c r="J287" t="inlineStr">
        <is>
          <t>0.01</t>
        </is>
      </c>
      <c r="K287" t="inlineStr">
        <is>
          <t>🔥低粉爆款</t>
        </is>
      </c>
      <c r="L287" t="inlineStr">
        <is>
          <t>韩圆圆OVO的店</t>
        </is>
      </c>
      <c r="M287">
        <v>14000</v>
      </c>
      <c r="N287">
        <v>4.51</v>
      </c>
      <c r="O287">
        <v>351000</v>
      </c>
      <c r="P287" t="inlineStr">
        <is>
          <t>67a463cbf4d6570001b666bb</t>
        </is>
      </c>
      <c r="Q287" t="inlineStr">
        <is>
          <t>🚫重复</t>
        </is>
      </c>
      <c r="R287" t="inlineStr">
        <is>
          <t>16周</t>
        </is>
      </c>
      <c r="S287" t="inlineStr">
        <is>
          <t>6.50</t>
        </is>
      </c>
      <c r="T287" t="inlineStr">
        <is>
          <t>服饰穿搭</t>
        </is>
      </c>
      <c r="U287" t="inlineStr">
        <is>
          <t>女装</t>
        </is>
      </c>
      <c r="V287" s="3">
        <v>46127.98767361111</v>
      </c>
      <c r="W287" t="inlineStr">
        <is>
          <t>2026-Q2</t>
        </is>
      </c>
    </row>
    <row r="288" ht="25.5" customHeight="1">
      <c r="A288" t="inlineStr">
        <is>
          <t>77瑜伽健身服女紧身显瘦瑜伽服短袖圆领透气跑步运动t恤普拉提女</t>
        </is>
      </c>
      <c r="B288" t="inlineStr">
        <is>
          <t>__upload_recvgSimhWhIFO.jpg</t>
        </is>
      </c>
      <c r="C288" s="2" t="str">
        <f>=HYPERLINK("https://xhslink.com/m/6XCXID9PhFn", "https://xhslink.com/m/6XCXID9PhFn")</f>
        <v>https://xhslink.com/m/6XCXID9PhFn</v>
      </c>
      <c r="D288"/>
      <c r="E288">
        <v>21000</v>
      </c>
      <c r="F288">
        <v>39</v>
      </c>
      <c r="G288"/>
      <c r="H288">
        <v>900</v>
      </c>
      <c r="I288" t="inlineStr">
        <is>
          <t>短袖</t>
        </is>
      </c>
      <c r="J288" t="inlineStr">
        <is>
          <t>0.04</t>
        </is>
      </c>
      <c r="K288"/>
      <c r="L288" t="inlineStr">
        <is>
          <t>瑜伽少女Yoga的店</t>
        </is>
      </c>
      <c r="M288">
        <v>10000</v>
      </c>
      <c r="N288">
        <v>4.7</v>
      </c>
      <c r="O288">
        <v>263000</v>
      </c>
      <c r="P288" t="inlineStr">
        <is>
          <t>6933a69d127fb60001e8d4eb</t>
        </is>
      </c>
      <c r="Q288" t="inlineStr">
        <is>
          <t>🚫重复</t>
        </is>
      </c>
      <c r="R288" t="inlineStr">
        <is>
          <t>16周</t>
        </is>
      </c>
      <c r="S288" t="inlineStr">
        <is>
          <t>2.10</t>
        </is>
      </c>
      <c r="T288" t="inlineStr">
        <is>
          <t>运动潮玩</t>
        </is>
      </c>
      <c r="U288" t="inlineStr">
        <is>
          <t>运动户外装备</t>
        </is>
      </c>
      <c r="V288" s="3">
        <v>46127.98767361111</v>
      </c>
      <c r="W288" t="inlineStr">
        <is>
          <t>2026-Q2</t>
        </is>
      </c>
    </row>
    <row r="289" ht="25.5" customHeight="1">
      <c r="A289" t="inlineStr">
        <is>
          <t>光和手感 · 【39.5任选5款——加入购物车结算自动改价】手作代餐欧包面包</t>
        </is>
      </c>
      <c r="B289" t="inlineStr">
        <is>
          <t>__upload_recvgY7N5z7bV0.jpg</t>
        </is>
      </c>
      <c r="C289" s="2" t="str">
        <f>=HYPERLINK("https://xhslink.com/m/AoYB3QXof0l", "https://xhslink.com/m/AoYB3QXof0l")</f>
        <v>https://xhslink.com/m/AoYB3QXof0l</v>
      </c>
      <c r="D289"/>
      <c r="E289">
        <v>374000</v>
      </c>
      <c r="F289">
        <v>16.8</v>
      </c>
      <c r="G289">
        <v>6.1</v>
      </c>
      <c r="H289">
        <v>900</v>
      </c>
      <c r="I289" t="inlineStr">
        <is>
          <t>早餐面包</t>
        </is>
      </c>
      <c r="J289" t="inlineStr">
        <is>
          <t>0.00</t>
        </is>
      </c>
      <c r="K289"/>
      <c r="L289" t="inlineStr">
        <is>
          <t>光和手感的店</t>
        </is>
      </c>
      <c r="M289">
        <v>239000</v>
      </c>
      <c r="N289">
        <v>4.04</v>
      </c>
      <c r="O289">
        <v>2264000</v>
      </c>
      <c r="P289" t="inlineStr">
        <is>
          <t>64f84370f9915d00017c9327</t>
        </is>
      </c>
      <c r="Q289" t="inlineStr">
        <is>
          <t>🚫重复</t>
        </is>
      </c>
      <c r="R289" t="inlineStr">
        <is>
          <t>16周</t>
        </is>
      </c>
      <c r="S289" t="inlineStr">
        <is>
          <t>1.56</t>
        </is>
      </c>
      <c r="T289" t="inlineStr">
        <is>
          <t>美食滋补</t>
        </is>
      </c>
      <c r="U289" t="inlineStr">
        <is>
          <t>休闲零食</t>
        </is>
      </c>
      <c r="V289" s="3">
        <v>46128.98467592592</v>
      </c>
      <c r="W289" t="inlineStr">
        <is>
          <t>2026-Q2</t>
        </is>
      </c>
    </row>
    <row r="290" ht="25.5" customHeight="1">
      <c r="A290" t="inlineStr">
        <is>
          <t>【任选5个改价30元】顺丰手工贝果碱水面包代餐欧包夹心早餐健身</t>
        </is>
      </c>
      <c r="B290" t="inlineStr">
        <is>
          <t>__upload_recvgY7N5zMtBm.jpg</t>
        </is>
      </c>
      <c r="C290" s="2" t="str">
        <f>=HYPERLINK("https://xhslink.com/m/2M4lGTVbZPI", "https://xhslink.com/m/2M4lGTVbZPI")</f>
        <v>https://xhslink.com/m/2M4lGTVbZPI</v>
      </c>
      <c r="D290"/>
      <c r="E290">
        <v>297000</v>
      </c>
      <c r="F290">
        <v>20</v>
      </c>
      <c r="G290"/>
      <c r="H290">
        <v>900</v>
      </c>
      <c r="I290" t="inlineStr">
        <is>
          <t>早餐面包</t>
        </is>
      </c>
      <c r="J290" t="inlineStr">
        <is>
          <t>0.00</t>
        </is>
      </c>
      <c r="K290" t="inlineStr">
        <is>
          <t>🔥低粉爆款</t>
        </is>
      </c>
      <c r="L290" t="inlineStr">
        <is>
          <t>焙客手作的店</t>
        </is>
      </c>
      <c r="M290">
        <v>2007</v>
      </c>
      <c r="N290">
        <v>4.6</v>
      </c>
      <c r="O290">
        <v>301000</v>
      </c>
      <c r="P290" t="inlineStr">
        <is>
          <t>68ec9f17002e7e00013e3c81</t>
        </is>
      </c>
      <c r="Q290" t="inlineStr">
        <is>
          <t>🚫重复</t>
        </is>
      </c>
      <c r="R290" t="inlineStr">
        <is>
          <t>16周</t>
        </is>
      </c>
      <c r="S290" t="inlineStr">
        <is>
          <t>147.98</t>
        </is>
      </c>
      <c r="T290" t="inlineStr">
        <is>
          <t>美食滋补</t>
        </is>
      </c>
      <c r="U290" t="inlineStr">
        <is>
          <t>休闲零食</t>
        </is>
      </c>
      <c r="V290" s="3">
        <v>46128.98467592592</v>
      </c>
      <c r="W290" t="inlineStr">
        <is>
          <t>2026-Q2</t>
        </is>
      </c>
    </row>
    <row r="291" ht="25.5" customHeight="1">
      <c r="A291" t="inlineStr">
        <is>
          <t>2026春季妈妈装五分袖圆领套头针织T恤中老年女洋气宽松大码上衣</t>
        </is>
      </c>
      <c r="B291" t="inlineStr">
        <is>
          <t>__upload_recvgY7N5ziC2j.jpg</t>
        </is>
      </c>
      <c r="C291" s="2" t="str">
        <f>=HYPERLINK("https://xhslink.com/m/354Mn4IYr9C", "https://xhslink.com/m/354Mn4IYr9C")</f>
        <v>https://xhslink.com/m/354Mn4IYr9C</v>
      </c>
      <c r="D291"/>
      <c r="E291">
        <v>947</v>
      </c>
      <c r="F291">
        <v>59.9</v>
      </c>
      <c r="G291"/>
      <c r="H291">
        <v>900</v>
      </c>
      <c r="I291" t="inlineStr">
        <is>
          <t>中老年女装</t>
        </is>
      </c>
      <c r="J291" t="inlineStr">
        <is>
          <t>0.95</t>
        </is>
      </c>
      <c r="K291"/>
      <c r="L291" t="inlineStr">
        <is>
          <t>猫猫爱生活vyb的店</t>
        </is>
      </c>
      <c r="M291">
        <v>1744</v>
      </c>
      <c r="N291">
        <v>4.76</v>
      </c>
      <c r="O291">
        <v>1659</v>
      </c>
      <c r="P291" t="inlineStr">
        <is>
          <t>69cb2307a4db7c0001dddce7</t>
        </is>
      </c>
      <c r="Q291"/>
      <c r="R291" t="inlineStr">
        <is>
          <t>16周</t>
        </is>
      </c>
      <c r="S291" t="inlineStr">
        <is>
          <t>0.54</t>
        </is>
      </c>
      <c r="T291" t="inlineStr">
        <is>
          <t>服饰穿搭</t>
        </is>
      </c>
      <c r="U291" t="inlineStr">
        <is>
          <t>女装</t>
        </is>
      </c>
      <c r="V291" s="3">
        <v>46128.98467592592</v>
      </c>
      <c r="W291" t="inlineStr">
        <is>
          <t>2026-Q2</t>
        </is>
      </c>
    </row>
    <row r="292" ht="25.5" customHeight="1">
      <c r="A292" t="inlineStr">
        <is>
          <t>前3000名首单79.9元！春夏漂亮一整套镂空针织衫碎花半身裙套装女</t>
        </is>
      </c>
      <c r="B292" t="inlineStr">
        <is>
          <t>__upload_recvh9P0bm8GGf.jpg</t>
        </is>
      </c>
      <c r="C292" s="2" t="str">
        <f>=HYPERLINK("https://xhslink.com/m/qRCj2Llwmj", "https://xhslink.com/m/qRCj2Llwmj")</f>
        <v>https://xhslink.com/m/qRCj2Llwmj</v>
      </c>
      <c r="D292"/>
      <c r="E292">
        <v>3667</v>
      </c>
      <c r="F292">
        <v>129.9</v>
      </c>
      <c r="G292">
        <v>79.9</v>
      </c>
      <c r="H292">
        <v>900</v>
      </c>
      <c r="I292" t="inlineStr">
        <is>
          <t>大码吊带</t>
        </is>
      </c>
      <c r="J292" t="inlineStr">
        <is>
          <t>0.25</t>
        </is>
      </c>
      <c r="K292"/>
      <c r="L292" t="inlineStr">
        <is>
          <t>小戚宝贝的店</t>
        </is>
      </c>
      <c r="M292">
        <v>5704</v>
      </c>
      <c r="N292">
        <v>4.74</v>
      </c>
      <c r="O292">
        <v>91000</v>
      </c>
      <c r="P292" t="inlineStr">
        <is>
          <t>69ccdab09b23c90001c663bc</t>
        </is>
      </c>
      <c r="Q292" t="inlineStr">
        <is>
          <t>🚫重复</t>
        </is>
      </c>
      <c r="R292" t="inlineStr">
        <is>
          <t>16周</t>
        </is>
      </c>
      <c r="S292" t="inlineStr">
        <is>
          <t>0.64</t>
        </is>
      </c>
      <c r="T292" t="inlineStr">
        <is>
          <t>服饰穿搭</t>
        </is>
      </c>
      <c r="U292" t="inlineStr">
        <is>
          <t>女装</t>
        </is>
      </c>
      <c r="V292" s="3">
        <v>46130.98501157408</v>
      </c>
      <c r="W292" t="inlineStr">
        <is>
          <t>2026-Q2</t>
        </is>
      </c>
    </row>
    <row r="293" ht="25.5" customHeight="1">
      <c r="A293" t="inlineStr">
        <is>
          <t>韩今庄 · 百野言植 收缩毛孔粗大细腻补水保湿控油涂抹式面膜男女</t>
        </is>
      </c>
      <c r="B293" t="inlineStr">
        <is>
          <t>__upload_recvh9P0bmyxtH.jpg</t>
        </is>
      </c>
      <c r="C293" s="2" t="str">
        <f>=HYPERLINK("https://xhslink.com/m/6yDtbg0MQGl", "https://xhslink.com/m/6yDtbg0MQGl")</f>
        <v>https://xhslink.com/m/6yDtbg0MQGl</v>
      </c>
      <c r="D293"/>
      <c r="E293">
        <v>8940</v>
      </c>
      <c r="F293">
        <v>149.9</v>
      </c>
      <c r="G293"/>
      <c r="H293">
        <v>900</v>
      </c>
      <c r="I293" t="inlineStr">
        <is>
          <t>美妆</t>
        </is>
      </c>
      <c r="J293" t="inlineStr">
        <is>
          <t>0.10</t>
        </is>
      </c>
      <c r="K293"/>
      <c r="L293" t="inlineStr">
        <is>
          <t>韩今庄旗舰店</t>
        </is>
      </c>
      <c r="M293">
        <v>8326</v>
      </c>
      <c r="N293">
        <v>4.6</v>
      </c>
      <c r="O293">
        <v>97000</v>
      </c>
      <c r="P293" t="inlineStr">
        <is>
          <t>6595420d7ccfc3000155614b</t>
        </is>
      </c>
      <c r="Q293"/>
      <c r="R293" t="inlineStr">
        <is>
          <t>16周</t>
        </is>
      </c>
      <c r="S293" t="inlineStr">
        <is>
          <t>1.07</t>
        </is>
      </c>
      <c r="T293" t="inlineStr">
        <is>
          <t>美妆个护</t>
        </is>
      </c>
      <c r="U293" t="inlineStr">
        <is>
          <t>护肤彩妆</t>
        </is>
      </c>
      <c r="V293" s="3">
        <v>46130.98501157408</v>
      </c>
      <c r="W293" t="inlineStr">
        <is>
          <t>2026-Q2</t>
        </is>
      </c>
    </row>
    <row r="294" ht="25.5" customHeight="1">
      <c r="A294" t="inlineStr">
        <is>
          <t>【顺丰冷链包邮】低脂牛肉丸低碳水健身轻食潮汕小吃特产火锅丸子</t>
        </is>
      </c>
      <c r="B294" t="inlineStr">
        <is>
          <t>__upload_recvh9P0bmQUJQ.jpg</t>
        </is>
      </c>
      <c r="C294" s="2" t="str">
        <f>=HYPERLINK("https://xhslink.com/m/ADJ4GpRmXLH", "https://xhslink.com/m/ADJ4GpRmXLH")</f>
        <v>https://xhslink.com/m/ADJ4GpRmXLH</v>
      </c>
      <c r="D294"/>
      <c r="E294">
        <v>69000</v>
      </c>
      <c r="F294">
        <v>39</v>
      </c>
      <c r="G294">
        <v>24</v>
      </c>
      <c r="H294">
        <v>900</v>
      </c>
      <c r="I294" t="inlineStr">
        <is>
          <t>低热量零食</t>
        </is>
      </c>
      <c r="J294" t="inlineStr">
        <is>
          <t>0.01</t>
        </is>
      </c>
      <c r="K294" t="inlineStr">
        <is>
          <t>🔥低粉爆款</t>
        </is>
      </c>
      <c r="L294" t="inlineStr">
        <is>
          <t>牛肉丸研究所🐮的店</t>
        </is>
      </c>
      <c r="M294">
        <v>9715</v>
      </c>
      <c r="N294">
        <v>4.79</v>
      </c>
      <c r="O294">
        <v>190000</v>
      </c>
      <c r="P294" t="inlineStr">
        <is>
          <t>67f4b6242dd3d10001db6c11</t>
        </is>
      </c>
      <c r="Q294" t="inlineStr">
        <is>
          <t>🚫重复</t>
        </is>
      </c>
      <c r="R294" t="inlineStr">
        <is>
          <t>16周</t>
        </is>
      </c>
      <c r="S294" t="inlineStr">
        <is>
          <t>7.10</t>
        </is>
      </c>
      <c r="T294" t="inlineStr">
        <is>
          <t>美食滋补</t>
        </is>
      </c>
      <c r="U294" t="inlineStr">
        <is>
          <t>休闲零食</t>
        </is>
      </c>
      <c r="V294" s="3">
        <v>46130.98501157408</v>
      </c>
      <c r="W294" t="inlineStr">
        <is>
          <t>2026-Q2</t>
        </is>
      </c>
    </row>
    <row r="295" ht="25.5" customHeight="1">
      <c r="A295" t="inlineStr">
        <is>
          <t>【顺丰冷链包邮】潮汕墨鱼丸低脂食物轻食火锅丸子空气炸锅食材</t>
        </is>
      </c>
      <c r="B295" t="inlineStr">
        <is>
          <t>__upload_recvh9P0bmumkG.jpg</t>
        </is>
      </c>
      <c r="C295" s="2" t="str">
        <f>=HYPERLINK("https://xhslink.com/m/3KGhHBA0vsO", "https://xhslink.com/m/3KGhHBA0vsO")</f>
        <v>https://xhslink.com/m/3KGhHBA0vsO</v>
      </c>
      <c r="D295"/>
      <c r="E295">
        <v>117000</v>
      </c>
      <c r="F295">
        <v>34.8</v>
      </c>
      <c r="G295">
        <v>22.8</v>
      </c>
      <c r="H295">
        <v>900</v>
      </c>
      <c r="I295" t="inlineStr">
        <is>
          <t>低热量零食</t>
        </is>
      </c>
      <c r="J295" t="inlineStr">
        <is>
          <t>0.01</t>
        </is>
      </c>
      <c r="K295" t="inlineStr">
        <is>
          <t>🔥低粉爆款</t>
        </is>
      </c>
      <c r="L295" t="inlineStr">
        <is>
          <t>牛肉丸研究所🐮的店</t>
        </is>
      </c>
      <c r="M295">
        <v>9715</v>
      </c>
      <c r="N295">
        <v>4.79</v>
      </c>
      <c r="O295">
        <v>190000</v>
      </c>
      <c r="P295" t="inlineStr">
        <is>
          <t>687379316fea660001bea31d</t>
        </is>
      </c>
      <c r="Q295" t="inlineStr">
        <is>
          <t>🚫重复</t>
        </is>
      </c>
      <c r="R295" t="inlineStr">
        <is>
          <t>16周</t>
        </is>
      </c>
      <c r="S295" t="inlineStr">
        <is>
          <t>12.04</t>
        </is>
      </c>
      <c r="T295" t="inlineStr">
        <is>
          <t>美食滋补</t>
        </is>
      </c>
      <c r="U295" t="inlineStr">
        <is>
          <t>休闲零食</t>
        </is>
      </c>
      <c r="V295" s="3">
        <v>46130.98501157408</v>
      </c>
      <c r="W295" t="inlineStr">
        <is>
          <t>2026-Q2</t>
        </is>
      </c>
    </row>
    <row r="296" ht="25.5" customHeight="1">
      <c r="A296" t="inlineStr">
        <is>
          <t>日系百搭通勤袜子女堆堆袜无骨精梳棉条纹控中筒袜</t>
        </is>
      </c>
      <c r="B296" t="inlineStr">
        <is>
          <t>__upload_recvh9P0bmOOEx.jpg</t>
        </is>
      </c>
      <c r="C296" s="2" t="str">
        <f>=HYPERLINK("https://xhslink.com/m/1Fi1S7DjXxo", "https://xhslink.com/m/1Fi1S7DjXxo")</f>
        <v>https://xhslink.com/m/1Fi1S7DjXxo</v>
      </c>
      <c r="D296"/>
      <c r="E296">
        <v>24000</v>
      </c>
      <c r="F296">
        <v>16.9</v>
      </c>
      <c r="G296">
        <v>15.9</v>
      </c>
      <c r="H296">
        <v>900</v>
      </c>
      <c r="I296" t="inlineStr">
        <is>
          <t>袜子</t>
        </is>
      </c>
      <c r="J296" t="inlineStr">
        <is>
          <t>0.04</t>
        </is>
      </c>
      <c r="K296" t="inlineStr">
        <is>
          <t>🔥低粉爆款</t>
        </is>
      </c>
      <c r="L296" t="inlineStr">
        <is>
          <t>PURE SOCKS的店</t>
        </is>
      </c>
      <c r="M296">
        <v>1348</v>
      </c>
      <c r="N296">
        <v>4.67</v>
      </c>
      <c r="O296">
        <v>42000</v>
      </c>
      <c r="P296" t="inlineStr">
        <is>
          <t>68c7af34c278030001ba3da9</t>
        </is>
      </c>
      <c r="Q296"/>
      <c r="R296" t="inlineStr">
        <is>
          <t>16周</t>
        </is>
      </c>
      <c r="S296" t="inlineStr">
        <is>
          <t>17.80</t>
        </is>
      </c>
      <c r="T296" t="inlineStr">
        <is>
          <t>服饰穿搭</t>
        </is>
      </c>
      <c r="U296" t="inlineStr">
        <is>
          <t>鞋靴箱包</t>
        </is>
      </c>
      <c r="V296" s="3">
        <v>46130.98501157408</v>
      </c>
      <c r="W296" t="inlineStr">
        <is>
          <t>2026-Q2</t>
        </is>
      </c>
    </row>
    <row r="297" ht="25.5" customHeight="1">
      <c r="A297" t="inlineStr">
        <is>
          <t>六种鲜蒸即食低卡减脂粗粮组合每日杂粮代餐零添加速食早餐饱腹</t>
        </is>
      </c>
      <c r="B297" t="inlineStr">
        <is>
          <t>__upload_recvhfQmhqWutu.jpg</t>
        </is>
      </c>
      <c r="C297" s="2" t="str">
        <f>=HYPERLINK("https://xhslink.com/m/4qg759K0BFd", "https://xhslink.com/m/4qg759K0BFd")</f>
        <v>https://xhslink.com/m/4qg759K0BFd</v>
      </c>
      <c r="D297"/>
      <c r="E297">
        <v>9218</v>
      </c>
      <c r="F297">
        <v>45.9</v>
      </c>
      <c r="G297">
        <v>36.9</v>
      </c>
      <c r="H297">
        <v>900</v>
      </c>
      <c r="I297" t="inlineStr">
        <is>
          <t>早餐食品</t>
        </is>
      </c>
      <c r="J297" t="inlineStr">
        <is>
          <t>0.10</t>
        </is>
      </c>
      <c r="K297" t="inlineStr">
        <is>
          <t>🔥低粉爆款</t>
        </is>
      </c>
      <c r="L297" t="inlineStr">
        <is>
          <t>木禾食光的店</t>
        </is>
      </c>
      <c r="M297">
        <v>579</v>
      </c>
      <c r="N297">
        <v>4.57</v>
      </c>
      <c r="O297">
        <v>9746</v>
      </c>
      <c r="P297" t="inlineStr">
        <is>
          <t>69aed725befcbd00012bbf3d</t>
        </is>
      </c>
      <c r="Q297" t="inlineStr">
        <is>
          <t>🚫重复</t>
        </is>
      </c>
      <c r="R297" t="inlineStr">
        <is>
          <t>17周</t>
        </is>
      </c>
      <c r="S297" t="inlineStr">
        <is>
          <t>15.92</t>
        </is>
      </c>
      <c r="T297" t="inlineStr">
        <is>
          <t>美食滋补</t>
        </is>
      </c>
      <c r="U297" t="inlineStr">
        <is>
          <t>休闲零食</t>
        </is>
      </c>
      <c r="V297" s="3">
        <v>46132.014918981484</v>
      </c>
      <c r="W297" t="inlineStr">
        <is>
          <t>2026-Q2</t>
        </is>
      </c>
    </row>
    <row r="298" ht="25.5" customHeight="1">
      <c r="A298" t="inlineStr">
        <is>
          <t>蓝色条纹衬衫女2025春季新款polo上衣外套</t>
        </is>
      </c>
      <c r="B298" t="inlineStr">
        <is>
          <t>recvcB48ezbqAf.jpg</t>
        </is>
      </c>
      <c r="C298" s="2" t="str">
        <f>=HYPERLINK("https://xhslink.com/m/2IJMm8FbKz4", "https://xhslink.com/m/2IJMm8FbKz4")</f>
        <v>https://xhslink.com/m/2IJMm8FbKz4</v>
      </c>
      <c r="D298"/>
      <c r="E298">
        <v>55000</v>
      </c>
      <c r="F298">
        <v>69</v>
      </c>
      <c r="G298"/>
      <c r="H298">
        <v>800</v>
      </c>
      <c r="I298" t="inlineStr">
        <is>
          <t>衬衫</t>
        </is>
      </c>
      <c r="J298" t="inlineStr">
        <is>
          <t>0.01</t>
        </is>
      </c>
      <c r="K298"/>
      <c r="L298" t="inlineStr">
        <is>
          <t>奶蓝bc的店</t>
        </is>
      </c>
      <c r="M298">
        <v>19000</v>
      </c>
      <c r="N298">
        <v>4.66</v>
      </c>
      <c r="O298">
        <v>117000</v>
      </c>
      <c r="P298" t="inlineStr">
        <is>
          <t>65d4583c1e19210001c210c0</t>
        </is>
      </c>
      <c r="Q298" t="inlineStr">
        <is>
          <t>🚫重复</t>
        </is>
      </c>
      <c r="R298" t="inlineStr">
        <is>
          <t>14周</t>
        </is>
      </c>
      <c r="S298" t="inlineStr">
        <is>
          <t>2.89</t>
        </is>
      </c>
      <c r="T298" t="inlineStr">
        <is>
          <t>服饰穿搭</t>
        </is>
      </c>
      <c r="U298" t="inlineStr">
        <is>
          <t>女装</t>
        </is>
      </c>
      <c r="V298" s="3">
        <v>46112.78107638889</v>
      </c>
      <c r="W298" t="inlineStr">
        <is>
          <t>2026-Q1</t>
        </is>
      </c>
    </row>
    <row r="299" ht="25.5" customHeight="1">
      <c r="A299" t="inlineStr">
        <is>
          <t>厚底3cm帆布鞋女增高2026新款韩版学生百搭秋冬小白鞋女板鞋低帮</t>
        </is>
      </c>
      <c r="B299" t="inlineStr">
        <is>
          <t>recvcG44S02z4S.jpg</t>
        </is>
      </c>
      <c r="C299" s="2" t="str">
        <f>=HYPERLINK("https://xhslink.com/m/8hX8CA6vB8J", "https://xhslink.com/m/8hX8CA6vB8J")</f>
        <v>https://xhslink.com/m/8hX8CA6vB8J</v>
      </c>
      <c r="D299"/>
      <c r="E299">
        <v>74000</v>
      </c>
      <c r="F299">
        <v>49.8</v>
      </c>
      <c r="G299"/>
      <c r="H299">
        <v>800</v>
      </c>
      <c r="I299" t="inlineStr">
        <is>
          <t>帆布鞋</t>
        </is>
      </c>
      <c r="J299" t="inlineStr">
        <is>
          <t>0.01</t>
        </is>
      </c>
      <c r="K299" t="inlineStr">
        <is>
          <t>🔥低粉爆款</t>
        </is>
      </c>
      <c r="L299" t="inlineStr">
        <is>
          <t>vintage宝藏鞋铺的店</t>
        </is>
      </c>
      <c r="M299">
        <v>12000</v>
      </c>
      <c r="N299">
        <v>4.59</v>
      </c>
      <c r="O299">
        <v>116000</v>
      </c>
      <c r="P299" t="inlineStr">
        <is>
          <t>66d0803b912c54000166aba5</t>
        </is>
      </c>
      <c r="Q299" t="inlineStr">
        <is>
          <t>🚫重复</t>
        </is>
      </c>
      <c r="R299" t="inlineStr">
        <is>
          <t>14周</t>
        </is>
      </c>
      <c r="S299" t="inlineStr">
        <is>
          <t>6.17</t>
        </is>
      </c>
      <c r="T299" t="inlineStr">
        <is>
          <t>服饰穿搭</t>
        </is>
      </c>
      <c r="U299" t="inlineStr">
        <is>
          <t>鞋靴箱包</t>
        </is>
      </c>
      <c r="V299" s="3">
        <v>46112.78107638889</v>
      </c>
      <c r="W299" t="inlineStr">
        <is>
          <t>2026-Q1</t>
        </is>
      </c>
    </row>
    <row r="300" ht="25.5" customHeight="1">
      <c r="A300" t="inlineStr">
        <is>
          <t>调了20多次的版型！年会约会神裙！100初剪羊毛雕塑感连衣裙</t>
        </is>
      </c>
      <c r="B300" t="inlineStr">
        <is>
          <t>recvcG44S0vPGy.jpg</t>
        </is>
      </c>
      <c r="C300" s="2" t="str">
        <f>=HYPERLINK("https://xhslink.com/m/33Pkyng5A1Q", "https://xhslink.com/m/33Pkyng5A1Q")</f>
        <v>https://xhslink.com/m/33Pkyng5A1Q</v>
      </c>
      <c r="D300"/>
      <c r="E300">
        <v>2857</v>
      </c>
      <c r="F300">
        <v>899</v>
      </c>
      <c r="G300"/>
      <c r="H300">
        <v>800</v>
      </c>
      <c r="I300" t="inlineStr">
        <is>
          <t>修身连衣裙</t>
        </is>
      </c>
      <c r="J300" t="inlineStr">
        <is>
          <t>0.28</t>
        </is>
      </c>
      <c r="K300"/>
      <c r="L300" t="inlineStr">
        <is>
          <t>Shirley梨梨梨的店</t>
        </is>
      </c>
      <c r="M300">
        <v>11000</v>
      </c>
      <c r="N300">
        <v>4.63</v>
      </c>
      <c r="O300">
        <v>5553</v>
      </c>
      <c r="P300" t="inlineStr">
        <is>
          <t>6947feba8ff5d40001c4c3df</t>
        </is>
      </c>
      <c r="Q300" t="inlineStr">
        <is>
          <t>🚫重复</t>
        </is>
      </c>
      <c r="R300" t="inlineStr">
        <is>
          <t>14周</t>
        </is>
      </c>
      <c r="S300" t="inlineStr">
        <is>
          <t>0.26</t>
        </is>
      </c>
      <c r="T300" t="inlineStr">
        <is>
          <t>服饰穿搭</t>
        </is>
      </c>
      <c r="U300" t="inlineStr">
        <is>
          <t>女装</t>
        </is>
      </c>
      <c r="V300" s="3">
        <v>46112.78107638889</v>
      </c>
      <c r="W300" t="inlineStr">
        <is>
          <t>2026-Q1</t>
        </is>
      </c>
    </row>
    <row r="301" ht="25.5" customHeight="1">
      <c r="A301" t="inlineStr">
        <is>
          <t>滇品客 · 冻干咖啡速溶黑咖啡冻干颗粒美式健身</t>
        </is>
      </c>
      <c r="B301" t="inlineStr">
        <is>
          <t>recvcMzZj8V9T6.jpg</t>
        </is>
      </c>
      <c r="C301" s="2" t="str">
        <f>=HYPERLINK("https://xhslink.com/m/9XM0brgUzuc", "https://xhslink.com/m/9XM0brgUzuc")</f>
        <v>https://xhslink.com/m/9XM0brgUzuc</v>
      </c>
      <c r="D301"/>
      <c r="E301">
        <v>39000</v>
      </c>
      <c r="F301">
        <v>16.5</v>
      </c>
      <c r="G301"/>
      <c r="H301">
        <v>800</v>
      </c>
      <c r="I301" t="inlineStr">
        <is>
          <t>黑咖啡</t>
        </is>
      </c>
      <c r="J301" t="inlineStr">
        <is>
          <t>0.02</t>
        </is>
      </c>
      <c r="K301" t="inlineStr">
        <is>
          <t>🔥低粉爆款</t>
        </is>
      </c>
      <c r="L301" t="inlineStr">
        <is>
          <t>滇品客食品专营店</t>
        </is>
      </c>
      <c r="M301">
        <v>7219</v>
      </c>
      <c r="N301">
        <v>4.45</v>
      </c>
      <c r="O301">
        <v>121000</v>
      </c>
      <c r="P301" t="inlineStr">
        <is>
          <t>67f8a9ad8c17470001fed89c</t>
        </is>
      </c>
      <c r="Q301" t="inlineStr">
        <is>
          <t>🚫重复</t>
        </is>
      </c>
      <c r="R301" t="inlineStr">
        <is>
          <t>14周</t>
        </is>
      </c>
      <c r="S301" t="inlineStr">
        <is>
          <t>5.40</t>
        </is>
      </c>
      <c r="T301" t="inlineStr">
        <is>
          <t>运动潮玩</t>
        </is>
      </c>
      <c r="U301" t="inlineStr">
        <is>
          <t>运动户外装备</t>
        </is>
      </c>
      <c r="V301" s="3">
        <v>46112.78107638889</v>
      </c>
      <c r="W301" t="inlineStr">
        <is>
          <t>2026-Q1</t>
        </is>
      </c>
    </row>
    <row r="302" ht="25.5" customHeight="1">
      <c r="A302" t="inlineStr">
        <is>
          <t>infan｜ins博主休闲纯色宽边螺纹低腰短裤辣妹热裤</t>
        </is>
      </c>
      <c r="B302" t="inlineStr">
        <is>
          <t>recvdKDRQhUvRb.jpg</t>
        </is>
      </c>
      <c r="C302" s="2" t="str">
        <f>=HYPERLINK("https://xhslink.com/m/6LswQzZjZk0", "https://xhslink.com/m/6LswQzZjZk0")</f>
        <v>https://xhslink.com/m/6LswQzZjZk0</v>
      </c>
      <c r="D302"/>
      <c r="E302">
        <v>125000</v>
      </c>
      <c r="F302">
        <v>59</v>
      </c>
      <c r="G302"/>
      <c r="H302">
        <v>800</v>
      </c>
      <c r="I302" t="inlineStr">
        <is>
          <t>短裤</t>
        </is>
      </c>
      <c r="J302" t="inlineStr">
        <is>
          <t>0.01</t>
        </is>
      </c>
      <c r="K302"/>
      <c r="L302" t="inlineStr">
        <is>
          <t>infan的店</t>
        </is>
      </c>
      <c r="M302">
        <v>80000</v>
      </c>
      <c r="N302">
        <v>4.5</v>
      </c>
      <c r="O302">
        <v>629000</v>
      </c>
      <c r="P302" t="inlineStr">
        <is>
          <t>67da78c4b6efdb0001ab734c</t>
        </is>
      </c>
      <c r="Q302" t="inlineStr">
        <is>
          <t>🚫重复</t>
        </is>
      </c>
      <c r="R302" t="inlineStr">
        <is>
          <t>14周</t>
        </is>
      </c>
      <c r="S302" t="inlineStr">
        <is>
          <t>1.56</t>
        </is>
      </c>
      <c r="T302" t="inlineStr">
        <is>
          <t>服饰穿搭</t>
        </is>
      </c>
      <c r="U302" t="inlineStr">
        <is>
          <t>女装</t>
        </is>
      </c>
      <c r="V302" s="3">
        <v>46112.78107638889</v>
      </c>
      <c r="W302" t="inlineStr">
        <is>
          <t>2026-Q1</t>
        </is>
      </c>
    </row>
    <row r="303" ht="25.5" customHeight="1">
      <c r="A303" t="inlineStr">
        <is>
          <t>工装裤女美式复古百搭速干阔腿裤春夏新款垂感宽松显瘦休闲运动裤</t>
        </is>
      </c>
      <c r="B303" t="inlineStr">
        <is>
          <t>recvdKDRQhLhEa.jpg</t>
        </is>
      </c>
      <c r="C303" s="2" t="str">
        <f>=HYPERLINK("https://xhslink.com/m/69zN8WfrZN9", "https://xhslink.com/m/69zN8WfrZN9")</f>
        <v>https://xhslink.com/m/69zN8WfrZN9</v>
      </c>
      <c r="D303"/>
      <c r="E303">
        <v>187000</v>
      </c>
      <c r="F303">
        <v>69.9</v>
      </c>
      <c r="G303"/>
      <c r="H303">
        <v>800</v>
      </c>
      <c r="I303" t="inlineStr">
        <is>
          <t>工装裤子</t>
        </is>
      </c>
      <c r="J303" t="inlineStr">
        <is>
          <t>0.00</t>
        </is>
      </c>
      <c r="K303"/>
      <c r="L303" t="inlineStr">
        <is>
          <t>小鹅学姐穿搭的店的店</t>
        </is>
      </c>
      <c r="M303">
        <v>229000</v>
      </c>
      <c r="N303">
        <v>4.4</v>
      </c>
      <c r="O303">
        <v>1469000</v>
      </c>
      <c r="P303" t="inlineStr">
        <is>
          <t>67b43af5d684d70015c570db</t>
        </is>
      </c>
      <c r="Q303" t="inlineStr">
        <is>
          <t>🚫重复</t>
        </is>
      </c>
      <c r="R303" t="inlineStr">
        <is>
          <t>14周</t>
        </is>
      </c>
      <c r="S303" t="inlineStr">
        <is>
          <t>0.82</t>
        </is>
      </c>
      <c r="T303" t="inlineStr">
        <is>
          <t>服饰穿搭</t>
        </is>
      </c>
      <c r="U303" t="inlineStr">
        <is>
          <t>女装</t>
        </is>
      </c>
      <c r="V303" s="3">
        <v>46112.78107638889</v>
      </c>
      <c r="W303" t="inlineStr">
        <is>
          <t>2026-Q1</t>
        </is>
      </c>
    </row>
    <row r="304" ht="25.5" customHeight="1">
      <c r="A304" t="inlineStr">
        <is>
          <t>陕西绿心【徐香猕猴桃】放软吃当季新鲜水果</t>
        </is>
      </c>
      <c r="B304" t="inlineStr">
        <is>
          <t>recvdOJ3S2LY1s.jpg</t>
        </is>
      </c>
      <c r="C304" s="2" t="str">
        <f>=HYPERLINK("https://xhslink.com/m/8r77gyOxeOG", "https://xhslink.com/m/8r77gyOxeOG")</f>
        <v>https://xhslink.com/m/8r77gyOxeOG</v>
      </c>
      <c r="D304"/>
      <c r="E304">
        <v>599000</v>
      </c>
      <c r="F304">
        <v>14.9</v>
      </c>
      <c r="G304"/>
      <c r="H304">
        <v>800</v>
      </c>
      <c r="I304" t="inlineStr">
        <is>
          <t>水果</t>
        </is>
      </c>
      <c r="J304" t="inlineStr">
        <is>
          <t>0.00</t>
        </is>
      </c>
      <c r="K304" t="inlineStr">
        <is>
          <t>🔥低粉爆款</t>
        </is>
      </c>
      <c r="L304" t="inlineStr">
        <is>
          <t>果小乐的店</t>
        </is>
      </c>
      <c r="M304">
        <v>6471</v>
      </c>
      <c r="N304">
        <v>4.59</v>
      </c>
      <c r="O304">
        <v>1202000</v>
      </c>
      <c r="P304" t="inlineStr">
        <is>
          <t>688f1713e58d07000192b2d1</t>
        </is>
      </c>
      <c r="Q304" t="inlineStr">
        <is>
          <t>🚫重复</t>
        </is>
      </c>
      <c r="R304" t="inlineStr">
        <is>
          <t>14周</t>
        </is>
      </c>
      <c r="S304" t="inlineStr">
        <is>
          <t>92.57</t>
        </is>
      </c>
      <c r="T304" t="inlineStr">
        <is>
          <t>美食滋补</t>
        </is>
      </c>
      <c r="U304" t="inlineStr">
        <is>
          <t>生鲜特产</t>
        </is>
      </c>
      <c r="V304" s="3">
        <v>46112.78107638889</v>
      </c>
      <c r="W304" t="inlineStr">
        <is>
          <t>2026-Q1</t>
        </is>
      </c>
    </row>
    <row r="305" ht="25.5" customHeight="1">
      <c r="A305" t="inlineStr">
        <is>
          <t>丛一 2025秋季法式甜美温柔风白色蕾丝连衣裙长袖收腰气质长裙女</t>
        </is>
      </c>
      <c r="B305" t="inlineStr">
        <is>
          <t>recvdOJ3S2Q75J.jpg</t>
        </is>
      </c>
      <c r="C305" s="2" t="str">
        <f>=HYPERLINK("https://xhslink.com/m/vT5gDC0Qgf", "https://xhslink.com/m/vT5gDC0Qgf")</f>
        <v>https://xhslink.com/m/vT5gDC0Qgf</v>
      </c>
      <c r="D305"/>
      <c r="E305">
        <v>7666</v>
      </c>
      <c r="F305">
        <v>158</v>
      </c>
      <c r="G305"/>
      <c r="H305">
        <v>800</v>
      </c>
      <c r="I305" t="inlineStr">
        <is>
          <t>蕾丝连衣裙</t>
        </is>
      </c>
      <c r="J305" t="inlineStr">
        <is>
          <t>0.10</t>
        </is>
      </c>
      <c r="K305"/>
      <c r="L305" t="inlineStr">
        <is>
          <t>丛一 新中式的店</t>
        </is>
      </c>
      <c r="M305">
        <v>5963</v>
      </c>
      <c r="N305">
        <v>4.36</v>
      </c>
      <c r="O305">
        <v>42000</v>
      </c>
      <c r="P305" t="inlineStr">
        <is>
          <t>68b98a115e5b2f00011208f6</t>
        </is>
      </c>
      <c r="Q305" t="inlineStr">
        <is>
          <t>🚫重复</t>
        </is>
      </c>
      <c r="R305" t="inlineStr">
        <is>
          <t>14周</t>
        </is>
      </c>
      <c r="S305" t="inlineStr">
        <is>
          <t>1.29</t>
        </is>
      </c>
      <c r="T305" t="inlineStr">
        <is>
          <t>服饰穿搭</t>
        </is>
      </c>
      <c r="U305" t="inlineStr">
        <is>
          <t>女装</t>
        </is>
      </c>
      <c r="V305" s="3">
        <v>46112.78107638889</v>
      </c>
      <c r="W305" t="inlineStr">
        <is>
          <t>2026-Q1</t>
        </is>
      </c>
    </row>
    <row r="306" ht="25.5" customHeight="1">
      <c r="A306" t="inlineStr">
        <is>
          <t>iPureson · 【旅行装】 泊芮森水感身体油 滋养修护舒缓持久留香 换季护理油</t>
        </is>
      </c>
      <c r="B306" t="inlineStr">
        <is>
          <t>recvdRkif4Aung.jpg</t>
        </is>
      </c>
      <c r="C306" s="2" t="str">
        <f>=HYPERLINK("https://xhslink.com/m/6bQiav2xNJB", "https://xhslink.com/m/6bQiav2xNJB")</f>
        <v>https://xhslink.com/m/6bQiav2xNJB</v>
      </c>
      <c r="D306"/>
      <c r="E306">
        <v>35000</v>
      </c>
      <c r="F306">
        <v>267</v>
      </c>
      <c r="G306">
        <v>74.9</v>
      </c>
      <c r="H306">
        <v>800</v>
      </c>
      <c r="I306" t="inlineStr">
        <is>
          <t>身体护理</t>
        </is>
      </c>
      <c r="J306" t="inlineStr">
        <is>
          <t>0.02</t>
        </is>
      </c>
      <c r="K306"/>
      <c r="L306" t="inlineStr">
        <is>
          <t>iPureson旗舰店</t>
        </is>
      </c>
      <c r="M306">
        <v>22000</v>
      </c>
      <c r="N306">
        <v>4.54</v>
      </c>
      <c r="O306">
        <v>44000</v>
      </c>
      <c r="P306" t="inlineStr">
        <is>
          <t>698abe89ab9b880001252491</t>
        </is>
      </c>
      <c r="Q306" t="inlineStr">
        <is>
          <t>🚫重复</t>
        </is>
      </c>
      <c r="R306" t="inlineStr">
        <is>
          <t>14周</t>
        </is>
      </c>
      <c r="S306" t="inlineStr">
        <is>
          <t>1.59</t>
        </is>
      </c>
      <c r="T306" t="inlineStr">
        <is>
          <t>运动潮玩</t>
        </is>
      </c>
      <c r="U306" t="inlineStr">
        <is>
          <t>旅行出行</t>
        </is>
      </c>
      <c r="V306" s="3">
        <v>46112.78107638889</v>
      </c>
      <c r="W306" t="inlineStr">
        <is>
          <t>2026-Q1</t>
        </is>
      </c>
    </row>
    <row r="307" ht="25.5" customHeight="1">
      <c r="A307" t="inlineStr">
        <is>
          <t>陕西绿心【徐香猕猴桃】放软吃当季新鲜水果</t>
        </is>
      </c>
      <c r="B307" t="inlineStr">
        <is>
          <t>recvdUhmda3hKX.jpg</t>
        </is>
      </c>
      <c r="C307" s="2" t="str">
        <f>=HYPERLINK("https://xhslink.com/m/4iYXBeUQZeJ", "https://xhslink.com/m/4iYXBeUQZeJ")</f>
        <v>https://xhslink.com/m/4iYXBeUQZeJ</v>
      </c>
      <c r="D307"/>
      <c r="E307">
        <v>599000</v>
      </c>
      <c r="F307">
        <v>11.9</v>
      </c>
      <c r="G307"/>
      <c r="H307">
        <v>800</v>
      </c>
      <c r="I307" t="inlineStr">
        <is>
          <t>夏季水果</t>
        </is>
      </c>
      <c r="J307" t="inlineStr">
        <is>
          <t>0.00</t>
        </is>
      </c>
      <c r="K307" t="inlineStr">
        <is>
          <t>🔥低粉爆款</t>
        </is>
      </c>
      <c r="L307" t="inlineStr">
        <is>
          <t>果小乐的店</t>
        </is>
      </c>
      <c r="M307">
        <v>6480</v>
      </c>
      <c r="N307">
        <v>4.59</v>
      </c>
      <c r="O307">
        <v>1205000</v>
      </c>
      <c r="P307" t="inlineStr">
        <is>
          <t>688f1713e58d07000192b2ce</t>
        </is>
      </c>
      <c r="Q307" t="inlineStr">
        <is>
          <t>🚫重复</t>
        </is>
      </c>
      <c r="R307" t="inlineStr">
        <is>
          <t>14周</t>
        </is>
      </c>
      <c r="S307" t="inlineStr">
        <is>
          <t>92.44</t>
        </is>
      </c>
      <c r="T307" t="inlineStr">
        <is>
          <t>美食滋补</t>
        </is>
      </c>
      <c r="U307" t="inlineStr">
        <is>
          <t>生鲜特产</t>
        </is>
      </c>
      <c r="V307" s="3">
        <v>46112.78107638889</v>
      </c>
      <c r="W307" t="inlineStr">
        <is>
          <t>2026-Q1</t>
        </is>
      </c>
    </row>
    <row r="308" ht="25.5" customHeight="1">
      <c r="A308" t="inlineStr">
        <is>
          <t>牛奶凤梨释迦果新鲜热带水果现摘现发软糯香甜香甜佛头果</t>
        </is>
      </c>
      <c r="B308" t="inlineStr">
        <is>
          <t>recvdUhmdaLzlD.jpg</t>
        </is>
      </c>
      <c r="C308" s="2" t="str">
        <f>=HYPERLINK("https://xhslink.com/m/3XlfVrpQuGU", "https://xhslink.com/m/3XlfVrpQuGU")</f>
        <v>https://xhslink.com/m/3XlfVrpQuGU</v>
      </c>
      <c r="D308"/>
      <c r="E308">
        <v>14000</v>
      </c>
      <c r="F308">
        <v>20.8</v>
      </c>
      <c r="G308">
        <v>9.8</v>
      </c>
      <c r="H308">
        <v>800</v>
      </c>
      <c r="I308" t="inlineStr">
        <is>
          <t>夏季水果</t>
        </is>
      </c>
      <c r="J308" t="inlineStr">
        <is>
          <t>0.06</t>
        </is>
      </c>
      <c r="K308" t="inlineStr">
        <is>
          <t>🔥低粉爆款</t>
        </is>
      </c>
      <c r="L308" t="inlineStr">
        <is>
          <t>释迦心事的店</t>
        </is>
      </c>
      <c r="M308">
        <v>157</v>
      </c>
      <c r="N308">
        <v>4.58</v>
      </c>
      <c r="O308">
        <v>16000</v>
      </c>
      <c r="P308" t="inlineStr">
        <is>
          <t>6976dba9f5bc34000149ae30</t>
        </is>
      </c>
      <c r="Q308"/>
      <c r="R308" t="inlineStr">
        <is>
          <t>14周</t>
        </is>
      </c>
      <c r="S308" t="inlineStr">
        <is>
          <t>89.17</t>
        </is>
      </c>
      <c r="T308" t="inlineStr">
        <is>
          <t>美食滋补</t>
        </is>
      </c>
      <c r="U308" t="inlineStr">
        <is>
          <t>酒水冲饮</t>
        </is>
      </c>
      <c r="V308" s="3">
        <v>46112.78107638889</v>
      </c>
      <c r="W308" t="inlineStr">
        <is>
          <t>2026-Q1</t>
        </is>
      </c>
    </row>
    <row r="309" ht="25.5" customHeight="1">
      <c r="A309" t="inlineStr">
        <is>
          <t>显瘦舒服的春秋裤子垂坠感铜氨丝阔腿裤通勤小个子加绒莫代尔神裤</t>
        </is>
      </c>
      <c r="B309" t="inlineStr">
        <is>
          <t>recveckoIEhSfA.jpg</t>
        </is>
      </c>
      <c r="C309" s="2" t="str">
        <f>=HYPERLINK("https://xhslink.com/m/AJSK6eF1KPI", "https://xhslink.com/m/AJSK6eF1KPI")</f>
        <v>https://xhslink.com/m/AJSK6eF1KPI</v>
      </c>
      <c r="D309"/>
      <c r="E309">
        <v>32000</v>
      </c>
      <c r="F309">
        <v>158</v>
      </c>
      <c r="G309"/>
      <c r="H309">
        <v>800</v>
      </c>
      <c r="I309" t="inlineStr">
        <is>
          <t>女裤</t>
        </is>
      </c>
      <c r="J309" t="inlineStr">
        <is>
          <t>0.03</t>
        </is>
      </c>
      <c r="K309" t="inlineStr">
        <is>
          <t>🔥低粉爆款</t>
        </is>
      </c>
      <c r="L309" t="inlineStr">
        <is>
          <t>绮思 Studio的店</t>
        </is>
      </c>
      <c r="M309">
        <v>1281</v>
      </c>
      <c r="N309">
        <v>4.63</v>
      </c>
      <c r="O309">
        <v>34000</v>
      </c>
      <c r="P309" t="inlineStr">
        <is>
          <t>66e0685a6837ef00016cba41</t>
        </is>
      </c>
      <c r="Q309" t="inlineStr">
        <is>
          <t>🚫重复</t>
        </is>
      </c>
      <c r="R309" t="inlineStr">
        <is>
          <t>14周</t>
        </is>
      </c>
      <c r="S309" t="inlineStr">
        <is>
          <t>24.98</t>
        </is>
      </c>
      <c r="T309" t="inlineStr">
        <is>
          <t>服饰穿搭</t>
        </is>
      </c>
      <c r="U309" t="inlineStr">
        <is>
          <t>女装</t>
        </is>
      </c>
      <c r="V309" s="3">
        <v>46112.78107638889</v>
      </c>
      <c r="W309" t="inlineStr">
        <is>
          <t>2026-Q1</t>
        </is>
      </c>
    </row>
    <row r="310" ht="25.5" customHeight="1">
      <c r="A310" t="inlineStr">
        <is>
          <t>infan 四色可选～纸片人上衣修身显瘦长袖T恤7621</t>
        </is>
      </c>
      <c r="B310" t="inlineStr">
        <is>
          <t>recved8o2DKviy.jpg</t>
        </is>
      </c>
      <c r="C310" s="2" t="str">
        <f>=HYPERLINK("https://xhslink.com/m/tJHG7ukxR5", "https://xhslink.com/m/tJHG7ukxR5")</f>
        <v>https://xhslink.com/m/tJHG7ukxR5</v>
      </c>
      <c r="D310"/>
      <c r="E310">
        <v>107000</v>
      </c>
      <c r="F310">
        <v>59</v>
      </c>
      <c r="G310"/>
      <c r="H310">
        <v>800</v>
      </c>
      <c r="I310" t="inlineStr">
        <is>
          <t>T恤</t>
        </is>
      </c>
      <c r="J310" t="inlineStr">
        <is>
          <t>0.01</t>
        </is>
      </c>
      <c r="K310"/>
      <c r="L310" t="inlineStr">
        <is>
          <t>infan的店</t>
        </is>
      </c>
      <c r="M310">
        <v>80000</v>
      </c>
      <c r="N310">
        <v>4.48</v>
      </c>
      <c r="O310">
        <v>633000</v>
      </c>
      <c r="P310" t="inlineStr">
        <is>
          <t>669fddfc4ce24000011ca153</t>
        </is>
      </c>
      <c r="Q310" t="inlineStr">
        <is>
          <t>🚫重复</t>
        </is>
      </c>
      <c r="R310" t="inlineStr">
        <is>
          <t>14周</t>
        </is>
      </c>
      <c r="S310" t="inlineStr">
        <is>
          <t>1.34</t>
        </is>
      </c>
      <c r="T310" t="inlineStr">
        <is>
          <t>服饰穿搭</t>
        </is>
      </c>
      <c r="U310" t="inlineStr">
        <is>
          <t>女装</t>
        </is>
      </c>
      <c r="V310" s="3">
        <v>46112.78107638889</v>
      </c>
      <c r="W310" t="inlineStr">
        <is>
          <t>2026-Q1</t>
        </is>
      </c>
    </row>
    <row r="311" ht="25.5" customHeight="1">
      <c r="A311" t="inlineStr">
        <is>
          <t>【前30000单立减30】BM风春夏新品定制棉质素调慵懒宽松内搭背心</t>
        </is>
      </c>
      <c r="B311" t="inlineStr">
        <is>
          <t>recved8o2DcdG5.jpg</t>
        </is>
      </c>
      <c r="C311" s="2" t="str">
        <f>=HYPERLINK("https://xhslink.com/m/5VVawKVZib6", "https://xhslink.com/m/5VVawKVZib6")</f>
        <v>https://xhslink.com/m/5VVawKVZib6</v>
      </c>
      <c r="D311"/>
      <c r="E311">
        <v>34000</v>
      </c>
      <c r="F311">
        <v>59.9</v>
      </c>
      <c r="G311">
        <v>29.9</v>
      </c>
      <c r="H311">
        <v>800</v>
      </c>
      <c r="I311" t="inlineStr">
        <is>
          <t>背心吊带</t>
        </is>
      </c>
      <c r="J311" t="inlineStr">
        <is>
          <t>0.02</t>
        </is>
      </c>
      <c r="K311"/>
      <c r="L311" t="inlineStr">
        <is>
          <t>小野栀栀的店</t>
        </is>
      </c>
      <c r="M311">
        <v>25000</v>
      </c>
      <c r="N311">
        <v>4.57</v>
      </c>
      <c r="O311">
        <v>487000</v>
      </c>
      <c r="P311" t="inlineStr">
        <is>
          <t>67c1297ecb5e420001542252</t>
        </is>
      </c>
      <c r="Q311" t="inlineStr">
        <is>
          <t>🚫重复</t>
        </is>
      </c>
      <c r="R311" t="inlineStr">
        <is>
          <t>14周</t>
        </is>
      </c>
      <c r="S311" t="inlineStr">
        <is>
          <t>1.36</t>
        </is>
      </c>
      <c r="T311" t="inlineStr">
        <is>
          <t>服饰穿搭</t>
        </is>
      </c>
      <c r="U311" t="inlineStr">
        <is>
          <t>女装</t>
        </is>
      </c>
      <c r="V311" s="3">
        <v>46112.78107638889</v>
      </c>
      <c r="W311" t="inlineStr">
        <is>
          <t>2026-Q1</t>
        </is>
      </c>
    </row>
    <row r="312" ht="25.5" customHeight="1">
      <c r="A312" t="inlineStr">
        <is>
          <t>【前30000单立减30】BM风春夏新品定制棉质素调慵懒宽松内搭背心</t>
        </is>
      </c>
      <c r="B312" t="inlineStr">
        <is>
          <t>recved8o2DYmbk.jpg</t>
        </is>
      </c>
      <c r="C312" s="2" t="str">
        <f>=HYPERLINK("https://xhslink.com/m/AbadkH05VTh", "https://xhslink.com/m/AbadkH05VTh")</f>
        <v>https://xhslink.com/m/AbadkH05VTh</v>
      </c>
      <c r="D312"/>
      <c r="E312">
        <v>34000</v>
      </c>
      <c r="F312">
        <v>59.9</v>
      </c>
      <c r="G312">
        <v>29.9</v>
      </c>
      <c r="H312">
        <v>800</v>
      </c>
      <c r="I312" t="inlineStr">
        <is>
          <t>吊带内搭</t>
        </is>
      </c>
      <c r="J312" t="inlineStr">
        <is>
          <t>0.02</t>
        </is>
      </c>
      <c r="K312"/>
      <c r="L312" t="inlineStr">
        <is>
          <t>小野栀栀的店</t>
        </is>
      </c>
      <c r="M312">
        <v>25000</v>
      </c>
      <c r="N312">
        <v>4.57</v>
      </c>
      <c r="O312">
        <v>487000</v>
      </c>
      <c r="P312" t="inlineStr">
        <is>
          <t>67af1f27d61c3f0015f7aaf7</t>
        </is>
      </c>
      <c r="Q312" t="inlineStr">
        <is>
          <t>🚫重复</t>
        </is>
      </c>
      <c r="R312" t="inlineStr">
        <is>
          <t>14周</t>
        </is>
      </c>
      <c r="S312" t="inlineStr">
        <is>
          <t>1.36</t>
        </is>
      </c>
      <c r="T312" t="inlineStr">
        <is>
          <t>服饰穿搭</t>
        </is>
      </c>
      <c r="U312" t="inlineStr">
        <is>
          <t>女装</t>
        </is>
      </c>
      <c r="V312" s="3">
        <v>46112.78107638889</v>
      </c>
      <c r="W312" t="inlineStr">
        <is>
          <t>2026-Q1</t>
        </is>
      </c>
    </row>
    <row r="313" ht="25.5" customHeight="1">
      <c r="A313" t="inlineStr">
        <is>
          <t>【现货】小陪伴猫猫日常盲盒办公室桌面摆件可爱女生生日礼物</t>
        </is>
      </c>
      <c r="B313" t="inlineStr">
        <is>
          <t>recvei9USZ0hUM.jpg</t>
        </is>
      </c>
      <c r="C313" s="2" t="str">
        <f>=HYPERLINK("https://xhslink.com/m/9j1TEktufDy", "https://xhslink.com/m/9j1TEktufDy")</f>
        <v>https://xhslink.com/m/9j1TEktufDy</v>
      </c>
      <c r="D313"/>
      <c r="E313">
        <v>51000</v>
      </c>
      <c r="F313">
        <v>21.8</v>
      </c>
      <c r="G313"/>
      <c r="H313">
        <v>800</v>
      </c>
      <c r="I313" t="inlineStr">
        <is>
          <t>小摆件</t>
        </is>
      </c>
      <c r="J313" t="inlineStr">
        <is>
          <t>0.02</t>
        </is>
      </c>
      <c r="K313" t="inlineStr">
        <is>
          <t>🔥低粉爆款</t>
        </is>
      </c>
      <c r="L313" t="inlineStr">
        <is>
          <t>咪咪使者的店</t>
        </is>
      </c>
      <c r="M313">
        <v>7225</v>
      </c>
      <c r="N313">
        <v>4.65</v>
      </c>
      <c r="O313">
        <v>67000</v>
      </c>
      <c r="P313" t="inlineStr">
        <is>
          <t>6935469dd2786f0001e9adaa</t>
        </is>
      </c>
      <c r="Q313" t="inlineStr">
        <is>
          <t>🚫重复</t>
        </is>
      </c>
      <c r="R313" t="inlineStr">
        <is>
          <t>14周</t>
        </is>
      </c>
      <c r="S313" t="inlineStr">
        <is>
          <t>7.06</t>
        </is>
      </c>
      <c r="T313" t="inlineStr">
        <is>
          <t>家居生活</t>
        </is>
      </c>
      <c r="U313" t="inlineStr">
        <is>
          <t>家具家装</t>
        </is>
      </c>
      <c r="V313" s="3">
        <v>46112.78107638889</v>
      </c>
      <c r="W313" t="inlineStr">
        <is>
          <t>2026-Q1</t>
        </is>
      </c>
    </row>
    <row r="314" ht="25.5" customHeight="1">
      <c r="A314" t="inlineStr">
        <is>
          <t>【现货】小陪伴猫猫日常盲盒办公室桌面摆件可爱女生生日礼物</t>
        </is>
      </c>
      <c r="B314" t="inlineStr">
        <is>
          <t>recvei9USZLUky.jpg</t>
        </is>
      </c>
      <c r="C314" s="2" t="str">
        <f>=HYPERLINK("https://xhslink.com/m/73NFATkn8Ke", "https://xhslink.com/m/73NFATkn8Ke")</f>
        <v>https://xhslink.com/m/73NFATkn8Ke</v>
      </c>
      <c r="D314"/>
      <c r="E314">
        <v>51000</v>
      </c>
      <c r="F314">
        <v>20</v>
      </c>
      <c r="G314">
        <v>14.9</v>
      </c>
      <c r="H314">
        <v>800</v>
      </c>
      <c r="I314" t="inlineStr">
        <is>
          <t>小摆件</t>
        </is>
      </c>
      <c r="J314" t="inlineStr">
        <is>
          <t>0.02</t>
        </is>
      </c>
      <c r="K314" t="inlineStr">
        <is>
          <t>🔥低粉爆款</t>
        </is>
      </c>
      <c r="L314" t="inlineStr">
        <is>
          <t>咪咪使者的店</t>
        </is>
      </c>
      <c r="M314">
        <v>7225</v>
      </c>
      <c r="N314">
        <v>4.65</v>
      </c>
      <c r="O314">
        <v>67000</v>
      </c>
      <c r="P314" t="inlineStr">
        <is>
          <t>6934fd4f63db6a001525e443</t>
        </is>
      </c>
      <c r="Q314" t="inlineStr">
        <is>
          <t>🚫重复</t>
        </is>
      </c>
      <c r="R314" t="inlineStr">
        <is>
          <t>14周</t>
        </is>
      </c>
      <c r="S314" t="inlineStr">
        <is>
          <t>7.06</t>
        </is>
      </c>
      <c r="T314" t="inlineStr">
        <is>
          <t>家居生活</t>
        </is>
      </c>
      <c r="U314" t="inlineStr">
        <is>
          <t>家具家装</t>
        </is>
      </c>
      <c r="V314" s="3">
        <v>46112.78107638889</v>
      </c>
      <c r="W314" t="inlineStr">
        <is>
          <t>2026-Q1</t>
        </is>
      </c>
    </row>
    <row r="315" ht="25.5" customHeight="1">
      <c r="A315" t="inlineStr">
        <is>
          <t>日系230g重磅纯棉男女同款短袖T恤圆领百搭正肩上衣纯色半袖t恤</t>
        </is>
      </c>
      <c r="B315" t="inlineStr">
        <is>
          <t>recveqrflnjFbd.jpg</t>
        </is>
      </c>
      <c r="C315" s="2" t="str">
        <f>=HYPERLINK("https://xhslink.com/m/4SAYVH5BIgX", "https://xhslink.com/m/4SAYVH5BIgX")</f>
        <v>https://xhslink.com/m/4SAYVH5BIgX</v>
      </c>
      <c r="D315"/>
      <c r="E315">
        <v>46000</v>
      </c>
      <c r="F315">
        <v>23.8</v>
      </c>
      <c r="G315"/>
      <c r="H315">
        <v>800</v>
      </c>
      <c r="I315" t="inlineStr">
        <is>
          <t>T恤</t>
        </is>
      </c>
      <c r="J315" t="inlineStr">
        <is>
          <t>0.02</t>
        </is>
      </c>
      <c r="K315" t="inlineStr">
        <is>
          <t>🔥低粉爆款</t>
        </is>
      </c>
      <c r="L315" t="inlineStr">
        <is>
          <t>快乐不打烊的店</t>
        </is>
      </c>
      <c r="M315">
        <v>7626</v>
      </c>
      <c r="N315">
        <v>4.56</v>
      </c>
      <c r="O315">
        <v>125000</v>
      </c>
      <c r="P315" t="inlineStr">
        <is>
          <t>65fe897686208c000161a97d</t>
        </is>
      </c>
      <c r="Q315"/>
      <c r="R315" t="inlineStr">
        <is>
          <t>14周</t>
        </is>
      </c>
      <c r="S315" t="inlineStr">
        <is>
          <t>6.03</t>
        </is>
      </c>
      <c r="T315" t="inlineStr">
        <is>
          <t>服饰穿搭</t>
        </is>
      </c>
      <c r="U315" t="inlineStr">
        <is>
          <t>女装</t>
        </is>
      </c>
      <c r="V315" s="3">
        <v>46112.78107638889</v>
      </c>
      <c r="W315" t="inlineStr">
        <is>
          <t>2026-Q1</t>
        </is>
      </c>
    </row>
    <row r="316" ht="25.5" customHeight="1">
      <c r="A316" t="inlineStr">
        <is>
          <t>【无字·吃我一番茄·落肩短袖】印花宽松纯棉早春百搭男女同款上衣</t>
        </is>
      </c>
      <c r="B316" t="inlineStr">
        <is>
          <t>recveqrflnq4fk.jpg</t>
        </is>
      </c>
      <c r="C316" s="2" t="str">
        <f>=HYPERLINK("https://xhslink.com/m/6mSBaerZotv", "https://xhslink.com/m/6mSBaerZotv")</f>
        <v>https://xhslink.com/m/6mSBaerZotv</v>
      </c>
      <c r="D316"/>
      <c r="E316">
        <v>1447</v>
      </c>
      <c r="F316">
        <v>38.9</v>
      </c>
      <c r="G316">
        <v>34.23</v>
      </c>
      <c r="H316">
        <v>800</v>
      </c>
      <c r="I316" t="inlineStr">
        <is>
          <t>T恤</t>
        </is>
      </c>
      <c r="J316" t="inlineStr">
        <is>
          <t>0.55</t>
        </is>
      </c>
      <c r="K316"/>
      <c r="L316" t="inlineStr">
        <is>
          <t>小Y手绘衣坊的店</t>
        </is>
      </c>
      <c r="M316">
        <v>768</v>
      </c>
      <c r="N316">
        <v>4.76</v>
      </c>
      <c r="O316">
        <v>7041</v>
      </c>
      <c r="P316" t="inlineStr">
        <is>
          <t>699fb654b90bc500016eea9d</t>
        </is>
      </c>
      <c r="Q316" t="inlineStr">
        <is>
          <t>🚫重复</t>
        </is>
      </c>
      <c r="R316" t="inlineStr">
        <is>
          <t>14周</t>
        </is>
      </c>
      <c r="S316" t="inlineStr">
        <is>
          <t>1.88</t>
        </is>
      </c>
      <c r="T316" t="inlineStr">
        <is>
          <t>服饰穿搭</t>
        </is>
      </c>
      <c r="U316" t="inlineStr">
        <is>
          <t>女装</t>
        </is>
      </c>
      <c r="V316" s="3">
        <v>46112.78107638889</v>
      </c>
      <c r="W316" t="inlineStr">
        <is>
          <t>2026-Q1</t>
        </is>
      </c>
    </row>
    <row r="317" ht="25.5" customHeight="1">
      <c r="A317" t="inlineStr">
        <is>
          <t>小个子梨形身材美式复古宽松阔腿裤设计感口袋百搭显瘦弯刀牛仔裤</t>
        </is>
      </c>
      <c r="B317" t="inlineStr">
        <is>
          <t>recveqrflnt9Da.jpg</t>
        </is>
      </c>
      <c r="C317" s="2" t="str">
        <f>=HYPERLINK("https://xhslink.com/m/AYf3dzl8QYt", "https://xhslink.com/m/AYf3dzl8QYt")</f>
        <v>https://xhslink.com/m/AYf3dzl8QYt</v>
      </c>
      <c r="D317"/>
      <c r="E317">
        <v>33000</v>
      </c>
      <c r="F317">
        <v>218</v>
      </c>
      <c r="G317">
        <v>98</v>
      </c>
      <c r="H317">
        <v>800</v>
      </c>
      <c r="I317" t="inlineStr">
        <is>
          <t>阔腿裤</t>
        </is>
      </c>
      <c r="J317" t="inlineStr">
        <is>
          <t>0.02</t>
        </is>
      </c>
      <c r="K317" t="inlineStr">
        <is>
          <t>🔥低粉爆款</t>
        </is>
      </c>
      <c r="L317" t="inlineStr">
        <is>
          <t>郑源源的店</t>
        </is>
      </c>
      <c r="M317">
        <v>735</v>
      </c>
      <c r="N317">
        <v>4.62</v>
      </c>
      <c r="O317">
        <v>40000</v>
      </c>
      <c r="P317" t="inlineStr">
        <is>
          <t>68d93b30d3eed20001e96428</t>
        </is>
      </c>
      <c r="Q317" t="inlineStr">
        <is>
          <t>🚫重复</t>
        </is>
      </c>
      <c r="R317" t="inlineStr">
        <is>
          <t>14周</t>
        </is>
      </c>
      <c r="S317" t="inlineStr">
        <is>
          <t>44.90</t>
        </is>
      </c>
      <c r="T317" t="inlineStr">
        <is>
          <t>服饰穿搭</t>
        </is>
      </c>
      <c r="U317" t="inlineStr">
        <is>
          <t>女装</t>
        </is>
      </c>
      <c r="V317" s="3">
        <v>46112.78107638889</v>
      </c>
      <c r="W317" t="inlineStr">
        <is>
          <t>2026-Q1</t>
        </is>
      </c>
    </row>
    <row r="318" ht="25.5" customHeight="1">
      <c r="A318" t="inlineStr">
        <is>
          <t>轻便双肩包女大学生高中韩版迷你包包旅行电脑背包通勤包袋小书包</t>
        </is>
      </c>
      <c r="B318" t="inlineStr">
        <is>
          <t>recveqrflnME7O.jpg</t>
        </is>
      </c>
      <c r="C318" s="2" t="str">
        <f>=HYPERLINK("https://xhslink.com/m/5KRwmjKBmy1", "https://xhslink.com/m/5KRwmjKBmy1")</f>
        <v>https://xhslink.com/m/5KRwmjKBmy1</v>
      </c>
      <c r="D318"/>
      <c r="E318">
        <v>8416</v>
      </c>
      <c r="F318">
        <v>65.9</v>
      </c>
      <c r="G318"/>
      <c r="H318">
        <v>800</v>
      </c>
      <c r="I318" t="inlineStr">
        <is>
          <t>包包</t>
        </is>
      </c>
      <c r="J318" t="inlineStr">
        <is>
          <t>0.10</t>
        </is>
      </c>
      <c r="K318" t="inlineStr">
        <is>
          <t>🔥低粉爆款</t>
        </is>
      </c>
      <c r="L318" t="inlineStr">
        <is>
          <t>甜妹旅行的店</t>
        </is>
      </c>
      <c r="M318">
        <v>1165</v>
      </c>
      <c r="N318">
        <v>4.71</v>
      </c>
      <c r="O318">
        <v>8858</v>
      </c>
      <c r="P318" t="inlineStr">
        <is>
          <t>695dd24b733c060001a1fb90</t>
        </is>
      </c>
      <c r="Q318" t="inlineStr">
        <is>
          <t>🚫重复</t>
        </is>
      </c>
      <c r="R318" t="inlineStr">
        <is>
          <t>14周</t>
        </is>
      </c>
      <c r="S318" t="inlineStr">
        <is>
          <t>7.22</t>
        </is>
      </c>
      <c r="T318" t="inlineStr">
        <is>
          <t>服饰穿搭</t>
        </is>
      </c>
      <c r="U318" t="inlineStr">
        <is>
          <t>鞋靴箱包</t>
        </is>
      </c>
      <c r="V318" s="3">
        <v>46112.78107638889</v>
      </c>
      <c r="W318" t="inlineStr">
        <is>
          <t>2026-Q1</t>
        </is>
      </c>
    </row>
    <row r="319" ht="25.5" customHeight="1">
      <c r="A319" t="inlineStr">
        <is>
          <t>阿搭 · 复古水洗蓝牛仔裤春夏季美式高街低腰宽松直筒拖地裤长裤</t>
        </is>
      </c>
      <c r="B319" t="inlineStr">
        <is>
          <t>recveKOBkWDCpm.jpg</t>
        </is>
      </c>
      <c r="C319" s="2" t="str">
        <f>=HYPERLINK("https://xhslink.com/m/2LFX3hWsKDO", "https://xhslink.com/m/2LFX3hWsKDO")</f>
        <v>https://xhslink.com/m/2LFX3hWsKDO</v>
      </c>
      <c r="D319"/>
      <c r="E319">
        <v>25000</v>
      </c>
      <c r="F319">
        <v>110</v>
      </c>
      <c r="G319">
        <v>99</v>
      </c>
      <c r="H319">
        <v>800</v>
      </c>
      <c r="I319" t="inlineStr">
        <is>
          <t>牛仔裤</t>
        </is>
      </c>
      <c r="J319" t="inlineStr">
        <is>
          <t>0.03</t>
        </is>
      </c>
      <c r="K319" t="inlineStr">
        <is>
          <t>🔥低粉爆款</t>
        </is>
      </c>
      <c r="L319" t="inlineStr">
        <is>
          <t>阿搭阿搭的店</t>
        </is>
      </c>
      <c r="M319">
        <v>4153</v>
      </c>
      <c r="N319">
        <v>4.52</v>
      </c>
      <c r="O319">
        <v>32000</v>
      </c>
      <c r="P319" t="inlineStr">
        <is>
          <t>6867e664a57c68000175742b</t>
        </is>
      </c>
      <c r="Q319" t="inlineStr">
        <is>
          <t>🚫重复</t>
        </is>
      </c>
      <c r="R319" t="inlineStr">
        <is>
          <t>14周</t>
        </is>
      </c>
      <c r="S319" t="inlineStr">
        <is>
          <t>6.02</t>
        </is>
      </c>
      <c r="T319" t="inlineStr">
        <is>
          <t>服饰穿搭</t>
        </is>
      </c>
      <c r="U319" t="inlineStr">
        <is>
          <t>女装</t>
        </is>
      </c>
      <c r="V319" s="3">
        <v>46112.78107638889</v>
      </c>
      <c r="W319" t="inlineStr">
        <is>
          <t>2026-Q1</t>
        </is>
      </c>
    </row>
    <row r="320" ht="25.5" customHeight="1">
      <c r="A320" t="inlineStr">
        <is>
          <t>【摩天轮】浅蓝色阔腿牛仔裤女春季2025年新款宽松垂感拖地显瘦夏</t>
        </is>
      </c>
      <c r="B320" t="inlineStr">
        <is>
          <t>recveKOBkWbGIP.jpg</t>
        </is>
      </c>
      <c r="C320" s="2" t="str">
        <f>=HYPERLINK("https://xhslink.com/m/7Gbs2t5yEZE", "https://xhslink.com/m/7Gbs2t5yEZE")</f>
        <v>https://xhslink.com/m/7Gbs2t5yEZE</v>
      </c>
      <c r="D320"/>
      <c r="E320">
        <v>97000</v>
      </c>
      <c r="F320">
        <v>89.9</v>
      </c>
      <c r="G320">
        <v>79.9</v>
      </c>
      <c r="H320">
        <v>800</v>
      </c>
      <c r="I320" t="inlineStr">
        <is>
          <t>牛仔裤</t>
        </is>
      </c>
      <c r="J320" t="inlineStr">
        <is>
          <t>0.01</t>
        </is>
      </c>
      <c r="K320" t="inlineStr">
        <is>
          <t>🔥低粉爆款</t>
        </is>
      </c>
      <c r="L320" t="inlineStr">
        <is>
          <t>苏玥玥小个子穿搭的店</t>
        </is>
      </c>
      <c r="M320">
        <v>9654</v>
      </c>
      <c r="N320">
        <v>4.62</v>
      </c>
      <c r="O320">
        <v>127000</v>
      </c>
      <c r="P320" t="inlineStr">
        <is>
          <t>66013a3896b9a10001438416</t>
        </is>
      </c>
      <c r="Q320" t="inlineStr">
        <is>
          <t>🚫重复</t>
        </is>
      </c>
      <c r="R320" t="inlineStr">
        <is>
          <t>14周</t>
        </is>
      </c>
      <c r="S320" t="inlineStr">
        <is>
          <t>10.05</t>
        </is>
      </c>
      <c r="T320" t="inlineStr">
        <is>
          <t>服饰穿搭</t>
        </is>
      </c>
      <c r="U320" t="inlineStr">
        <is>
          <t>女装</t>
        </is>
      </c>
      <c r="V320" s="3">
        <v>46112.78107638889</v>
      </c>
      <c r="W320" t="inlineStr">
        <is>
          <t>2026-Q1</t>
        </is>
      </c>
    </row>
    <row r="321" ht="25.5" customHeight="1">
      <c r="A321" t="inlineStr">
        <is>
          <t>限量试吃【8.9抢半斤20-25包】散装发货/黑芝麻枸杞核桃仁阿胶糕</t>
        </is>
      </c>
      <c r="B321" t="inlineStr">
        <is>
          <t>recveNXG9tKRRj.jpg</t>
        </is>
      </c>
      <c r="C321" s="2" t="str">
        <f>=HYPERLINK("https://xhslink.com/m/9rKYFvyCREf", "https://xhslink.com/m/9rKYFvyCREf")</f>
        <v>https://xhslink.com/m/9rKYFvyCREf</v>
      </c>
      <c r="D321"/>
      <c r="E321">
        <v>261000</v>
      </c>
      <c r="F321">
        <v>29.9</v>
      </c>
      <c r="G321">
        <v>8.99</v>
      </c>
      <c r="H321">
        <v>800</v>
      </c>
      <c r="I321" t="inlineStr">
        <is>
          <t>养生零食</t>
        </is>
      </c>
      <c r="J321" t="inlineStr">
        <is>
          <t>0.00</t>
        </is>
      </c>
      <c r="K321" t="inlineStr">
        <is>
          <t>🔥低粉爆款</t>
        </is>
      </c>
      <c r="L321" t="inlineStr">
        <is>
          <t>阿姐食养话集的店</t>
        </is>
      </c>
      <c r="M321">
        <v>2701</v>
      </c>
      <c r="N321">
        <v>4.6</v>
      </c>
      <c r="O321">
        <v>289000</v>
      </c>
      <c r="P321" t="inlineStr">
        <is>
          <t>67b0abddfb962200013f95e7</t>
        </is>
      </c>
      <c r="Q321"/>
      <c r="R321" t="inlineStr">
        <is>
          <t>14周</t>
        </is>
      </c>
      <c r="S321" t="inlineStr">
        <is>
          <t>96.63</t>
        </is>
      </c>
      <c r="T321" t="inlineStr">
        <is>
          <t>美食滋补</t>
        </is>
      </c>
      <c r="U321" t="inlineStr">
        <is>
          <t>营养滋补</t>
        </is>
      </c>
      <c r="V321" s="3">
        <v>46112.78107638889</v>
      </c>
      <c r="W321" t="inlineStr">
        <is>
          <t>2026-Q1</t>
        </is>
      </c>
    </row>
    <row r="322" ht="25.5" customHeight="1">
      <c r="A322" t="inlineStr">
        <is>
          <t>2025新款时髦猫眼墨镜百搭显脸小出游穿搭拍照太阳镜遮阳眼镜</t>
        </is>
      </c>
      <c r="B322" t="inlineStr">
        <is>
          <t>recveTJWJNJIEi.jpg</t>
        </is>
      </c>
      <c r="C322" s="2" t="str">
        <f>=HYPERLINK("https://xhslink.com/m/ApVpPg3g28D", "https://xhslink.com/m/ApVpPg3g28D")</f>
        <v>https://xhslink.com/m/ApVpPg3g28D</v>
      </c>
      <c r="D322"/>
      <c r="E322">
        <v>306000</v>
      </c>
      <c r="F322">
        <v>25.9</v>
      </c>
      <c r="G322">
        <v>18.9</v>
      </c>
      <c r="H322">
        <v>800</v>
      </c>
      <c r="I322" t="inlineStr">
        <is>
          <t>墨镜</t>
        </is>
      </c>
      <c r="J322" t="inlineStr">
        <is>
          <t>0.00</t>
        </is>
      </c>
      <c r="K322" t="inlineStr">
        <is>
          <t>🔥低粉爆款</t>
        </is>
      </c>
      <c r="L322" t="inlineStr">
        <is>
          <t>ONE GRAIN的店</t>
        </is>
      </c>
      <c r="M322">
        <v>36000</v>
      </c>
      <c r="N322">
        <v>4.73</v>
      </c>
      <c r="O322">
        <v>593000</v>
      </c>
      <c r="P322" t="inlineStr">
        <is>
          <t>65b9ec9b3ae27c0001ca7334</t>
        </is>
      </c>
      <c r="Q322"/>
      <c r="R322" t="inlineStr">
        <is>
          <t>14周</t>
        </is>
      </c>
      <c r="S322" t="inlineStr">
        <is>
          <t>8.50</t>
        </is>
      </c>
      <c r="T322" t="inlineStr">
        <is>
          <t>服饰穿搭</t>
        </is>
      </c>
      <c r="U322" t="inlineStr">
        <is>
          <t>配饰</t>
        </is>
      </c>
      <c r="V322" s="3">
        <v>46112.78107638889</v>
      </c>
      <c r="W322" t="inlineStr">
        <is>
          <t>2026-Q1</t>
        </is>
      </c>
    </row>
    <row r="323" ht="25.5" customHeight="1">
      <c r="A323" t="inlineStr">
        <is>
          <t>【爪镶】双色渐变烟花切手捧花6mm大锆石钛钢钛合金定制耳饰耳夹</t>
        </is>
      </c>
      <c r="B323" t="inlineStr">
        <is>
          <t>recveTJWJNgPl7.jpg</t>
        </is>
      </c>
      <c r="C323" s="2" t="str">
        <f>=HYPERLINK("https://xhslink.com/m/31nY7149HTS", "https://xhslink.com/m/31nY7149HTS")</f>
        <v>https://xhslink.com/m/31nY7149HTS</v>
      </c>
      <c r="D323"/>
      <c r="E323">
        <v>1997</v>
      </c>
      <c r="F323">
        <v>20.8</v>
      </c>
      <c r="G323">
        <v>16.8</v>
      </c>
      <c r="H323">
        <v>800</v>
      </c>
      <c r="I323" t="inlineStr">
        <is>
          <t>耳饰</t>
        </is>
      </c>
      <c r="J323" t="inlineStr">
        <is>
          <t>0.40</t>
        </is>
      </c>
      <c r="K323"/>
      <c r="L323" t="inlineStr">
        <is>
          <t>糯米的华子小铺（华子耳钉）的店</t>
        </is>
      </c>
      <c r="M323">
        <v>12000</v>
      </c>
      <c r="N323">
        <v>4.84</v>
      </c>
      <c r="O323">
        <v>58000</v>
      </c>
      <c r="P323" t="inlineStr">
        <is>
          <t>693f91f57ca5630001419078</t>
        </is>
      </c>
      <c r="Q323" t="inlineStr">
        <is>
          <t>🚫重复</t>
        </is>
      </c>
      <c r="R323" t="inlineStr">
        <is>
          <t>14周</t>
        </is>
      </c>
      <c r="S323" t="inlineStr">
        <is>
          <t>0.17</t>
        </is>
      </c>
      <c r="T323" t="inlineStr">
        <is>
          <t>服饰穿搭</t>
        </is>
      </c>
      <c r="U323" t="inlineStr">
        <is>
          <t>配饰</t>
        </is>
      </c>
      <c r="V323" s="3">
        <v>46112.78107638889</v>
      </c>
      <c r="W323" t="inlineStr">
        <is>
          <t>2026-Q1</t>
        </is>
      </c>
    </row>
    <row r="324" ht="25.5" customHeight="1">
      <c r="A324" t="inlineStr">
        <is>
          <t>小个子梨形身材美式复古宽松阔腿裤设计感口袋百搭显瘦弯刀牛仔裤</t>
        </is>
      </c>
      <c r="B324" t="inlineStr">
        <is>
          <t>recveTJWJNcBZA.jpg</t>
        </is>
      </c>
      <c r="C324" s="2" t="str">
        <f>=HYPERLINK("https://xhslink.com/m/2SN8WEBwK36", "https://xhslink.com/m/2SN8WEBwK36")</f>
        <v>https://xhslink.com/m/2SN8WEBwK36</v>
      </c>
      <c r="D324"/>
      <c r="E324">
        <v>34000</v>
      </c>
      <c r="F324">
        <v>238</v>
      </c>
      <c r="G324">
        <v>118</v>
      </c>
      <c r="H324">
        <v>800</v>
      </c>
      <c r="I324" t="inlineStr">
        <is>
          <t>裤子</t>
        </is>
      </c>
      <c r="J324" t="inlineStr">
        <is>
          <t>0.02</t>
        </is>
      </c>
      <c r="K324" t="inlineStr">
        <is>
          <t>🔥低粉爆款</t>
        </is>
      </c>
      <c r="L324" t="inlineStr">
        <is>
          <t>郑源源的店</t>
        </is>
      </c>
      <c r="M324">
        <v>756</v>
      </c>
      <c r="N324">
        <v>4.61</v>
      </c>
      <c r="O324">
        <v>42000</v>
      </c>
      <c r="P324" t="inlineStr">
        <is>
          <t>697a17b043eb7600019edb2a</t>
        </is>
      </c>
      <c r="Q324" t="inlineStr">
        <is>
          <t>🚫重复</t>
        </is>
      </c>
      <c r="R324" t="inlineStr">
        <is>
          <t>14周</t>
        </is>
      </c>
      <c r="S324" t="inlineStr">
        <is>
          <t>44.97</t>
        </is>
      </c>
      <c r="T324" t="inlineStr">
        <is>
          <t>服饰穿搭</t>
        </is>
      </c>
      <c r="U324" t="inlineStr">
        <is>
          <t>女装</t>
        </is>
      </c>
      <c r="V324" s="3">
        <v>46112.78107638889</v>
      </c>
      <c r="W324" t="inlineStr">
        <is>
          <t>2026-Q1</t>
        </is>
      </c>
    </row>
    <row r="325" ht="25.5" customHeight="1">
      <c r="A325" t="inlineStr">
        <is>
          <t>山系三合一可拆卸加绒冲锋衣女徒步登山情侣城市户外三防外套男</t>
        </is>
      </c>
      <c r="B325" t="inlineStr">
        <is>
          <t>recvf2aASaHseg.jpg</t>
        </is>
      </c>
      <c r="C325" s="2" t="str">
        <f>=HYPERLINK("https://xhslink.com/m/4EMQI4NqREy", "https://xhslink.com/m/4EMQI4NqREy")</f>
        <v>https://xhslink.com/m/4EMQI4NqREy</v>
      </c>
      <c r="D325"/>
      <c r="E325">
        <v>21000</v>
      </c>
      <c r="F325">
        <v>269</v>
      </c>
      <c r="G325">
        <v>189</v>
      </c>
      <c r="H325">
        <v>800</v>
      </c>
      <c r="I325" t="inlineStr">
        <is>
          <t>登山穿搭</t>
        </is>
      </c>
      <c r="J325" t="inlineStr">
        <is>
          <t>0.04</t>
        </is>
      </c>
      <c r="K325"/>
      <c r="L325" t="inlineStr">
        <is>
          <t>果果studio的店</t>
        </is>
      </c>
      <c r="M325">
        <v>23000</v>
      </c>
      <c r="N325">
        <v>4.68</v>
      </c>
      <c r="O325">
        <v>172000</v>
      </c>
      <c r="P325" t="inlineStr">
        <is>
          <t>69271c235e77db0015ac609f</t>
        </is>
      </c>
      <c r="Q325" t="inlineStr">
        <is>
          <t>🚫重复</t>
        </is>
      </c>
      <c r="R325" t="inlineStr">
        <is>
          <t>14周</t>
        </is>
      </c>
      <c r="S325" t="inlineStr">
        <is>
          <t>0.91</t>
        </is>
      </c>
      <c r="T325" t="inlineStr">
        <is>
          <t>服饰穿搭</t>
        </is>
      </c>
      <c r="U325" t="inlineStr">
        <is>
          <t>女装</t>
        </is>
      </c>
      <c r="V325" s="3">
        <v>46112.78107638889</v>
      </c>
      <c r="W325" t="inlineStr">
        <is>
          <t>2026-Q1</t>
        </is>
      </c>
    </row>
    <row r="326" ht="25.5" customHeight="1">
      <c r="A326" t="inlineStr">
        <is>
          <t>厚底3cm帆布鞋女增高2026新款韩版学生百搭秋冬小白鞋女板鞋低帮</t>
        </is>
      </c>
      <c r="B326" t="inlineStr">
        <is>
          <t>recvf2aASau3BM.jpg</t>
        </is>
      </c>
      <c r="C326" s="2" t="str">
        <f>=HYPERLINK("https://xhslink.com/m/Atws2pQI3R5", "https://xhslink.com/m/Atws2pQI3R5")</f>
        <v>https://xhslink.com/m/Atws2pQI3R5</v>
      </c>
      <c r="D326"/>
      <c r="E326">
        <v>83000</v>
      </c>
      <c r="F326">
        <v>49.8</v>
      </c>
      <c r="G326"/>
      <c r="H326">
        <v>800</v>
      </c>
      <c r="I326" t="inlineStr">
        <is>
          <t>鞋靴</t>
        </is>
      </c>
      <c r="J326" t="inlineStr">
        <is>
          <t>0.01</t>
        </is>
      </c>
      <c r="K326" t="inlineStr">
        <is>
          <t>🔥低粉爆款</t>
        </is>
      </c>
      <c r="L326" t="inlineStr">
        <is>
          <t>vintage宝藏鞋铺的店</t>
        </is>
      </c>
      <c r="M326">
        <v>12000</v>
      </c>
      <c r="N326">
        <v>4.5</v>
      </c>
      <c r="O326">
        <v>127000</v>
      </c>
      <c r="P326" t="inlineStr">
        <is>
          <t>66d0803b912c54000166abf9</t>
        </is>
      </c>
      <c r="Q326" t="inlineStr">
        <is>
          <t>🚫重复</t>
        </is>
      </c>
      <c r="R326" t="inlineStr">
        <is>
          <t>14周</t>
        </is>
      </c>
      <c r="S326" t="inlineStr">
        <is>
          <t>6.92</t>
        </is>
      </c>
      <c r="T326" t="inlineStr">
        <is>
          <t>服饰穿搭</t>
        </is>
      </c>
      <c r="U326" t="inlineStr">
        <is>
          <t>鞋靴箱包</t>
        </is>
      </c>
      <c r="V326" s="3">
        <v>46112.78107638889</v>
      </c>
      <c r="W326" t="inlineStr">
        <is>
          <t>2026-Q1</t>
        </is>
      </c>
    </row>
    <row r="327" ht="25.5" customHeight="1">
      <c r="A327" t="inlineStr">
        <is>
          <t>egg.鸡蛋家天丝羊毛巨好穿的软糯弹力打底百搭打底衫T恤女</t>
        </is>
      </c>
      <c r="B327" t="inlineStr">
        <is>
          <t>recvf5pAkIOdd0.jpg</t>
        </is>
      </c>
      <c r="C327" s="2" t="str">
        <f>=HYPERLINK("https://xhslink.com/m/19SC4RrAmh9", "https://xhslink.com/m/19SC4RrAmh9")</f>
        <v>https://xhslink.com/m/19SC4RrAmh9</v>
      </c>
      <c r="D327"/>
      <c r="E327">
        <v>65000</v>
      </c>
      <c r="F327">
        <v>129.9</v>
      </c>
      <c r="G327">
        <v>89.9</v>
      </c>
      <c r="H327">
        <v>800</v>
      </c>
      <c r="I327" t="inlineStr">
        <is>
          <t>打底衫</t>
        </is>
      </c>
      <c r="J327" t="inlineStr">
        <is>
          <t>0.01</t>
        </is>
      </c>
      <c r="K327" t="inlineStr">
        <is>
          <t>🔥低粉爆款</t>
        </is>
      </c>
      <c r="L327" t="inlineStr">
        <is>
          <t>桑高娜的店</t>
        </is>
      </c>
      <c r="M327">
        <v>6664</v>
      </c>
      <c r="N327">
        <v>4.7</v>
      </c>
      <c r="O327">
        <v>83000</v>
      </c>
      <c r="P327" t="inlineStr">
        <is>
          <t>68e3df4753446d0001e28e75</t>
        </is>
      </c>
      <c r="Q327" t="inlineStr">
        <is>
          <t>🚫重复</t>
        </is>
      </c>
      <c r="R327" t="inlineStr">
        <is>
          <t>14周</t>
        </is>
      </c>
      <c r="S327" t="inlineStr">
        <is>
          <t>9.75</t>
        </is>
      </c>
      <c r="T327" t="inlineStr">
        <is>
          <t>服饰穿搭</t>
        </is>
      </c>
      <c r="U327" t="inlineStr">
        <is>
          <t>女装</t>
        </is>
      </c>
      <c r="V327" s="3">
        <v>46112.78107638889</v>
      </c>
      <c r="W327" t="inlineStr">
        <is>
          <t>2026-Q1</t>
        </is>
      </c>
    </row>
    <row r="328" ht="25.5" customHeight="1">
      <c r="A328" t="inlineStr">
        <is>
          <t>宽松直筒阔腿裤女2026新款春秋垂感显瘦高腰休闲运动瑜伽长裤</t>
        </is>
      </c>
      <c r="B328" t="inlineStr">
        <is>
          <t>recvf5pAkIsxa8.jpg</t>
        </is>
      </c>
      <c r="C328" s="2" t="str">
        <f>=HYPERLINK("https://xhslink.com/m/1DJSLJLJeRJ", "https://xhslink.com/m/1DJSLJLJeRJ")</f>
        <v>https://xhslink.com/m/1DJSLJLJeRJ</v>
      </c>
      <c r="D328"/>
      <c r="E328">
        <v>21000</v>
      </c>
      <c r="F328">
        <v>59.9</v>
      </c>
      <c r="G328">
        <v>39.9</v>
      </c>
      <c r="H328">
        <v>800</v>
      </c>
      <c r="I328" t="inlineStr">
        <is>
          <t>直筒裤</t>
        </is>
      </c>
      <c r="J328" t="inlineStr">
        <is>
          <t>0.04</t>
        </is>
      </c>
      <c r="K328"/>
      <c r="L328" t="inlineStr">
        <is>
          <t>云感Yoga瑜伽的店</t>
        </is>
      </c>
      <c r="M328">
        <v>26000</v>
      </c>
      <c r="N328">
        <v>4.56</v>
      </c>
      <c r="O328">
        <v>311000</v>
      </c>
      <c r="P328" t="inlineStr">
        <is>
          <t>691d8615ccb9e00001c3511e</t>
        </is>
      </c>
      <c r="Q328" t="inlineStr">
        <is>
          <t>🚫重复</t>
        </is>
      </c>
      <c r="R328" t="inlineStr">
        <is>
          <t>14周</t>
        </is>
      </c>
      <c r="S328" t="inlineStr">
        <is>
          <t>0.81</t>
        </is>
      </c>
      <c r="T328" t="inlineStr">
        <is>
          <t>服饰穿搭</t>
        </is>
      </c>
      <c r="U328" t="inlineStr">
        <is>
          <t>女装</t>
        </is>
      </c>
      <c r="V328" s="3">
        <v>46112.78107638889</v>
      </c>
      <c r="W328" t="inlineStr">
        <is>
          <t>2026-Q1</t>
        </is>
      </c>
    </row>
    <row r="329" ht="25.5" customHeight="1">
      <c r="A329" t="inlineStr">
        <is>
          <t>随机花材普快基地直发售后无忧</t>
        </is>
      </c>
      <c r="B329" t="inlineStr">
        <is>
          <t>recvfenb18romX.jpg</t>
        </is>
      </c>
      <c r="C329" s="2" t="str">
        <f>=HYPERLINK("https://xhslink.com/m/ASdoJUxgzIR", "https://xhslink.com/m/ASdoJUxgzIR")</f>
        <v>https://xhslink.com/m/ASdoJUxgzIR</v>
      </c>
      <c r="D329"/>
      <c r="E329">
        <v>187000</v>
      </c>
      <c r="F329">
        <v>19.9</v>
      </c>
      <c r="G329"/>
      <c r="H329">
        <v>800</v>
      </c>
      <c r="I329" t="inlineStr">
        <is>
          <t>花</t>
        </is>
      </c>
      <c r="J329" t="inlineStr">
        <is>
          <t>0.00</t>
        </is>
      </c>
      <c r="K329" t="inlineStr">
        <is>
          <t>🔥低粉爆款</t>
        </is>
      </c>
      <c r="L329" t="inlineStr">
        <is>
          <t>长花原野的店</t>
        </is>
      </c>
      <c r="M329">
        <v>32000</v>
      </c>
      <c r="N329">
        <v>4.03</v>
      </c>
      <c r="O329">
        <v>217000</v>
      </c>
      <c r="P329" t="inlineStr">
        <is>
          <t>6909ff5ce0dd170001549e37</t>
        </is>
      </c>
      <c r="Q329" t="inlineStr">
        <is>
          <t>🚫重复</t>
        </is>
      </c>
      <c r="R329" t="inlineStr">
        <is>
          <t>14周</t>
        </is>
      </c>
      <c r="S329" t="inlineStr">
        <is>
          <t>5.84</t>
        </is>
      </c>
      <c r="T329" t="inlineStr">
        <is>
          <t>家居生活</t>
        </is>
      </c>
      <c r="U329" t="inlineStr">
        <is>
          <t>家具家装</t>
        </is>
      </c>
      <c r="V329" s="3">
        <v>46112.78107638889</v>
      </c>
      <c r="W329" t="inlineStr">
        <is>
          <t>2026-Q1</t>
        </is>
      </c>
    </row>
    <row r="330" ht="25.5" customHeight="1">
      <c r="A330" t="inlineStr">
        <is>
          <t>云朵感柔软舒适宽松基础款长袖T恤</t>
        </is>
      </c>
      <c r="B330" t="inlineStr">
        <is>
          <t>recvfenb18ymSP.jpg</t>
        </is>
      </c>
      <c r="C330" s="2" t="str">
        <f>=HYPERLINK("https://xhslink.com/m/8dXK0IIecrG", "https://xhslink.com/m/8dXK0IIecrG")</f>
        <v>https://xhslink.com/m/8dXK0IIecrG</v>
      </c>
      <c r="D330"/>
      <c r="E330">
        <v>35000</v>
      </c>
      <c r="F330">
        <v>138</v>
      </c>
      <c r="G330">
        <v>79</v>
      </c>
      <c r="H330">
        <v>800</v>
      </c>
      <c r="I330" t="inlineStr">
        <is>
          <t>T恤</t>
        </is>
      </c>
      <c r="J330" t="inlineStr">
        <is>
          <t>0.02</t>
        </is>
      </c>
      <c r="K330"/>
      <c r="L330" t="inlineStr">
        <is>
          <t>一只只是我的店</t>
        </is>
      </c>
      <c r="M330">
        <v>17000</v>
      </c>
      <c r="N330">
        <v>4.69</v>
      </c>
      <c r="O330">
        <v>112000</v>
      </c>
      <c r="P330" t="inlineStr">
        <is>
          <t>68ca739de8b4ad00016a2f37</t>
        </is>
      </c>
      <c r="Q330" t="inlineStr">
        <is>
          <t>🚫重复</t>
        </is>
      </c>
      <c r="R330" t="inlineStr">
        <is>
          <t>14周</t>
        </is>
      </c>
      <c r="S330" t="inlineStr">
        <is>
          <t>2.06</t>
        </is>
      </c>
      <c r="T330" t="inlineStr">
        <is>
          <t>服饰穿搭</t>
        </is>
      </c>
      <c r="U330" t="inlineStr">
        <is>
          <t>女装</t>
        </is>
      </c>
      <c r="V330" s="3">
        <v>46112.78107638889</v>
      </c>
      <c r="W330" t="inlineStr">
        <is>
          <t>2026-Q1</t>
        </is>
      </c>
    </row>
    <row r="331" ht="25.5" customHeight="1">
      <c r="A331" t="inlineStr">
        <is>
          <t>『羊角蜜甜瓜』脆爽香甜多汁新鲜采摘产地直发孕妇水果坏果包赔</t>
        </is>
      </c>
      <c r="B331" t="inlineStr">
        <is>
          <t>recvfenb1803aR.jpg</t>
        </is>
      </c>
      <c r="C331" s="2" t="str">
        <f>=HYPERLINK("https://xhslink.com/m/7OFCE8VLEKv", "https://xhslink.com/m/7OFCE8VLEKv")</f>
        <v>https://xhslink.com/m/7OFCE8VLEKv</v>
      </c>
      <c r="D331"/>
      <c r="E331">
        <v>9000</v>
      </c>
      <c r="F331">
        <v>35.6</v>
      </c>
      <c r="G331">
        <v>15.6</v>
      </c>
      <c r="H331">
        <v>800</v>
      </c>
      <c r="I331" t="inlineStr">
        <is>
          <t>时令水果</t>
        </is>
      </c>
      <c r="J331" t="inlineStr">
        <is>
          <t>0.09</t>
        </is>
      </c>
      <c r="K331" t="inlineStr">
        <is>
          <t>🔥低粉爆款</t>
        </is>
      </c>
      <c r="L331" t="inlineStr">
        <is>
          <t>蜜甜鲜果的店</t>
        </is>
      </c>
      <c r="M331">
        <v>28</v>
      </c>
      <c r="N331">
        <v>4.72</v>
      </c>
      <c r="O331">
        <v>2629</v>
      </c>
      <c r="P331" t="inlineStr">
        <is>
          <t>69b98800d6abc60001f4fbff</t>
        </is>
      </c>
      <c r="Q331"/>
      <c r="R331" t="inlineStr">
        <is>
          <t>14周</t>
        </is>
      </c>
      <c r="S331" t="inlineStr">
        <is>
          <t>321.43</t>
        </is>
      </c>
      <c r="T331" t="inlineStr">
        <is>
          <t>美食滋补</t>
        </is>
      </c>
      <c r="U331" t="inlineStr">
        <is>
          <t>生鲜特产</t>
        </is>
      </c>
      <c r="V331" s="3">
        <v>46112.78107638889</v>
      </c>
      <c r="W331" t="inlineStr">
        <is>
          <t>2026-Q1</t>
        </is>
      </c>
    </row>
    <row r="332" ht="25.5" customHeight="1">
      <c r="A332" t="inlineStr">
        <is>
          <t>杏色交叉针织衫女夏季2026新款设计感露背洋气显瘦无袖上衣</t>
        </is>
      </c>
      <c r="B332" t="inlineStr">
        <is>
          <t>recvfjOYGL01KO.jpg</t>
        </is>
      </c>
      <c r="C332" s="2" t="str">
        <f>=HYPERLINK("https://xhslink.com/m/1pOdI2WJDjV", "https://xhslink.com/m/1pOdI2WJDjV")</f>
        <v>https://xhslink.com/m/1pOdI2WJDjV</v>
      </c>
      <c r="D332"/>
      <c r="E332">
        <v>37000</v>
      </c>
      <c r="F332">
        <v>65</v>
      </c>
      <c r="G332"/>
      <c r="H332">
        <v>800</v>
      </c>
      <c r="I332" t="inlineStr">
        <is>
          <t>背心吊带</t>
        </is>
      </c>
      <c r="J332" t="inlineStr">
        <is>
          <t>0.02</t>
        </is>
      </c>
      <c r="K332"/>
      <c r="L332" t="inlineStr">
        <is>
          <t>KK穿搭分享~的店</t>
        </is>
      </c>
      <c r="M332">
        <v>595000</v>
      </c>
      <c r="N332">
        <v>4.59</v>
      </c>
      <c r="O332">
        <v>3073000</v>
      </c>
      <c r="P332" t="inlineStr">
        <is>
          <t>6836fd3753e72e0001bd3c8d</t>
        </is>
      </c>
      <c r="Q332" t="inlineStr">
        <is>
          <t>🚫重复</t>
        </is>
      </c>
      <c r="R332" t="inlineStr">
        <is>
          <t>14周</t>
        </is>
      </c>
      <c r="S332" t="inlineStr">
        <is>
          <t>0.06</t>
        </is>
      </c>
      <c r="T332" t="inlineStr">
        <is>
          <t>服饰穿搭</t>
        </is>
      </c>
      <c r="U332" t="inlineStr">
        <is>
          <t>女装</t>
        </is>
      </c>
      <c r="V332" s="3">
        <v>46112.78107638889</v>
      </c>
      <c r="W332" t="inlineStr">
        <is>
          <t>2026-Q1</t>
        </is>
      </c>
    </row>
    <row r="333" ht="25.5" customHeight="1">
      <c r="A333" t="inlineStr">
        <is>
          <t>【现货】小陪伴猫猫日常盲盒办公室桌面摆件可爱女生生日礼物</t>
        </is>
      </c>
      <c r="B333" t="inlineStr">
        <is>
          <t>recvfqmLqZJLso.jpg</t>
        </is>
      </c>
      <c r="C333" s="2" t="str">
        <f>=HYPERLINK("https://xhslink.com/m/3juu2wvhUCm", "https://xhslink.com/m/3juu2wvhUCm")</f>
        <v>https://xhslink.com/m/3juu2wvhUCm</v>
      </c>
      <c r="D333"/>
      <c r="E333">
        <v>54000</v>
      </c>
      <c r="F333">
        <v>118.8</v>
      </c>
      <c r="G333"/>
      <c r="H333">
        <v>800</v>
      </c>
      <c r="I333" t="inlineStr">
        <is>
          <t>盲盒</t>
        </is>
      </c>
      <c r="J333" t="inlineStr">
        <is>
          <t>0.01</t>
        </is>
      </c>
      <c r="K333" t="inlineStr">
        <is>
          <t>🔥低粉爆款</t>
        </is>
      </c>
      <c r="L333" t="inlineStr">
        <is>
          <t>咪咪使者的店</t>
        </is>
      </c>
      <c r="M333">
        <v>7336</v>
      </c>
      <c r="N333">
        <v>4.66</v>
      </c>
      <c r="O333">
        <v>70000</v>
      </c>
      <c r="P333" t="inlineStr">
        <is>
          <t>693a324e266b95000115ae6e</t>
        </is>
      </c>
      <c r="Q333" t="inlineStr">
        <is>
          <t>🚫重复</t>
        </is>
      </c>
      <c r="R333" t="inlineStr">
        <is>
          <t>14周</t>
        </is>
      </c>
      <c r="S333" t="inlineStr">
        <is>
          <t>7.36</t>
        </is>
      </c>
      <c r="T333" t="inlineStr">
        <is>
          <t>家居生活</t>
        </is>
      </c>
      <c r="U333" t="inlineStr">
        <is>
          <t>家具家装</t>
        </is>
      </c>
      <c r="V333" s="3">
        <v>46112.78107638889</v>
      </c>
      <c r="W333" t="inlineStr">
        <is>
          <t>2026-Q1</t>
        </is>
      </c>
    </row>
    <row r="334" ht="25.5" customHeight="1">
      <c r="A334" t="inlineStr">
        <is>
          <t>奶黄色V领短袖T恤女2026夏季新款褶皱收腰甜辣妹短款POLO领上衣女</t>
        </is>
      </c>
      <c r="B334" t="inlineStr">
        <is>
          <t>recvfD7quwKSbF.jpg</t>
        </is>
      </c>
      <c r="C334" s="2" t="str">
        <f>=HYPERLINK("https://xhslink.com/m/8ZXO1PSUTeA", "https://xhslink.com/m/8ZXO1PSUTeA")</f>
        <v>https://xhslink.com/m/8ZXO1PSUTeA</v>
      </c>
      <c r="D334"/>
      <c r="E334">
        <v>2748</v>
      </c>
      <c r="F334">
        <v>49.9</v>
      </c>
      <c r="G334">
        <v>39.9</v>
      </c>
      <c r="H334">
        <v>800</v>
      </c>
      <c r="I334" t="inlineStr">
        <is>
          <t>短袖</t>
        </is>
      </c>
      <c r="J334" t="inlineStr">
        <is>
          <t>0.29</t>
        </is>
      </c>
      <c r="K334"/>
      <c r="L334" t="inlineStr">
        <is>
          <t>XIAO桉家原创的店</t>
        </is>
      </c>
      <c r="M334">
        <v>21000</v>
      </c>
      <c r="N334">
        <v>4.73</v>
      </c>
      <c r="O334">
        <v>164000</v>
      </c>
      <c r="P334" t="inlineStr">
        <is>
          <t>69bbb96d5e5f05000164bb49</t>
        </is>
      </c>
      <c r="Q334" t="inlineStr">
        <is>
          <t>🚫重复</t>
        </is>
      </c>
      <c r="R334" t="inlineStr">
        <is>
          <t>14周</t>
        </is>
      </c>
      <c r="S334" t="inlineStr">
        <is>
          <t>0.13</t>
        </is>
      </c>
      <c r="T334" t="inlineStr">
        <is>
          <t>服饰穿搭</t>
        </is>
      </c>
      <c r="U334" t="inlineStr">
        <is>
          <t>女装</t>
        </is>
      </c>
      <c r="V334" s="3">
        <v>46114.78872685185</v>
      </c>
      <c r="W334" t="inlineStr">
        <is>
          <t>2026-Q2</t>
        </is>
      </c>
    </row>
    <row r="335" ht="25.5" customHeight="1">
      <c r="A335" t="inlineStr">
        <is>
          <t>厚底3cm帆布鞋女增高2026新款韩版学生百搭春夏小白鞋女板鞋低帮</t>
        </is>
      </c>
      <c r="B335" t="inlineStr">
        <is>
          <t>recvfD7quwqFCb.jpg</t>
        </is>
      </c>
      <c r="C335" s="2" t="str">
        <f>=HYPERLINK("https://xhslink.com/m/9HVH4ouRKLH", "https://xhslink.com/m/9HVH4ouRKLH")</f>
        <v>https://xhslink.com/m/9HVH4ouRKLH</v>
      </c>
      <c r="D335"/>
      <c r="E335">
        <v>85000</v>
      </c>
      <c r="F335">
        <v>49.8</v>
      </c>
      <c r="G335"/>
      <c r="H335">
        <v>800</v>
      </c>
      <c r="I335" t="inlineStr">
        <is>
          <t>百搭鞋子</t>
        </is>
      </c>
      <c r="J335" t="inlineStr">
        <is>
          <t>0.01</t>
        </is>
      </c>
      <c r="K335" t="inlineStr">
        <is>
          <t>🔥低粉爆款</t>
        </is>
      </c>
      <c r="L335" t="inlineStr">
        <is>
          <t>vintage宝藏鞋铺的店</t>
        </is>
      </c>
      <c r="M335">
        <v>12000</v>
      </c>
      <c r="N335">
        <v>4.5</v>
      </c>
      <c r="O335">
        <v>130000</v>
      </c>
      <c r="P335" t="inlineStr">
        <is>
          <t>66d0803b912c54000166abcc</t>
        </is>
      </c>
      <c r="Q335" t="inlineStr">
        <is>
          <t>🚫重复</t>
        </is>
      </c>
      <c r="R335" t="inlineStr">
        <is>
          <t>14周</t>
        </is>
      </c>
      <c r="S335" t="inlineStr">
        <is>
          <t>7.08</t>
        </is>
      </c>
      <c r="T335" t="inlineStr">
        <is>
          <t>服饰穿搭</t>
        </is>
      </c>
      <c r="U335" t="inlineStr">
        <is>
          <t>鞋靴箱包</t>
        </is>
      </c>
      <c r="V335" s="3">
        <v>46114.78872685185</v>
      </c>
      <c r="W335" t="inlineStr">
        <is>
          <t>2026-Q2</t>
        </is>
      </c>
    </row>
    <row r="336" ht="25.5" customHeight="1">
      <c r="A336" t="inlineStr">
        <is>
          <t>【U领背心】自制款巨巨巨好穿的固定杯打底背心 蚕丝蛋白极简显瘦</t>
        </is>
      </c>
      <c r="B336" t="inlineStr">
        <is>
          <t>recvfD7quwqZ90.jpg</t>
        </is>
      </c>
      <c r="C336" s="2" t="str">
        <f>=HYPERLINK("https://xhslink.com/m/1nvFHQd7q4S", "https://xhslink.com/m/1nvFHQd7q4S")</f>
        <v>https://xhslink.com/m/1nvFHQd7q4S</v>
      </c>
      <c r="D336"/>
      <c r="E336">
        <v>1615</v>
      </c>
      <c r="F336">
        <v>59</v>
      </c>
      <c r="G336">
        <v>49</v>
      </c>
      <c r="H336">
        <v>800</v>
      </c>
      <c r="I336" t="inlineStr">
        <is>
          <t>背心吊带</t>
        </is>
      </c>
      <c r="J336" t="inlineStr">
        <is>
          <t>0.50</t>
        </is>
      </c>
      <c r="K336"/>
      <c r="L336" t="inlineStr">
        <is>
          <t>田中小鸡Tanaka Hiyoko的店</t>
        </is>
      </c>
      <c r="M336">
        <v>92000</v>
      </c>
      <c r="N336">
        <v>4.7</v>
      </c>
      <c r="O336">
        <v>224000</v>
      </c>
      <c r="P336" t="inlineStr">
        <is>
          <t>69c0e709ff00dc0001dac06e</t>
        </is>
      </c>
      <c r="Q336" t="inlineStr">
        <is>
          <t>🚫重复</t>
        </is>
      </c>
      <c r="R336" t="inlineStr">
        <is>
          <t>14周</t>
        </is>
      </c>
      <c r="S336" t="inlineStr">
        <is>
          <t>0.02</t>
        </is>
      </c>
      <c r="T336" t="inlineStr">
        <is>
          <t>服饰穿搭</t>
        </is>
      </c>
      <c r="U336" t="inlineStr">
        <is>
          <t>女装</t>
        </is>
      </c>
      <c r="V336" s="3">
        <v>46114.78872685185</v>
      </c>
      <c r="W336" t="inlineStr">
        <is>
          <t>2026-Q2</t>
        </is>
      </c>
    </row>
    <row r="337" ht="25.5" customHeight="1">
      <c r="A337" t="inlineStr">
        <is>
          <t>厚底3cm帆布鞋女增高2026新款韩版学生百搭春夏小白鞋女板鞋低帮</t>
        </is>
      </c>
      <c r="B337" t="inlineStr">
        <is>
          <t>recvfD7quwtu2G.jpg</t>
        </is>
      </c>
      <c r="C337" s="2" t="str">
        <f>=HYPERLINK("https://xhslink.com/m/ADNz31pv2kw", "https://xhslink.com/m/ADNz31pv2kw")</f>
        <v>https://xhslink.com/m/ADNz31pv2kw</v>
      </c>
      <c r="D337"/>
      <c r="E337">
        <v>85000</v>
      </c>
      <c r="F337">
        <v>49.8</v>
      </c>
      <c r="G337"/>
      <c r="H337">
        <v>800</v>
      </c>
      <c r="I337" t="inlineStr">
        <is>
          <t>厚底勃肯鞋</t>
        </is>
      </c>
      <c r="J337" t="inlineStr">
        <is>
          <t>0.01</t>
        </is>
      </c>
      <c r="K337" t="inlineStr">
        <is>
          <t>🔥低粉爆款</t>
        </is>
      </c>
      <c r="L337" t="inlineStr">
        <is>
          <t>vintage宝藏鞋铺的店</t>
        </is>
      </c>
      <c r="M337">
        <v>12000</v>
      </c>
      <c r="N337">
        <v>4.5</v>
      </c>
      <c r="O337">
        <v>130000</v>
      </c>
      <c r="P337" t="inlineStr">
        <is>
          <t>66d0803b912c54000166abba</t>
        </is>
      </c>
      <c r="Q337" t="inlineStr">
        <is>
          <t>🚫重复</t>
        </is>
      </c>
      <c r="R337" t="inlineStr">
        <is>
          <t>14周</t>
        </is>
      </c>
      <c r="S337" t="inlineStr">
        <is>
          <t>7.08</t>
        </is>
      </c>
      <c r="T337" t="inlineStr">
        <is>
          <t>服饰穿搭</t>
        </is>
      </c>
      <c r="U337" t="inlineStr">
        <is>
          <t>鞋靴箱包</t>
        </is>
      </c>
      <c r="V337" s="3">
        <v>46114.78872685185</v>
      </c>
      <c r="W337" t="inlineStr">
        <is>
          <t>2026-Q2</t>
        </is>
      </c>
    </row>
    <row r="338" ht="25.5" customHeight="1">
      <c r="A338" t="inlineStr">
        <is>
          <t>3月返场【无尽夏】短袖 / 长袖帝政裙 剪花雪纺 小高腰法式连衣裙</t>
        </is>
      </c>
      <c r="B338" t="inlineStr">
        <is>
          <t>recvfKbRx1WIn5.jpg</t>
        </is>
      </c>
      <c r="C338" s="2" t="str">
        <f>=HYPERLINK("https://xhslink.com/m/7XuFnsPDzkr", "https://xhslink.com/m/7XuFnsPDzkr")</f>
        <v>https://xhslink.com/m/7XuFnsPDzkr</v>
      </c>
      <c r="D338"/>
      <c r="E338">
        <v>4982</v>
      </c>
      <c r="F338">
        <v>308</v>
      </c>
      <c r="G338">
        <v>236.04</v>
      </c>
      <c r="H338">
        <v>800</v>
      </c>
      <c r="I338" t="inlineStr">
        <is>
          <t>裙子</t>
        </is>
      </c>
      <c r="J338" t="inlineStr">
        <is>
          <t>0.16</t>
        </is>
      </c>
      <c r="K338"/>
      <c r="L338" t="inlineStr">
        <is>
          <t>漱石枕流的店</t>
        </is>
      </c>
      <c r="M338">
        <v>52000</v>
      </c>
      <c r="N338">
        <v>4.67</v>
      </c>
      <c r="O338">
        <v>131000</v>
      </c>
      <c r="P338" t="inlineStr">
        <is>
          <t>6856b11ff89aa500010435be</t>
        </is>
      </c>
      <c r="Q338"/>
      <c r="R338" t="inlineStr">
        <is>
          <t>14周</t>
        </is>
      </c>
      <c r="S338" t="inlineStr">
        <is>
          <t>0.10</t>
        </is>
      </c>
      <c r="T338" t="inlineStr">
        <is>
          <t>服饰穿搭</t>
        </is>
      </c>
      <c r="U338" t="inlineStr">
        <is>
          <t>女装</t>
        </is>
      </c>
      <c r="V338" s="3">
        <v>46115.998090277775</v>
      </c>
      <c r="W338" t="inlineStr">
        <is>
          <t>2026-Q2</t>
        </is>
      </c>
    </row>
    <row r="339" ht="25.5" customHeight="1">
      <c r="A339" t="inlineStr">
        <is>
          <t>桃子工厂自制 大裙摆半身裙春夏季半身裙甜美蛋糕裙高腰A字裙长裙</t>
        </is>
      </c>
      <c r="B339" t="inlineStr">
        <is>
          <t>recvfP5nJfVMxQ.jpg</t>
        </is>
      </c>
      <c r="C339" s="2" t="str">
        <f>=HYPERLINK("https://xhslink.com/m/1Q32ssiPNvf", "https://xhslink.com/m/1Q32ssiPNvf")</f>
        <v>https://xhslink.com/m/1Q32ssiPNvf</v>
      </c>
      <c r="D339"/>
      <c r="E339">
        <v>33000</v>
      </c>
      <c r="F339">
        <v>44.9</v>
      </c>
      <c r="G339"/>
      <c r="H339">
        <v>800</v>
      </c>
      <c r="I339" t="inlineStr">
        <is>
          <t>长裙</t>
        </is>
      </c>
      <c r="J339" t="inlineStr">
        <is>
          <t>0.02</t>
        </is>
      </c>
      <c r="K339" t="inlineStr">
        <is>
          <t>🔥低粉爆款</t>
        </is>
      </c>
      <c r="L339" t="inlineStr">
        <is>
          <t>桃子工厂自制的店</t>
        </is>
      </c>
      <c r="M339">
        <v>9521</v>
      </c>
      <c r="N339">
        <v>4.67</v>
      </c>
      <c r="O339">
        <v>63000</v>
      </c>
      <c r="P339" t="inlineStr">
        <is>
          <t>66d95676c05d2100018095b9</t>
        </is>
      </c>
      <c r="Q339"/>
      <c r="R339" t="inlineStr">
        <is>
          <t>14周</t>
        </is>
      </c>
      <c r="S339" t="inlineStr">
        <is>
          <t>3.47</t>
        </is>
      </c>
      <c r="T339" t="inlineStr">
        <is>
          <t>服饰穿搭</t>
        </is>
      </c>
      <c r="U339" t="inlineStr">
        <is>
          <t>女装</t>
        </is>
      </c>
      <c r="V339" s="3">
        <v>46116.835335648146</v>
      </c>
      <c r="W339" t="inlineStr">
        <is>
          <t>2026-Q2</t>
        </is>
      </c>
    </row>
    <row r="340" ht="25.5" customHeight="1">
      <c r="A340" t="inlineStr">
        <is>
          <t>简约U领螺纹修身显瘦正肩T恤短袖~超显身材！上身嘎嘎舒服</t>
        </is>
      </c>
      <c r="B340" t="inlineStr">
        <is>
          <t>recvfVt9jWRtPj.jpg</t>
        </is>
      </c>
      <c r="C340" s="2" t="str">
        <f>=HYPERLINK("https://xhslink.com/m/4avFdzQM65i", "https://xhslink.com/m/4avFdzQM65i")</f>
        <v>https://xhslink.com/m/4avFdzQM65i</v>
      </c>
      <c r="D340"/>
      <c r="E340">
        <v>197000</v>
      </c>
      <c r="F340">
        <v>39.9</v>
      </c>
      <c r="G340"/>
      <c r="H340">
        <v>800</v>
      </c>
      <c r="I340" t="inlineStr">
        <is>
          <t>短袖</t>
        </is>
      </c>
      <c r="J340" t="inlineStr">
        <is>
          <t>0.00</t>
        </is>
      </c>
      <c r="K340"/>
      <c r="L340" t="inlineStr">
        <is>
          <t>小小啊le的店</t>
        </is>
      </c>
      <c r="M340">
        <v>221000</v>
      </c>
      <c r="N340">
        <v>4.68</v>
      </c>
      <c r="O340">
        <v>802000</v>
      </c>
      <c r="P340" t="inlineStr">
        <is>
          <t>6634af5e97f53b000165956e</t>
        </is>
      </c>
      <c r="Q340" t="inlineStr">
        <is>
          <t>🚫重复</t>
        </is>
      </c>
      <c r="R340" t="inlineStr">
        <is>
          <t>14周</t>
        </is>
      </c>
      <c r="S340" t="inlineStr">
        <is>
          <t>0.89</t>
        </is>
      </c>
      <c r="T340" t="inlineStr">
        <is>
          <t>服饰穿搭</t>
        </is>
      </c>
      <c r="U340" t="inlineStr">
        <is>
          <t>女装</t>
        </is>
      </c>
      <c r="V340" s="3">
        <v>46117.927083333336</v>
      </c>
      <c r="W340" t="inlineStr">
        <is>
          <t>2026-Q2</t>
        </is>
      </c>
    </row>
    <row r="341" ht="25.5" customHeight="1">
      <c r="A341" t="inlineStr">
        <is>
          <t>【瘦腿裤】｛高品质｝JIJIA显瘦窄版高腰直筒四面弹牛仔裤 九分裤</t>
        </is>
      </c>
      <c r="B341" t="inlineStr">
        <is>
          <t>recvfVt9jWrsrI.jpg</t>
        </is>
      </c>
      <c r="C341" s="2" t="str">
        <f>=HYPERLINK("https://xhslink.com/m/5kKew1YmON2", "https://xhslink.com/m/5kKew1YmON2")</f>
        <v>https://xhslink.com/m/5kKew1YmON2</v>
      </c>
      <c r="D341"/>
      <c r="E341">
        <v>8000</v>
      </c>
      <c r="F341">
        <v>239</v>
      </c>
      <c r="G341"/>
      <c r="H341">
        <v>800</v>
      </c>
      <c r="I341" t="inlineStr">
        <is>
          <t>裤子</t>
        </is>
      </c>
      <c r="J341" t="inlineStr">
        <is>
          <t>0.10</t>
        </is>
      </c>
      <c r="K341"/>
      <c r="L341" t="inlineStr">
        <is>
          <t>三天没有熬夜的店</t>
        </is>
      </c>
      <c r="M341">
        <v>11000</v>
      </c>
      <c r="N341">
        <v>4.69</v>
      </c>
      <c r="O341">
        <v>52000</v>
      </c>
      <c r="P341" t="inlineStr">
        <is>
          <t>68e13542c7536100019dd0da</t>
        </is>
      </c>
      <c r="Q341" t="inlineStr">
        <is>
          <t>🚫重复</t>
        </is>
      </c>
      <c r="R341" t="inlineStr">
        <is>
          <t>14周</t>
        </is>
      </c>
      <c r="S341" t="inlineStr">
        <is>
          <t>0.73</t>
        </is>
      </c>
      <c r="T341" t="inlineStr">
        <is>
          <t>服饰穿搭</t>
        </is>
      </c>
      <c r="U341" t="inlineStr">
        <is>
          <t>女装</t>
        </is>
      </c>
      <c r="V341" s="3">
        <v>46117.927083333336</v>
      </c>
      <c r="W341" t="inlineStr">
        <is>
          <t>2026-Q2</t>
        </is>
      </c>
    </row>
    <row r="342" ht="25.5" customHeight="1">
      <c r="A342" t="inlineStr">
        <is>
          <t>瑜伽裤春夏高腰外穿宽松直筒健身裤跑步普拉提舞蹈运动裤</t>
        </is>
      </c>
      <c r="B342" t="inlineStr">
        <is>
          <t>recvg1BDH5ksNI.jpg</t>
        </is>
      </c>
      <c r="C342" s="2" t="str">
        <f>=HYPERLINK("https://xhslink.com/m/6QXYnDnfFul", "https://xhslink.com/m/6QXYnDnfFul")</f>
        <v>https://xhslink.com/m/6QXYnDnfFul</v>
      </c>
      <c r="D342"/>
      <c r="E342">
        <v>8477</v>
      </c>
      <c r="F342">
        <v>79.9</v>
      </c>
      <c r="G342">
        <v>59.9</v>
      </c>
      <c r="H342">
        <v>800</v>
      </c>
      <c r="I342" t="inlineStr">
        <is>
          <t>健身</t>
        </is>
      </c>
      <c r="J342" t="inlineStr">
        <is>
          <t>0.09</t>
        </is>
      </c>
      <c r="K342"/>
      <c r="L342" t="inlineStr">
        <is>
          <t>小鹅学姐穿搭的店的店</t>
        </is>
      </c>
      <c r="M342">
        <v>229000</v>
      </c>
      <c r="N342">
        <v>4.4</v>
      </c>
      <c r="O342">
        <v>1518000</v>
      </c>
      <c r="P342" t="inlineStr">
        <is>
          <t>69b54580ab6d1e0001d598be</t>
        </is>
      </c>
      <c r="Q342" t="inlineStr">
        <is>
          <t>🚫重复</t>
        </is>
      </c>
      <c r="R342" t="inlineStr">
        <is>
          <t>15周</t>
        </is>
      </c>
      <c r="S342" t="inlineStr">
        <is>
          <t>0.04</t>
        </is>
      </c>
      <c r="T342" t="inlineStr">
        <is>
          <t>运动潮玩</t>
        </is>
      </c>
      <c r="U342" t="inlineStr">
        <is>
          <t>运动户外装备</t>
        </is>
      </c>
      <c r="V342" s="3">
        <v>46118.97659722222</v>
      </c>
      <c r="W342" t="inlineStr">
        <is>
          <t>2026-Q2</t>
        </is>
      </c>
    </row>
    <row r="343" ht="25.5" customHeight="1">
      <c r="A343" t="inlineStr">
        <is>
          <t>（藤姐同款）Lumanman定制韩版镂空春夏遮阳蕾丝渔夫帽</t>
        </is>
      </c>
      <c r="B343" t="inlineStr">
        <is>
          <t>recvg1BDH5bMho.jpg</t>
        </is>
      </c>
      <c r="C343" s="2" t="str">
        <f>=HYPERLINK("https://xhslink.com/m/AIjadKLDAXT", "https://xhslink.com/m/AIjadKLDAXT")</f>
        <v>https://xhslink.com/m/AIjadKLDAXT</v>
      </c>
      <c r="D343"/>
      <c r="E343">
        <v>19000</v>
      </c>
      <c r="F343">
        <v>39.9</v>
      </c>
      <c r="G343"/>
      <c r="H343">
        <v>800</v>
      </c>
      <c r="I343" t="inlineStr">
        <is>
          <t>防晒帽</t>
        </is>
      </c>
      <c r="J343" t="inlineStr">
        <is>
          <t>0.04</t>
        </is>
      </c>
      <c r="K343"/>
      <c r="L343" t="inlineStr">
        <is>
          <t>Lumanman的店</t>
        </is>
      </c>
      <c r="M343">
        <v>6552</v>
      </c>
      <c r="N343">
        <v>4.76</v>
      </c>
      <c r="O343">
        <v>33000</v>
      </c>
      <c r="P343" t="inlineStr">
        <is>
          <t>67e5262d585fab00012de538</t>
        </is>
      </c>
      <c r="Q343"/>
      <c r="R343" t="inlineStr">
        <is>
          <t>15周</t>
        </is>
      </c>
      <c r="S343" t="inlineStr">
        <is>
          <t>2.90</t>
        </is>
      </c>
      <c r="T343" t="inlineStr">
        <is>
          <t>服饰穿搭</t>
        </is>
      </c>
      <c r="U343" t="inlineStr">
        <is>
          <t>鞋靴箱包</t>
        </is>
      </c>
      <c r="V343" s="3">
        <v>46118.97659722222</v>
      </c>
      <c r="W343" t="inlineStr">
        <is>
          <t>2026-Q2</t>
        </is>
      </c>
    </row>
    <row r="344" ht="25.5" customHeight="1">
      <c r="A344" t="inlineStr">
        <is>
          <t>奶黄色V领短袖T恤女2026夏季新款褶皱收腰甜辣妹短款POLO领上衣女</t>
        </is>
      </c>
      <c r="B344" t="inlineStr">
        <is>
          <t>recvgd5oYIcoLw.jpg</t>
        </is>
      </c>
      <c r="C344" s="2" t="str">
        <f>=HYPERLINK("https://xhslink.com/m/AfYtBTQQlYg", "https://xhslink.com/m/AfYtBTQQlYg")</f>
        <v>https://xhslink.com/m/AfYtBTQQlYg</v>
      </c>
      <c r="D344"/>
      <c r="E344">
        <v>3800</v>
      </c>
      <c r="F344">
        <v>49.9</v>
      </c>
      <c r="G344">
        <v>39.9</v>
      </c>
      <c r="H344">
        <v>800</v>
      </c>
      <c r="I344" t="inlineStr">
        <is>
          <t>T恤</t>
        </is>
      </c>
      <c r="J344" t="inlineStr">
        <is>
          <t>0.21</t>
        </is>
      </c>
      <c r="K344"/>
      <c r="L344" t="inlineStr">
        <is>
          <t>XIAO桉家原创的店</t>
        </is>
      </c>
      <c r="M344">
        <v>22000</v>
      </c>
      <c r="N344">
        <v>4.67</v>
      </c>
      <c r="O344">
        <v>168000</v>
      </c>
      <c r="P344" t="inlineStr">
        <is>
          <t>69bbb96d5e5f05000164bb4c</t>
        </is>
      </c>
      <c r="Q344" t="inlineStr">
        <is>
          <t>🚫重复</t>
        </is>
      </c>
      <c r="R344" t="inlineStr">
        <is>
          <t>15周</t>
        </is>
      </c>
      <c r="S344" t="inlineStr">
        <is>
          <t>0.17</t>
        </is>
      </c>
      <c r="T344" t="inlineStr">
        <is>
          <t>服饰穿搭</t>
        </is>
      </c>
      <c r="U344" t="inlineStr">
        <is>
          <t>女装</t>
        </is>
      </c>
      <c r="V344" s="3">
        <v>46120.939930555556</v>
      </c>
      <c r="W344" t="inlineStr">
        <is>
          <t>2026-Q2</t>
        </is>
      </c>
    </row>
    <row r="345" ht="25.5" customHeight="1">
      <c r="A345" t="inlineStr">
        <is>
          <t>韩系刺绣小爱心针织短袖t恤女2025夏季新款设计感撞色圆领短款上</t>
        </is>
      </c>
      <c r="B345" t="inlineStr">
        <is>
          <t>recvgd5oYIKqu5.jpg</t>
        </is>
      </c>
      <c r="C345" s="2" t="str">
        <f>=HYPERLINK("https://xhslink.com/m/3u5sMHBJlQz", "https://xhslink.com/m/3u5sMHBJlQz")</f>
        <v>https://xhslink.com/m/3u5sMHBJlQz</v>
      </c>
      <c r="D345"/>
      <c r="E345">
        <v>5219</v>
      </c>
      <c r="F345">
        <v>69.9</v>
      </c>
      <c r="G345">
        <v>49.9</v>
      </c>
      <c r="H345">
        <v>800</v>
      </c>
      <c r="I345" t="inlineStr">
        <is>
          <t>短袖</t>
        </is>
      </c>
      <c r="J345" t="inlineStr">
        <is>
          <t>0.15</t>
        </is>
      </c>
      <c r="K345"/>
      <c r="L345" t="inlineStr">
        <is>
          <t>奈美爱穿搭的店</t>
        </is>
      </c>
      <c r="M345">
        <v>112000</v>
      </c>
      <c r="N345">
        <v>4.58</v>
      </c>
      <c r="O345">
        <v>1214000</v>
      </c>
      <c r="P345" t="inlineStr">
        <is>
          <t>67e3b49a79c93d0001251b3a</t>
        </is>
      </c>
      <c r="Q345"/>
      <c r="R345" t="inlineStr">
        <is>
          <t>15周</t>
        </is>
      </c>
      <c r="S345" t="inlineStr">
        <is>
          <t>0.05</t>
        </is>
      </c>
      <c r="T345" t="inlineStr">
        <is>
          <t>服饰穿搭</t>
        </is>
      </c>
      <c r="U345" t="inlineStr">
        <is>
          <t>女装</t>
        </is>
      </c>
      <c r="V345" s="3">
        <v>46120.939930555556</v>
      </c>
      <c r="W345" t="inlineStr">
        <is>
          <t>2026-Q2</t>
        </is>
      </c>
    </row>
    <row r="346" ht="25.5" customHeight="1">
      <c r="A346" t="inlineStr">
        <is>
          <t>加购5个一起下单39自动改价|大馅料欧包早餐代餐甜咸口芝士抹茶</t>
        </is>
      </c>
      <c r="B346" t="inlineStr">
        <is>
          <t>recvgjaKncMjFs.jpg</t>
        </is>
      </c>
      <c r="C346" s="2" t="str">
        <f>=HYPERLINK("https://xhslink.com/m/5YGnyYYl2Rg", "https://xhslink.com/m/5YGnyYYl2Rg")</f>
        <v>https://xhslink.com/m/5YGnyYYl2Rg</v>
      </c>
      <c r="D346"/>
      <c r="E346">
        <v>214000</v>
      </c>
      <c r="F346">
        <v>20</v>
      </c>
      <c r="G346"/>
      <c r="H346">
        <v>800</v>
      </c>
      <c r="I346" t="inlineStr">
        <is>
          <t>面包</t>
        </is>
      </c>
      <c r="J346" t="inlineStr">
        <is>
          <t>0.00</t>
        </is>
      </c>
      <c r="K346" t="inlineStr">
        <is>
          <t>🔥低粉爆款</t>
        </is>
      </c>
      <c r="L346" t="inlineStr">
        <is>
          <t>莓莓爱吃包的店</t>
        </is>
      </c>
      <c r="M346">
        <v>1700</v>
      </c>
      <c r="N346">
        <v>4.57</v>
      </c>
      <c r="O346">
        <v>242000</v>
      </c>
      <c r="P346" t="inlineStr">
        <is>
          <t>69bce0ceffa26d00017d87a8</t>
        </is>
      </c>
      <c r="Q346" t="inlineStr">
        <is>
          <t>🚫重复</t>
        </is>
      </c>
      <c r="R346" t="inlineStr">
        <is>
          <t>15周</t>
        </is>
      </c>
      <c r="S346" t="inlineStr">
        <is>
          <t>125.88</t>
        </is>
      </c>
      <c r="T346" t="inlineStr">
        <is>
          <t>美食滋补</t>
        </is>
      </c>
      <c r="U346" t="inlineStr">
        <is>
          <t>休闲零食</t>
        </is>
      </c>
      <c r="V346" s="3">
        <v>46121.98079861111</v>
      </c>
      <c r="W346" t="inlineStr">
        <is>
          <t>2026-Q2</t>
        </is>
      </c>
    </row>
    <row r="347" ht="25.5" customHeight="1">
      <c r="A347" t="inlineStr">
        <is>
          <t>【超轻薄】速干透气户外防晒遮阳棒球帽女跑步健身鸭舌帽男帽子</t>
        </is>
      </c>
      <c r="B347" t="inlineStr">
        <is>
          <t>recvgoYCuBxd4a.jpg</t>
        </is>
      </c>
      <c r="C347" s="2" t="str">
        <f>=HYPERLINK("https://xhslink.com/m/27ktOooJrgJ", "https://xhslink.com/m/27ktOooJrgJ")</f>
        <v>https://xhslink.com/m/27ktOooJrgJ</v>
      </c>
      <c r="D347"/>
      <c r="E347">
        <v>30000</v>
      </c>
      <c r="F347">
        <v>49.9</v>
      </c>
      <c r="G347">
        <v>39.9</v>
      </c>
      <c r="H347">
        <v>800</v>
      </c>
      <c r="I347" t="inlineStr">
        <is>
          <t>运动包配</t>
        </is>
      </c>
      <c r="J347" t="inlineStr">
        <is>
          <t>0.03</t>
        </is>
      </c>
      <c r="K347" t="inlineStr">
        <is>
          <t>🔥低粉爆款</t>
        </is>
      </c>
      <c r="L347" t="inlineStr">
        <is>
          <t>帽次元 CapsLock的店</t>
        </is>
      </c>
      <c r="M347">
        <v>947</v>
      </c>
      <c r="N347">
        <v>4.7</v>
      </c>
      <c r="O347">
        <v>38000</v>
      </c>
      <c r="P347" t="inlineStr">
        <is>
          <t>67dac9ef791e940015ebe338</t>
        </is>
      </c>
      <c r="Q347" t="inlineStr">
        <is>
          <t>🚫重复</t>
        </is>
      </c>
      <c r="R347" t="inlineStr">
        <is>
          <t>15周</t>
        </is>
      </c>
      <c r="S347" t="inlineStr">
        <is>
          <t>31.68</t>
        </is>
      </c>
      <c r="T347" t="inlineStr">
        <is>
          <t>运动潮玩</t>
        </is>
      </c>
      <c r="U347" t="inlineStr">
        <is>
          <t>运动户外装备</t>
        </is>
      </c>
      <c r="V347" s="3">
        <v>46122.97351851852</v>
      </c>
      <c r="W347" t="inlineStr">
        <is>
          <t>2026-Q2</t>
        </is>
      </c>
    </row>
    <row r="348" ht="25.5" customHeight="1">
      <c r="A348" t="inlineStr">
        <is>
          <t>肉肉拼豆铺｜新店冲量价 现货高品质融合豆2.6mm拼豆黑白</t>
        </is>
      </c>
      <c r="B348" t="inlineStr">
        <is>
          <t>recvguTbC1XHOO.jpg</t>
        </is>
      </c>
      <c r="C348" s="2" t="str">
        <f>=HYPERLINK("https://xhslink.com/m/6Ss0QOttVWN", "https://xhslink.com/m/6Ss0QOttVWN")</f>
        <v>https://xhslink.com/m/6Ss0QOttVWN</v>
      </c>
      <c r="D348"/>
      <c r="E348">
        <v>54000</v>
      </c>
      <c r="F348">
        <v>9.99</v>
      </c>
      <c r="G348"/>
      <c r="H348">
        <v>800</v>
      </c>
      <c r="I348" t="inlineStr">
        <is>
          <t>拼豆</t>
        </is>
      </c>
      <c r="J348" t="inlineStr">
        <is>
          <t>0.01</t>
        </is>
      </c>
      <c r="K348" t="inlineStr">
        <is>
          <t>🔥低粉爆款</t>
        </is>
      </c>
      <c r="L348" t="inlineStr">
        <is>
          <t>肉肉拼豆小铺的店</t>
        </is>
      </c>
      <c r="M348">
        <v>9782</v>
      </c>
      <c r="N348">
        <v>4.55</v>
      </c>
      <c r="O348">
        <v>156000</v>
      </c>
      <c r="P348" t="inlineStr">
        <is>
          <t>694b56d18ff5d4000118f875</t>
        </is>
      </c>
      <c r="Q348" t="inlineStr">
        <is>
          <t>🚫重复</t>
        </is>
      </c>
      <c r="R348" t="inlineStr">
        <is>
          <t>15周</t>
        </is>
      </c>
      <c r="S348" t="inlineStr">
        <is>
          <t>5.52</t>
        </is>
      </c>
      <c r="T348" t="inlineStr">
        <is>
          <t>运动潮玩</t>
        </is>
      </c>
      <c r="U348" t="inlineStr">
        <is>
          <t>潮玩手办</t>
        </is>
      </c>
      <c r="V348" s="3">
        <v>46123.98462962963</v>
      </c>
      <c r="W348" t="inlineStr">
        <is>
          <t>2026-Q2</t>
        </is>
      </c>
    </row>
    <row r="349" ht="25.5" customHeight="1">
      <c r="A349" t="inlineStr">
        <is>
          <t>轻松熊拉链配饰可爱萌挂脖包包（装耳机空间紧凑）</t>
        </is>
      </c>
      <c r="B349" t="inlineStr">
        <is>
          <t>recvguTbC1GUP3.jpg</t>
        </is>
      </c>
      <c r="C349" s="2" t="str">
        <f>=HYPERLINK("https://xhslink.com/m/14fIpV5OjNu", "https://xhslink.com/m/14fIpV5OjNu")</f>
        <v>https://xhslink.com/m/14fIpV5OjNu</v>
      </c>
      <c r="D349"/>
      <c r="E349">
        <v>1562</v>
      </c>
      <c r="F349">
        <v>23.5</v>
      </c>
      <c r="G349"/>
      <c r="H349">
        <v>800</v>
      </c>
      <c r="I349" t="inlineStr">
        <is>
          <t>小物件</t>
        </is>
      </c>
      <c r="J349" t="inlineStr">
        <is>
          <t>0.51</t>
        </is>
      </c>
      <c r="K349"/>
      <c r="L349" t="inlineStr">
        <is>
          <t>你这个麻瓜（瑕疵清仓）的店</t>
        </is>
      </c>
      <c r="M349">
        <v>107000</v>
      </c>
      <c r="N349">
        <v>4.52</v>
      </c>
      <c r="O349">
        <v>355000</v>
      </c>
      <c r="P349" t="inlineStr">
        <is>
          <t>69aef7aefbdff600017b5629</t>
        </is>
      </c>
      <c r="Q349" t="inlineStr">
        <is>
          <t>🚫重复</t>
        </is>
      </c>
      <c r="R349" t="inlineStr">
        <is>
          <t>15周</t>
        </is>
      </c>
      <c r="S349" t="inlineStr">
        <is>
          <t>0.01</t>
        </is>
      </c>
      <c r="T349" t="inlineStr">
        <is>
          <t>服饰穿搭</t>
        </is>
      </c>
      <c r="U349" t="inlineStr">
        <is>
          <t>鞋靴箱包</t>
        </is>
      </c>
      <c r="V349" s="3">
        <v>46123.98462962963</v>
      </c>
      <c r="W349" t="inlineStr">
        <is>
          <t>2026-Q2</t>
        </is>
      </c>
    </row>
    <row r="350" ht="25.5" customHeight="1">
      <c r="A350" t="inlineStr">
        <is>
          <t>简ノ沐里 | ML25BC002 男/女 精工细做 老钱风经典版 亚麻衬衫</t>
        </is>
      </c>
      <c r="B350" t="inlineStr">
        <is>
          <t>recvgGy5hQeuZ9.jpg</t>
        </is>
      </c>
      <c r="C350" s="2" t="str">
        <f>=HYPERLINK("https://xhslink.com/m/9j4nDdN0FxE", "https://xhslink.com/m/9j4nDdN0FxE")</f>
        <v>https://xhslink.com/m/9j4nDdN0FxE</v>
      </c>
      <c r="D350"/>
      <c r="E350">
        <v>2318</v>
      </c>
      <c r="F350">
        <v>369</v>
      </c>
      <c r="G350"/>
      <c r="H350">
        <v>800</v>
      </c>
      <c r="I350" t="inlineStr">
        <is>
          <t>上衣</t>
        </is>
      </c>
      <c r="J350" t="inlineStr">
        <is>
          <t>0.35</t>
        </is>
      </c>
      <c r="K350"/>
      <c r="L350" t="inlineStr">
        <is>
          <t>沐里衬衫慢研所的店</t>
        </is>
      </c>
      <c r="M350">
        <v>1879</v>
      </c>
      <c r="N350">
        <v>4.65</v>
      </c>
      <c r="O350">
        <v>3269</v>
      </c>
      <c r="P350" t="inlineStr">
        <is>
          <t>687b5828417c3f0001a0f011</t>
        </is>
      </c>
      <c r="Q350"/>
      <c r="R350" t="inlineStr">
        <is>
          <t>16周</t>
        </is>
      </c>
      <c r="S350" t="inlineStr">
        <is>
          <t>1.23</t>
        </is>
      </c>
      <c r="T350" t="inlineStr">
        <is>
          <t>服饰穿搭</t>
        </is>
      </c>
      <c r="U350" t="inlineStr">
        <is>
          <t>女装</t>
        </is>
      </c>
      <c r="V350" s="3">
        <v>46125.978738425925</v>
      </c>
      <c r="W350" t="inlineStr">
        <is>
          <t>2026-Q2</t>
        </is>
      </c>
    </row>
    <row r="351" ht="25.5" customHeight="1">
      <c r="A351" t="inlineStr">
        <is>
          <t>最后100单特惠！正版原创可爱花枝鼠老鼠毛绒玩具玩偶</t>
        </is>
      </c>
      <c r="B351" t="inlineStr">
        <is>
          <t>recvgGy5hQANLd.jpg</t>
        </is>
      </c>
      <c r="C351" s="2" t="str">
        <f>=HYPERLINK("https://xhslink.com/m/34Uh1aOqYoP", "https://xhslink.com/m/34Uh1aOqYoP")</f>
        <v>https://xhslink.com/m/34Uh1aOqYoP</v>
      </c>
      <c r="D351"/>
      <c r="E351">
        <v>1755</v>
      </c>
      <c r="F351">
        <v>49.9</v>
      </c>
      <c r="G351">
        <v>29.9</v>
      </c>
      <c r="H351">
        <v>800</v>
      </c>
      <c r="I351" t="inlineStr">
        <is>
          <t>毛线玩偶</t>
        </is>
      </c>
      <c r="J351" t="inlineStr">
        <is>
          <t>0.46</t>
        </is>
      </c>
      <c r="K351"/>
      <c r="L351" t="inlineStr">
        <is>
          <t>西西酱玩偶的店</t>
        </is>
      </c>
      <c r="M351">
        <v>877</v>
      </c>
      <c r="N351">
        <v>4.65</v>
      </c>
      <c r="O351">
        <v>1768</v>
      </c>
      <c r="P351" t="inlineStr">
        <is>
          <t>69c1112a15bd7400019c6110</t>
        </is>
      </c>
      <c r="Q351" t="inlineStr">
        <is>
          <t>🚫重复</t>
        </is>
      </c>
      <c r="R351" t="inlineStr">
        <is>
          <t>16周</t>
        </is>
      </c>
      <c r="S351" t="inlineStr">
        <is>
          <t>2.00</t>
        </is>
      </c>
      <c r="T351" t="inlineStr">
        <is>
          <t>母婴亲子</t>
        </is>
      </c>
      <c r="U351" t="inlineStr">
        <is>
          <t>玩具早教</t>
        </is>
      </c>
      <c r="V351" s="3">
        <v>46125.978738425925</v>
      </c>
      <c r="W351" t="inlineStr">
        <is>
          <t>2026-Q2</t>
        </is>
      </c>
    </row>
    <row r="352" ht="25.5" customHeight="1">
      <c r="A352" t="inlineStr">
        <is>
          <t>GLYNNA · 好闪啊!blackpink同款网球手链圆钻满钻镀18k白金2mm3m新年礼物</t>
        </is>
      </c>
      <c r="B352" t="inlineStr">
        <is>
          <t>__upload_recvgMo2ZYQj10.jpg</t>
        </is>
      </c>
      <c r="C352" s="2" t="str">
        <f>=HYPERLINK("https://xhslink.com/m/2KShbq9RkWG", "https://xhslink.com/m/2KShbq9RkWG")</f>
        <v>https://xhslink.com/m/2KShbq9RkWG</v>
      </c>
      <c r="D352"/>
      <c r="E352">
        <v>36000</v>
      </c>
      <c r="F352">
        <v>188</v>
      </c>
      <c r="G352">
        <v>148</v>
      </c>
      <c r="H352">
        <v>800</v>
      </c>
      <c r="I352" t="inlineStr">
        <is>
          <t>头饰</t>
        </is>
      </c>
      <c r="J352" t="inlineStr">
        <is>
          <t>0.02</t>
        </is>
      </c>
      <c r="K352"/>
      <c r="L352" t="inlineStr">
        <is>
          <t>GLYNNA格林娜旗舰店</t>
        </is>
      </c>
      <c r="M352">
        <v>13000</v>
      </c>
      <c r="N352">
        <v>4.62</v>
      </c>
      <c r="O352">
        <v>67000</v>
      </c>
      <c r="P352" t="inlineStr">
        <is>
          <t>68fa5f49e0f3b20001d8c2c5</t>
        </is>
      </c>
      <c r="Q352" t="inlineStr">
        <is>
          <t>🚫重复</t>
        </is>
      </c>
      <c r="R352" t="inlineStr">
        <is>
          <t>16周</t>
        </is>
      </c>
      <c r="S352" t="inlineStr">
        <is>
          <t>2.77</t>
        </is>
      </c>
      <c r="T352" t="inlineStr">
        <is>
          <t>服饰穿搭</t>
        </is>
      </c>
      <c r="U352" t="inlineStr">
        <is>
          <t>配饰</t>
        </is>
      </c>
      <c r="V352" s="3">
        <v>46126.97719907408</v>
      </c>
      <c r="W352" t="inlineStr">
        <is>
          <t>2026-Q2</t>
        </is>
      </c>
    </row>
    <row r="353" ht="25.5" customHeight="1">
      <c r="A353" t="inlineStr">
        <is>
          <t>新款2026春夏季美式小狗纯棉印花宽松oversize趣味多巴胺ins短袖</t>
        </is>
      </c>
      <c r="B353" t="inlineStr">
        <is>
          <t>__upload_recvgSimhWL87l.jpg</t>
        </is>
      </c>
      <c r="C353" s="2" t="str">
        <f>=HYPERLINK("https://xhslink.com/m/1BhCixXZoLt", "https://xhslink.com/m/1BhCixXZoLt")</f>
        <v>https://xhslink.com/m/1BhCixXZoLt</v>
      </c>
      <c r="D353"/>
      <c r="E353">
        <v>4634</v>
      </c>
      <c r="F353">
        <v>36.9</v>
      </c>
      <c r="G353">
        <v>28.7</v>
      </c>
      <c r="H353">
        <v>800</v>
      </c>
      <c r="I353" t="inlineStr">
        <is>
          <t>短袖</t>
        </is>
      </c>
      <c r="J353" t="inlineStr">
        <is>
          <t>0.17</t>
        </is>
      </c>
      <c r="K353" t="inlineStr">
        <is>
          <t>🔥低粉爆款</t>
        </is>
      </c>
      <c r="L353" t="inlineStr">
        <is>
          <t>M'S美式线上商店的店</t>
        </is>
      </c>
      <c r="M353">
        <v>1279</v>
      </c>
      <c r="N353">
        <v>4.64</v>
      </c>
      <c r="O353">
        <v>14000</v>
      </c>
      <c r="P353" t="inlineStr">
        <is>
          <t>69c2c35b99f8fe00010d7b60</t>
        </is>
      </c>
      <c r="Q353" t="inlineStr">
        <is>
          <t>🚫重复</t>
        </is>
      </c>
      <c r="R353" t="inlineStr">
        <is>
          <t>16周</t>
        </is>
      </c>
      <c r="S353" t="inlineStr">
        <is>
          <t>3.62</t>
        </is>
      </c>
      <c r="T353" t="inlineStr">
        <is>
          <t>服饰穿搭</t>
        </is>
      </c>
      <c r="U353" t="inlineStr">
        <is>
          <t>女装</t>
        </is>
      </c>
      <c r="V353" s="3">
        <v>46127.98767361111</v>
      </c>
      <c r="W353" t="inlineStr">
        <is>
          <t>2026-Q2</t>
        </is>
      </c>
    </row>
    <row r="354" ht="25.5" customHeight="1">
      <c r="A354" t="inlineStr">
        <is>
          <t>气质经典款～夏季薄款进口兰精天丝中高领针织短袖女（勿机洗）</t>
        </is>
      </c>
      <c r="B354" t="inlineStr">
        <is>
          <t>__upload_recvgSimhWlgQu.jpg</t>
        </is>
      </c>
      <c r="C354" s="2" t="str">
        <f>=HYPERLINK("https://xhslink.com/m/6sdVezsNiNq", "https://xhslink.com/m/6sdVezsNiNq")</f>
        <v>https://xhslink.com/m/6sdVezsNiNq</v>
      </c>
      <c r="D354"/>
      <c r="E354">
        <v>5354</v>
      </c>
      <c r="F354">
        <v>148</v>
      </c>
      <c r="G354">
        <v>108</v>
      </c>
      <c r="H354">
        <v>800</v>
      </c>
      <c r="I354" t="inlineStr">
        <is>
          <t>短袖</t>
        </is>
      </c>
      <c r="J354" t="inlineStr">
        <is>
          <t>0.15</t>
        </is>
      </c>
      <c r="K354"/>
      <c r="L354" t="inlineStr">
        <is>
          <t>左希服装工作室的店</t>
        </is>
      </c>
      <c r="M354">
        <v>36000</v>
      </c>
      <c r="N354">
        <v>4.65</v>
      </c>
      <c r="O354">
        <v>164000</v>
      </c>
      <c r="P354" t="inlineStr">
        <is>
          <t>6684e91ae269b2000119f866</t>
        </is>
      </c>
      <c r="Q354" t="inlineStr">
        <is>
          <t>🚫重复</t>
        </is>
      </c>
      <c r="R354" t="inlineStr">
        <is>
          <t>16周</t>
        </is>
      </c>
      <c r="S354" t="inlineStr">
        <is>
          <t>0.15</t>
        </is>
      </c>
      <c r="T354" t="inlineStr">
        <is>
          <t>服饰穿搭</t>
        </is>
      </c>
      <c r="U354" t="inlineStr">
        <is>
          <t>女装</t>
        </is>
      </c>
      <c r="V354" s="3">
        <v>46127.98767361111</v>
      </c>
      <c r="W354" t="inlineStr">
        <is>
          <t>2026-Q2</t>
        </is>
      </c>
    </row>
    <row r="355" ht="25.5" customHeight="1">
      <c r="A355" t="inlineStr">
        <is>
          <t>多色基础派！中袖针织tee 瘦瘦大U领上衣天丝纯色百搭tee 7841</t>
        </is>
      </c>
      <c r="B355" t="inlineStr">
        <is>
          <t>__upload_recvgSimhWrB3C.jpg</t>
        </is>
      </c>
      <c r="C355" s="2" t="str">
        <f>=HYPERLINK("https://xhslink.com/m/6Tj4DNNVixh", "https://xhslink.com/m/6Tj4DNNVixh")</f>
        <v>https://xhslink.com/m/6Tj4DNNVixh</v>
      </c>
      <c r="D355"/>
      <c r="E355">
        <v>23000</v>
      </c>
      <c r="F355">
        <v>54</v>
      </c>
      <c r="G355"/>
      <c r="H355">
        <v>800</v>
      </c>
      <c r="I355" t="inlineStr">
        <is>
          <t>短袖</t>
        </is>
      </c>
      <c r="J355" t="inlineStr">
        <is>
          <t>0.03</t>
        </is>
      </c>
      <c r="K355"/>
      <c r="L355" t="inlineStr">
        <is>
          <t>谜该呀的店</t>
        </is>
      </c>
      <c r="M355">
        <v>22000</v>
      </c>
      <c r="N355">
        <v>4.57</v>
      </c>
      <c r="O355">
        <v>97000</v>
      </c>
      <c r="P355" t="inlineStr">
        <is>
          <t>689afffab2c16b0015b59bdf</t>
        </is>
      </c>
      <c r="Q355"/>
      <c r="R355" t="inlineStr">
        <is>
          <t>16周</t>
        </is>
      </c>
      <c r="S355" t="inlineStr">
        <is>
          <t>1.05</t>
        </is>
      </c>
      <c r="T355" t="inlineStr">
        <is>
          <t>服饰穿搭</t>
        </is>
      </c>
      <c r="U355" t="inlineStr">
        <is>
          <t>女装</t>
        </is>
      </c>
      <c r="V355" s="3">
        <v>46127.98767361111</v>
      </c>
      <c r="W355" t="inlineStr">
        <is>
          <t>2026-Q2</t>
        </is>
      </c>
    </row>
    <row r="356" ht="25.5" customHeight="1">
      <c r="A356" t="inlineStr">
        <is>
          <t>烘焙町 · [姜妍同款品牌直营] 抹茶黄油豆馅面包 镇店招牌(全店满88包邮)</t>
        </is>
      </c>
      <c r="B356" t="inlineStr">
        <is>
          <t>__upload_recvgY7N5z3OIB.jpg</t>
        </is>
      </c>
      <c r="C356" s="2" t="str">
        <f>=HYPERLINK("https://xhslink.com/m/3PA3xmmnxuJ", "https://xhslink.com/m/3PA3xmmnxuJ")</f>
        <v>https://xhslink.com/m/3PA3xmmnxuJ</v>
      </c>
      <c r="D356"/>
      <c r="E356">
        <v>8811</v>
      </c>
      <c r="F356">
        <v>18</v>
      </c>
      <c r="G356"/>
      <c r="H356">
        <v>800</v>
      </c>
      <c r="I356" t="inlineStr">
        <is>
          <t>早餐面包</t>
        </is>
      </c>
      <c r="J356" t="inlineStr">
        <is>
          <t>0.09</t>
        </is>
      </c>
      <c r="K356"/>
      <c r="L356" t="inlineStr">
        <is>
          <t>烘焙町面包店的店</t>
        </is>
      </c>
      <c r="M356">
        <v>5633</v>
      </c>
      <c r="N356">
        <v>4.31</v>
      </c>
      <c r="O356">
        <v>31000</v>
      </c>
      <c r="P356" t="inlineStr">
        <is>
          <t>698eddfa1dbf920001815739</t>
        </is>
      </c>
      <c r="Q356" t="inlineStr">
        <is>
          <t>🚫重复</t>
        </is>
      </c>
      <c r="R356" t="inlineStr">
        <is>
          <t>16周</t>
        </is>
      </c>
      <c r="S356" t="inlineStr">
        <is>
          <t>1.56</t>
        </is>
      </c>
      <c r="T356" t="inlineStr">
        <is>
          <t>美食滋补</t>
        </is>
      </c>
      <c r="U356" t="inlineStr">
        <is>
          <t>休闲零食</t>
        </is>
      </c>
      <c r="V356" s="3">
        <v>46128.98467592592</v>
      </c>
      <c r="W356" t="inlineStr">
        <is>
          <t>2026-Q2</t>
        </is>
      </c>
    </row>
    <row r="357" ht="25.5" customHeight="1">
      <c r="A357" t="inlineStr">
        <is>
          <t>彩椒·水果小甜椒·红黄五彩椒柿子椒甜椒灯笼椒新鲜脆甜多汁</t>
        </is>
      </c>
      <c r="B357" t="inlineStr">
        <is>
          <t>__upload_recvh40CU0yaHf.jpg</t>
        </is>
      </c>
      <c r="C357" s="2" t="str">
        <f>=HYPERLINK("https://xhslink.com/m/4LZcL6J52gp", "https://xhslink.com/m/4LZcL6J52gp")</f>
        <v>https://xhslink.com/m/4LZcL6J52gp</v>
      </c>
      <c r="D357"/>
      <c r="E357">
        <v>60000</v>
      </c>
      <c r="F357">
        <v>45.9</v>
      </c>
      <c r="G357">
        <v>30.9</v>
      </c>
      <c r="H357">
        <v>800</v>
      </c>
      <c r="I357" t="inlineStr">
        <is>
          <t>蔬菜</t>
        </is>
      </c>
      <c r="J357" t="inlineStr">
        <is>
          <t>0.01</t>
        </is>
      </c>
      <c r="K357" t="inlineStr">
        <is>
          <t>🔥低粉爆款</t>
        </is>
      </c>
      <c r="L357" t="inlineStr">
        <is>
          <t>一亩鲜生的店</t>
        </is>
      </c>
      <c r="M357">
        <v>3281</v>
      </c>
      <c r="N357">
        <v>3.95</v>
      </c>
      <c r="O357">
        <v>124000</v>
      </c>
      <c r="P357" t="inlineStr">
        <is>
          <t>6800637081dea70001dc36dd</t>
        </is>
      </c>
      <c r="Q357"/>
      <c r="R357" t="inlineStr">
        <is>
          <t>16周</t>
        </is>
      </c>
      <c r="S357" t="inlineStr">
        <is>
          <t>18.29</t>
        </is>
      </c>
      <c r="T357" t="inlineStr">
        <is>
          <t>美食滋补</t>
        </is>
      </c>
      <c r="U357" t="inlineStr">
        <is>
          <t>生鲜特产</t>
        </is>
      </c>
      <c r="V357" s="3">
        <v>46129.991064814814</v>
      </c>
      <c r="W357" t="inlineStr">
        <is>
          <t>2026-Q2</t>
        </is>
      </c>
    </row>
    <row r="358" ht="25.5" customHeight="1">
      <c r="A358" t="inlineStr">
        <is>
          <t>炒三仙积食包舌苔三星汤厚腻大人宝宝开味消禾麦芽谷芽炒三楂</t>
        </is>
      </c>
      <c r="B358" t="inlineStr">
        <is>
          <t>__upload_recvh40CU02LtH.jpg</t>
        </is>
      </c>
      <c r="C358" s="2" t="str">
        <f>=HYPERLINK("https://xhslink.com/m/zDamPoleVh", "https://xhslink.com/m/zDamPoleVh")</f>
        <v>https://xhslink.com/m/zDamPoleVh</v>
      </c>
      <c r="D358"/>
      <c r="E358">
        <v>11000</v>
      </c>
      <c r="F358">
        <v>99.9</v>
      </c>
      <c r="G358">
        <v>27.9</v>
      </c>
      <c r="H358">
        <v>800</v>
      </c>
      <c r="I358" t="inlineStr">
        <is>
          <t>辅食营养</t>
        </is>
      </c>
      <c r="J358" t="inlineStr">
        <is>
          <t>0.07</t>
        </is>
      </c>
      <c r="K358" t="inlineStr">
        <is>
          <t>🔥低粉爆款</t>
        </is>
      </c>
      <c r="L358" t="inlineStr">
        <is>
          <t>燃苒精选的店</t>
        </is>
      </c>
      <c r="M358">
        <v>43</v>
      </c>
      <c r="N358">
        <v>4.65</v>
      </c>
      <c r="O358">
        <v>30000</v>
      </c>
      <c r="P358" t="inlineStr">
        <is>
          <t>68ac28278ec6fa00013eb752</t>
        </is>
      </c>
      <c r="Q358" t="inlineStr">
        <is>
          <t>🚫重复</t>
        </is>
      </c>
      <c r="R358" t="inlineStr">
        <is>
          <t>16周</t>
        </is>
      </c>
      <c r="S358" t="inlineStr">
        <is>
          <t>255.81</t>
        </is>
      </c>
      <c r="T358" t="inlineStr">
        <is>
          <t>母婴亲子</t>
        </is>
      </c>
      <c r="U358" t="inlineStr">
        <is>
          <t>童装童鞋</t>
        </is>
      </c>
      <c r="V358" s="3">
        <v>46129.991064814814</v>
      </c>
      <c r="W358" t="inlineStr">
        <is>
          <t>2026-Q2</t>
        </is>
      </c>
    </row>
    <row r="359" ht="25.5" customHeight="1">
      <c r="A359" t="inlineStr">
        <is>
          <t>暴走薄底人字拖鞋推荐女EVA防滑防臭泰国三亚旅游户外足弓鞋</t>
        </is>
      </c>
      <c r="B359" t="inlineStr">
        <is>
          <t>__upload_recvh9P0bmoXIp.jpg</t>
        </is>
      </c>
      <c r="C359" s="2" t="str">
        <f>=HYPERLINK("https://xhslink.com/m/AHrDs6DwKvG", "https://xhslink.com/m/AHrDs6DwKvG")</f>
        <v>https://xhslink.com/m/AHrDs6DwKvG</v>
      </c>
      <c r="D359"/>
      <c r="E359">
        <v>465</v>
      </c>
      <c r="F359">
        <v>39.9</v>
      </c>
      <c r="G359">
        <v>15.9</v>
      </c>
      <c r="H359">
        <v>800</v>
      </c>
      <c r="I359" t="inlineStr">
        <is>
          <t>海边穿搭</t>
        </is>
      </c>
      <c r="J359" t="inlineStr">
        <is>
          <t>1.72</t>
        </is>
      </c>
      <c r="K359" t="inlineStr">
        <is>
          <t>🔥低粉爆款</t>
        </is>
      </c>
      <c r="L359" t="inlineStr">
        <is>
          <t>小莉美哭了的店</t>
        </is>
      </c>
      <c r="M359">
        <v>99</v>
      </c>
      <c r="N359">
        <v>4.7</v>
      </c>
      <c r="O359">
        <v>448</v>
      </c>
      <c r="P359" t="inlineStr">
        <is>
          <t>69bc029362c5c00015610395</t>
        </is>
      </c>
      <c r="Q359"/>
      <c r="R359" t="inlineStr">
        <is>
          <t>16周</t>
        </is>
      </c>
      <c r="S359" t="inlineStr">
        <is>
          <t>4.70</t>
        </is>
      </c>
      <c r="T359" t="inlineStr">
        <is>
          <t>服饰穿搭</t>
        </is>
      </c>
      <c r="U359" t="inlineStr">
        <is>
          <t>鞋靴箱包</t>
        </is>
      </c>
      <c r="V359" s="3">
        <v>46130.98501157408</v>
      </c>
      <c r="W359" t="inlineStr">
        <is>
          <t>2026-Q2</t>
        </is>
      </c>
    </row>
    <row r="360" ht="25.5" customHeight="1">
      <c r="A360" t="inlineStr">
        <is>
          <t>短保6天古早味老式手工夹心面包蓝莓沙拉奶油肉松早餐代餐小零食</t>
        </is>
      </c>
      <c r="B360" t="inlineStr">
        <is>
          <t>__upload_recvh9P0bm35lu.jpg</t>
        </is>
      </c>
      <c r="C360" s="2" t="str">
        <f>=HYPERLINK("https://xhslink.com/m/DcP2QVjVCw", "https://xhslink.com/m/DcP2QVjVCw")</f>
        <v>https://xhslink.com/m/DcP2QVjVCw</v>
      </c>
      <c r="D360"/>
      <c r="E360">
        <v>58000</v>
      </c>
      <c r="F360">
        <v>19.9</v>
      </c>
      <c r="G360">
        <v>11.8</v>
      </c>
      <c r="H360">
        <v>800</v>
      </c>
      <c r="I360" t="inlineStr">
        <is>
          <t>低热量零食</t>
        </is>
      </c>
      <c r="J360" t="inlineStr">
        <is>
          <t>0.01</t>
        </is>
      </c>
      <c r="K360" t="inlineStr">
        <is>
          <t>🔥低粉爆款</t>
        </is>
      </c>
      <c r="L360" t="inlineStr">
        <is>
          <t>吧拉拉爱吃的店</t>
        </is>
      </c>
      <c r="M360">
        <v>4325</v>
      </c>
      <c r="N360">
        <v>3.88</v>
      </c>
      <c r="O360">
        <v>105000</v>
      </c>
      <c r="P360" t="inlineStr">
        <is>
          <t>69ca834e1e3a1a00018b3370</t>
        </is>
      </c>
      <c r="Q360" t="inlineStr">
        <is>
          <t>🚫重复</t>
        </is>
      </c>
      <c r="R360" t="inlineStr">
        <is>
          <t>16周</t>
        </is>
      </c>
      <c r="S360" t="inlineStr">
        <is>
          <t>13.41</t>
        </is>
      </c>
      <c r="T360" t="inlineStr">
        <is>
          <t>美食滋补</t>
        </is>
      </c>
      <c r="U360" t="inlineStr">
        <is>
          <t>休闲零食</t>
        </is>
      </c>
      <c r="V360" s="3">
        <v>46130.98501157408</v>
      </c>
      <c r="W360" t="inlineStr">
        <is>
          <t>2026-Q2</t>
        </is>
      </c>
    </row>
    <row r="361" ht="25.5" customHeight="1">
      <c r="A361" t="inlineStr">
        <is>
          <t>札萨 · 【一根猪】超干猪肉条盒子有油不售后!保质期已改90天s</t>
        </is>
      </c>
      <c r="B361" t="inlineStr">
        <is>
          <t>__upload_recvh9P0bmibvf.jpg</t>
        </is>
      </c>
      <c r="C361" s="2" t="str">
        <f>=HYPERLINK("https://xhslink.com/m/A1TzEWQQcRB", "https://xhslink.com/m/A1TzEWQQcRB")</f>
        <v>https://xhslink.com/m/A1TzEWQQcRB</v>
      </c>
      <c r="D361"/>
      <c r="E361">
        <v>266000</v>
      </c>
      <c r="F361">
        <v>43.9</v>
      </c>
      <c r="G361"/>
      <c r="H361">
        <v>800</v>
      </c>
      <c r="I361" t="inlineStr">
        <is>
          <t>低热量零食</t>
        </is>
      </c>
      <c r="J361" t="inlineStr">
        <is>
          <t>0.00</t>
        </is>
      </c>
      <c r="K361"/>
      <c r="L361" t="inlineStr">
        <is>
          <t>札萨旗舰店</t>
        </is>
      </c>
      <c r="M361">
        <v>123000</v>
      </c>
      <c r="N361">
        <v>4.57</v>
      </c>
      <c r="O361">
        <v>1406000</v>
      </c>
      <c r="P361" t="inlineStr">
        <is>
          <t>69293d9b14b5260001914c70</t>
        </is>
      </c>
      <c r="Q361" t="inlineStr">
        <is>
          <t>🚫重复</t>
        </is>
      </c>
      <c r="R361" t="inlineStr">
        <is>
          <t>16周</t>
        </is>
      </c>
      <c r="S361" t="inlineStr">
        <is>
          <t>2.16</t>
        </is>
      </c>
      <c r="T361" t="inlineStr">
        <is>
          <t>美食滋补</t>
        </is>
      </c>
      <c r="U361" t="inlineStr">
        <is>
          <t>休闲零食</t>
        </is>
      </c>
      <c r="V361" s="3">
        <v>46130.98501157408</v>
      </c>
      <c r="W361" t="inlineStr">
        <is>
          <t>2026-Q2</t>
        </is>
      </c>
    </row>
    <row r="362" ht="25.5" customHeight="1">
      <c r="A362" t="inlineStr">
        <is>
          <t>原食铺春夏限定红茶凤梨辣松手工蛋黄酥下午茶糕点休闲零食甜品</t>
        </is>
      </c>
      <c r="B362" t="inlineStr">
        <is>
          <t>__upload_recvh9P0bmZnTI.jpg</t>
        </is>
      </c>
      <c r="C362" s="2" t="str">
        <f>=HYPERLINK("https://xhslink.com/m/4Q3Wmjf3kaY", "https://xhslink.com/m/4Q3Wmjf3kaY")</f>
        <v>https://xhslink.com/m/4Q3Wmjf3kaY</v>
      </c>
      <c r="D362"/>
      <c r="E362">
        <v>1982</v>
      </c>
      <c r="F362">
        <v>29.7</v>
      </c>
      <c r="G362"/>
      <c r="H362">
        <v>800</v>
      </c>
      <c r="I362" t="inlineStr">
        <is>
          <t>低热量零食</t>
        </is>
      </c>
      <c r="J362" t="inlineStr">
        <is>
          <t>0.40</t>
        </is>
      </c>
      <c r="K362"/>
      <c r="L362" t="inlineStr">
        <is>
          <t>合肥原食铺的店</t>
        </is>
      </c>
      <c r="M362">
        <v>10000</v>
      </c>
      <c r="N362">
        <v>4.82</v>
      </c>
      <c r="O362">
        <v>57000</v>
      </c>
      <c r="P362" t="inlineStr">
        <is>
          <t>6964f5fe9d3b310001343e6a</t>
        </is>
      </c>
      <c r="Q362"/>
      <c r="R362" t="inlineStr">
        <is>
          <t>16周</t>
        </is>
      </c>
      <c r="S362" t="inlineStr">
        <is>
          <t>0.20</t>
        </is>
      </c>
      <c r="T362" t="inlineStr">
        <is>
          <t>美食滋补</t>
        </is>
      </c>
      <c r="U362" t="inlineStr">
        <is>
          <t>休闲零食</t>
        </is>
      </c>
      <c r="V362" s="3">
        <v>46130.98501157408</v>
      </c>
      <c r="W362" t="inlineStr">
        <is>
          <t>2026-Q2</t>
        </is>
      </c>
    </row>
    <row r="363" ht="25.5" customHeight="1">
      <c r="A363" t="inlineStr">
        <is>
          <t>小众大容量单肩托特包休闲出游百搭通勤多隔层斜挎包</t>
        </is>
      </c>
      <c r="B363" t="inlineStr">
        <is>
          <t>__upload_recvhfQmhqIw34.jpg</t>
        </is>
      </c>
      <c r="C363" s="2" t="str">
        <f>=HYPERLINK("https://xhslink.com/m/5WLeKx4oS43", "https://xhslink.com/m/5WLeKx4oS43")</f>
        <v>https://xhslink.com/m/5WLeKx4oS43</v>
      </c>
      <c r="D363"/>
      <c r="E363">
        <v>1190</v>
      </c>
      <c r="F363">
        <v>65</v>
      </c>
      <c r="G363">
        <v>55</v>
      </c>
      <c r="H363">
        <v>800</v>
      </c>
      <c r="I363" t="inlineStr">
        <is>
          <t>小斜挎包</t>
        </is>
      </c>
      <c r="J363" t="inlineStr">
        <is>
          <t>0.67</t>
        </is>
      </c>
      <c r="K363"/>
      <c r="L363" t="inlineStr">
        <is>
          <t>元气能量包的店</t>
        </is>
      </c>
      <c r="M363">
        <v>581</v>
      </c>
      <c r="N363">
        <v>4.53</v>
      </c>
      <c r="O363">
        <v>3118</v>
      </c>
      <c r="P363" t="inlineStr">
        <is>
          <t>69b512fd771a670001cc450a</t>
        </is>
      </c>
      <c r="Q363" t="inlineStr">
        <is>
          <t>🚫重复</t>
        </is>
      </c>
      <c r="R363" t="inlineStr">
        <is>
          <t>17周</t>
        </is>
      </c>
      <c r="S363" t="inlineStr">
        <is>
          <t>2.05</t>
        </is>
      </c>
      <c r="T363" t="inlineStr">
        <is>
          <t>服饰穿搭</t>
        </is>
      </c>
      <c r="U363" t="inlineStr">
        <is>
          <t>鞋靴箱包</t>
        </is>
      </c>
      <c r="V363" s="3">
        <v>46132.014918981484</v>
      </c>
      <c r="W363" t="inlineStr">
        <is>
          <t>2026-Q2</t>
        </is>
      </c>
    </row>
    <row r="364" ht="25.5" customHeight="1">
      <c r="A364" t="inlineStr">
        <is>
          <t>2026新款工装显瘦半身裙伞裙a字半裙垂坠感小个子夏季南瓜长裙</t>
        </is>
      </c>
      <c r="B364" t="inlineStr">
        <is>
          <t>__upload_recvhfQmhqeUlv.jpg</t>
        </is>
      </c>
      <c r="C364" s="2" t="str">
        <f>=HYPERLINK("https://xhslink.com/m/3je2cSSK1q8", "https://xhslink.com/m/3je2cSSK1q8")</f>
        <v>https://xhslink.com/m/3je2cSSK1q8</v>
      </c>
      <c r="D364"/>
      <c r="E364">
        <v>1860</v>
      </c>
      <c r="F364">
        <v>79.9</v>
      </c>
      <c r="G364">
        <v>46.9</v>
      </c>
      <c r="H364">
        <v>800</v>
      </c>
      <c r="I364" t="inlineStr">
        <is>
          <t>半身裙</t>
        </is>
      </c>
      <c r="J364" t="inlineStr">
        <is>
          <t>0.43</t>
        </is>
      </c>
      <c r="K364" t="inlineStr">
        <is>
          <t>🔥低粉爆款</t>
        </is>
      </c>
      <c r="L364" t="inlineStr">
        <is>
          <t>Small.的店</t>
        </is>
      </c>
      <c r="M364">
        <v>506</v>
      </c>
      <c r="N364">
        <v>4.68</v>
      </c>
      <c r="O364">
        <v>2384</v>
      </c>
      <c r="P364" t="inlineStr">
        <is>
          <t>69a9ce29dd2f440001d43f14</t>
        </is>
      </c>
      <c r="Q364"/>
      <c r="R364" t="inlineStr">
        <is>
          <t>17周</t>
        </is>
      </c>
      <c r="S364" t="inlineStr">
        <is>
          <t>3.68</t>
        </is>
      </c>
      <c r="T364" t="inlineStr">
        <is>
          <t>服饰穿搭</t>
        </is>
      </c>
      <c r="U364" t="inlineStr">
        <is>
          <t>女装</t>
        </is>
      </c>
      <c r="V364" s="3">
        <v>46132.014918981484</v>
      </c>
      <c r="W364" t="inlineStr">
        <is>
          <t>2026-Q2</t>
        </is>
      </c>
    </row>
    <row r="365" ht="25.5" customHeight="1">
      <c r="A365" t="inlineStr">
        <is>
          <t>PEACH自制 大裙摆半身裙春夏季半身裙氛围感蛋糕裙高腰A字裙长裙</t>
        </is>
      </c>
      <c r="B365" t="inlineStr">
        <is>
          <t>__upload_recvhfQmhqfVrA.jpg</t>
        </is>
      </c>
      <c r="C365" s="2" t="str">
        <f>=HYPERLINK("https://xhslink.com/m/6YqF7Sk44Ms", "https://xhslink.com/m/6YqF7Sk44Ms")</f>
        <v>https://xhslink.com/m/6YqF7Sk44Ms</v>
      </c>
      <c r="D365"/>
      <c r="E365">
        <v>36000</v>
      </c>
      <c r="F365">
        <v>44.9</v>
      </c>
      <c r="G365"/>
      <c r="H365">
        <v>800</v>
      </c>
      <c r="I365" t="inlineStr">
        <is>
          <t>半身裙</t>
        </is>
      </c>
      <c r="J365" t="inlineStr">
        <is>
          <t>0.02</t>
        </is>
      </c>
      <c r="K365" t="inlineStr">
        <is>
          <t>🔥低粉爆款</t>
        </is>
      </c>
      <c r="L365" t="inlineStr">
        <is>
          <t>PEACH自制的店</t>
        </is>
      </c>
      <c r="M365">
        <v>9708</v>
      </c>
      <c r="N365">
        <v>4.63</v>
      </c>
      <c r="O365">
        <v>66000</v>
      </c>
      <c r="P365" t="inlineStr">
        <is>
          <t>67d7c1cd0144270001e609aa</t>
        </is>
      </c>
      <c r="Q365" t="inlineStr">
        <is>
          <t>🚫重复</t>
        </is>
      </c>
      <c r="R365" t="inlineStr">
        <is>
          <t>17周</t>
        </is>
      </c>
      <c r="S365" t="inlineStr">
        <is>
          <t>3.71</t>
        </is>
      </c>
      <c r="T365" t="inlineStr">
        <is>
          <t>服饰穿搭</t>
        </is>
      </c>
      <c r="U365" t="inlineStr">
        <is>
          <t>女装</t>
        </is>
      </c>
      <c r="V365" s="3">
        <v>46132.014918981484</v>
      </c>
      <c r="W365" t="inlineStr">
        <is>
          <t>2026-Q2</t>
        </is>
      </c>
    </row>
    <row r="366" ht="25.5" customHeight="1">
      <c r="A366" t="inlineStr">
        <is>
          <t>手剥特大号海虾仁 低脂优蛋白 无冰无添加 新鲜手剥 多规格可选</t>
        </is>
      </c>
      <c r="B366" t="inlineStr">
        <is>
          <t>__upload_recvhfQmhq9448.jpg</t>
        </is>
      </c>
      <c r="C366" s="2" t="str">
        <f>=HYPERLINK("https://xhslink.com/m/AbPm6qEjwwW", "https://xhslink.com/m/AbPm6qEjwwW")</f>
        <v>https://xhslink.com/m/AbPm6qEjwwW</v>
      </c>
      <c r="D366"/>
      <c r="E366">
        <v>157000</v>
      </c>
      <c r="F366">
        <v>336</v>
      </c>
      <c r="G366">
        <v>266.6</v>
      </c>
      <c r="H366">
        <v>800</v>
      </c>
      <c r="I366" t="inlineStr">
        <is>
          <t>早餐食品</t>
        </is>
      </c>
      <c r="J366" t="inlineStr">
        <is>
          <t>0.01</t>
        </is>
      </c>
      <c r="K366" t="inlineStr">
        <is>
          <t>🔥低粉爆款</t>
        </is>
      </c>
      <c r="L366" t="inlineStr">
        <is>
          <t>海边原著的店</t>
        </is>
      </c>
      <c r="M366">
        <v>37000</v>
      </c>
      <c r="N366">
        <v>4.71</v>
      </c>
      <c r="O366">
        <v>440000</v>
      </c>
      <c r="P366" t="inlineStr">
        <is>
          <t>683bcd29d900140001971015</t>
        </is>
      </c>
      <c r="Q366" t="inlineStr">
        <is>
          <t>🚫重复</t>
        </is>
      </c>
      <c r="R366" t="inlineStr">
        <is>
          <t>17周</t>
        </is>
      </c>
      <c r="S366" t="inlineStr">
        <is>
          <t>4.24</t>
        </is>
      </c>
      <c r="T366" t="inlineStr">
        <is>
          <t>美食滋补</t>
        </is>
      </c>
      <c r="U366" t="inlineStr">
        <is>
          <t>休闲零食</t>
        </is>
      </c>
      <c r="V366" s="3">
        <v>46132.014918981484</v>
      </c>
      <c r="W366" t="inlineStr">
        <is>
          <t>2026-Q2</t>
        </is>
      </c>
    </row>
    <row r="367" ht="25.5" customHeight="1">
      <c r="A367" t="inlineStr">
        <is>
          <t>手剥特大号海虾仁 低脂优蛋白 无冰无添加 新鲜手剥 多规格可选</t>
        </is>
      </c>
      <c r="B367" t="inlineStr">
        <is>
          <t>__upload_recvhfQmhqxhSA.jpg</t>
        </is>
      </c>
      <c r="C367" s="2" t="str">
        <f>=HYPERLINK("https://xhslink.com/m/AyP2oP7aXcd", "https://xhslink.com/m/AyP2oP7aXcd")</f>
        <v>https://xhslink.com/m/AyP2oP7aXcd</v>
      </c>
      <c r="D367"/>
      <c r="E367">
        <v>157000</v>
      </c>
      <c r="F367">
        <v>106</v>
      </c>
      <c r="G367">
        <v>76</v>
      </c>
      <c r="H367">
        <v>800</v>
      </c>
      <c r="I367" t="inlineStr">
        <is>
          <t>早餐食品</t>
        </is>
      </c>
      <c r="J367" t="inlineStr">
        <is>
          <t>0.01</t>
        </is>
      </c>
      <c r="K367" t="inlineStr">
        <is>
          <t>🔥低粉爆款</t>
        </is>
      </c>
      <c r="L367" t="inlineStr">
        <is>
          <t>海边原著的店</t>
        </is>
      </c>
      <c r="M367">
        <v>37000</v>
      </c>
      <c r="N367">
        <v>4.71</v>
      </c>
      <c r="O367">
        <v>440000</v>
      </c>
      <c r="P367" t="inlineStr">
        <is>
          <t>68fdc46fbecfcc000157790a</t>
        </is>
      </c>
      <c r="Q367" t="inlineStr">
        <is>
          <t>🚫重复</t>
        </is>
      </c>
      <c r="R367" t="inlineStr">
        <is>
          <t>17周</t>
        </is>
      </c>
      <c r="S367" t="inlineStr">
        <is>
          <t>4.24</t>
        </is>
      </c>
      <c r="T367" t="inlineStr">
        <is>
          <t>美食滋补</t>
        </is>
      </c>
      <c r="U367" t="inlineStr">
        <is>
          <t>休闲零食</t>
        </is>
      </c>
      <c r="V367" s="3">
        <v>46132.014918981484</v>
      </c>
      <c r="W367" t="inlineStr">
        <is>
          <t>2026-Q2</t>
        </is>
      </c>
    </row>
    <row r="368" ht="25.5" customHeight="1">
      <c r="A368" t="inlineStr">
        <is>
          <t>灰色/杏色/粉色假两件日系针织露肩连衣裙长裙女</t>
        </is>
      </c>
      <c r="B368" t="inlineStr">
        <is>
          <t>recvcB48ezzv03.jpg</t>
        </is>
      </c>
      <c r="C368" s="2" t="str">
        <f>=HYPERLINK("https://xhslink.com/m/4P8eLcUTHeQ", "https://xhslink.com/m/4P8eLcUTHeQ")</f>
        <v>https://xhslink.com/m/4P8eLcUTHeQ</v>
      </c>
      <c r="D368"/>
      <c r="E368">
        <v>13000</v>
      </c>
      <c r="F368">
        <v>159.9</v>
      </c>
      <c r="G368"/>
      <c r="H368">
        <v>700</v>
      </c>
      <c r="I368" t="inlineStr">
        <is>
          <t>连衣裙</t>
        </is>
      </c>
      <c r="J368" t="inlineStr">
        <is>
          <t>0.05</t>
        </is>
      </c>
      <c r="K368"/>
      <c r="L368" t="inlineStr">
        <is>
          <t>叫我薯薯吧的店</t>
        </is>
      </c>
      <c r="M368">
        <v>26000</v>
      </c>
      <c r="N368">
        <v>4.68</v>
      </c>
      <c r="O368">
        <v>63000</v>
      </c>
      <c r="P368" t="inlineStr">
        <is>
          <t>696866d99c8a6a0001a895fe</t>
        </is>
      </c>
      <c r="Q368"/>
      <c r="R368" t="inlineStr">
        <is>
          <t>14周</t>
        </is>
      </c>
      <c r="S368" t="inlineStr">
        <is>
          <t>0.50</t>
        </is>
      </c>
      <c r="T368" t="inlineStr">
        <is>
          <t>服饰穿搭</t>
        </is>
      </c>
      <c r="U368" t="inlineStr">
        <is>
          <t>女装</t>
        </is>
      </c>
      <c r="V368" s="3">
        <v>46112.78107638889</v>
      </c>
      <c r="W368" t="inlineStr">
        <is>
          <t>2026-Q1</t>
        </is>
      </c>
    </row>
    <row r="369" ht="25.5" customHeight="1">
      <c r="A369" t="inlineStr">
        <is>
          <t>严选精品果，不做差果【雷州冰糖红心牛奶木瓜】清甜多汁现摘现发</t>
        </is>
      </c>
      <c r="B369" t="inlineStr">
        <is>
          <t>recvdUhmdagUIa.jpg</t>
        </is>
      </c>
      <c r="C369" s="2" t="str">
        <f>=HYPERLINK("https://xhslink.com/m/4v5ooUAkJwU", "https://xhslink.com/m/4v5ooUAkJwU")</f>
        <v>https://xhslink.com/m/4v5ooUAkJwU</v>
      </c>
      <c r="D369"/>
      <c r="E369">
        <v>203000</v>
      </c>
      <c r="F369">
        <v>33.8</v>
      </c>
      <c r="G369">
        <v>23.8</v>
      </c>
      <c r="H369">
        <v>700</v>
      </c>
      <c r="I369" t="inlineStr">
        <is>
          <t>夏季水果</t>
        </is>
      </c>
      <c r="J369" t="inlineStr">
        <is>
          <t>0.00</t>
        </is>
      </c>
      <c r="K369" t="inlineStr">
        <is>
          <t>🔥低粉爆款</t>
        </is>
      </c>
      <c r="L369" t="inlineStr">
        <is>
          <t>王笑笑爱吃水果的店</t>
        </is>
      </c>
      <c r="M369">
        <v>898</v>
      </c>
      <c r="N369">
        <v>4.44</v>
      </c>
      <c r="O369">
        <v>42000</v>
      </c>
      <c r="P369" t="inlineStr">
        <is>
          <t>67e1241f29b9f700012822d6</t>
        </is>
      </c>
      <c r="Q369"/>
      <c r="R369" t="inlineStr">
        <is>
          <t>14周</t>
        </is>
      </c>
      <c r="S369" t="inlineStr">
        <is>
          <t>226.06</t>
        </is>
      </c>
      <c r="T369" t="inlineStr">
        <is>
          <t>美食滋补</t>
        </is>
      </c>
      <c r="U369" t="inlineStr">
        <is>
          <t>酒水冲饮</t>
        </is>
      </c>
      <c r="V369" s="3">
        <v>46112.78107638889</v>
      </c>
      <c r="W369" t="inlineStr">
        <is>
          <t>2026-Q1</t>
        </is>
      </c>
    </row>
    <row r="370" ht="25.5" customHeight="1">
      <c r="A370" t="inlineStr">
        <is>
          <t>夏季新款老钱风棉麻衬衫女棉麻薄款衬衣级感抗皱长袖～</t>
        </is>
      </c>
      <c r="B370" t="inlineStr">
        <is>
          <t>recvdWIhrwxifq.jpg</t>
        </is>
      </c>
      <c r="C370" s="2" t="str">
        <f>=HYPERLINK("https://xhslink.com/m/ANazequSOKI", "https://xhslink.com/m/ANazequSOKI")</f>
        <v>https://xhslink.com/m/ANazequSOKI</v>
      </c>
      <c r="D370"/>
      <c r="E370">
        <v>5309</v>
      </c>
      <c r="F370">
        <v>69</v>
      </c>
      <c r="G370"/>
      <c r="H370">
        <v>700</v>
      </c>
      <c r="I370" t="inlineStr">
        <is>
          <t>衬衫</t>
        </is>
      </c>
      <c r="J370" t="inlineStr">
        <is>
          <t>0.13</t>
        </is>
      </c>
      <c r="K370"/>
      <c r="L370" t="inlineStr">
        <is>
          <t>过年啦的店</t>
        </is>
      </c>
      <c r="M370">
        <v>15000</v>
      </c>
      <c r="N370">
        <v>4.59</v>
      </c>
      <c r="O370">
        <v>98000</v>
      </c>
      <c r="P370" t="inlineStr">
        <is>
          <t>68387b06d84b4a0001fae9cd</t>
        </is>
      </c>
      <c r="Q370" t="inlineStr">
        <is>
          <t>🚫重复</t>
        </is>
      </c>
      <c r="R370" t="inlineStr">
        <is>
          <t>14周</t>
        </is>
      </c>
      <c r="S370" t="inlineStr">
        <is>
          <t>0.35</t>
        </is>
      </c>
      <c r="T370" t="inlineStr">
        <is>
          <t>服饰穿搭</t>
        </is>
      </c>
      <c r="U370" t="inlineStr">
        <is>
          <t>女装</t>
        </is>
      </c>
      <c r="V370" s="3">
        <v>46112.78107638889</v>
      </c>
      <c r="W370" t="inlineStr">
        <is>
          <t>2026-Q1</t>
        </is>
      </c>
    </row>
    <row r="371" ht="25.5" customHeight="1">
      <c r="A371" t="inlineStr">
        <is>
          <t>【橙子家】54-64头围韩系休闲棒球帽ins潮流鸭舌帽显脸小遮阳帽</t>
        </is>
      </c>
      <c r="B371" t="inlineStr">
        <is>
          <t>recve60dL6qCpv.jpg</t>
        </is>
      </c>
      <c r="C371" s="2" t="str">
        <f>=HYPERLINK("https://xhslink.com/m/AR9H5h5JJ9R", "https://xhslink.com/m/AR9H5h5JJ9R")</f>
        <v>https://xhslink.com/m/AR9H5h5JJ9R</v>
      </c>
      <c r="D371"/>
      <c r="E371">
        <v>6240</v>
      </c>
      <c r="F371">
        <v>36.8</v>
      </c>
      <c r="G371"/>
      <c r="H371">
        <v>700</v>
      </c>
      <c r="I371" t="inlineStr">
        <is>
          <t>运动</t>
        </is>
      </c>
      <c r="J371" t="inlineStr">
        <is>
          <t>0.11</t>
        </is>
      </c>
      <c r="K371"/>
      <c r="L371" t="inlineStr">
        <is>
          <t>多肉脸橙子的店</t>
        </is>
      </c>
      <c r="M371">
        <v>82000</v>
      </c>
      <c r="N371">
        <v>4.48</v>
      </c>
      <c r="O371">
        <v>1278000</v>
      </c>
      <c r="P371" t="inlineStr">
        <is>
          <t>6961e67cbb020d000190cd90</t>
        </is>
      </c>
      <c r="Q371" t="inlineStr">
        <is>
          <t>🚫重复</t>
        </is>
      </c>
      <c r="R371" t="inlineStr">
        <is>
          <t>14周</t>
        </is>
      </c>
      <c r="S371" t="inlineStr">
        <is>
          <t>0.08</t>
        </is>
      </c>
      <c r="T371" t="inlineStr">
        <is>
          <t>运动潮玩</t>
        </is>
      </c>
      <c r="U371" t="inlineStr">
        <is>
          <t>运动户外装备</t>
        </is>
      </c>
      <c r="V371" s="3">
        <v>46112.78107638889</v>
      </c>
      <c r="W371" t="inlineStr">
        <is>
          <t>2026-Q1</t>
        </is>
      </c>
    </row>
    <row r="372" ht="25.5" customHeight="1">
      <c r="A372" t="inlineStr">
        <is>
          <t>千层夹心酥饼干办公室零食配料干净孕妇小朋友可食用宿舍追剧夹心</t>
        </is>
      </c>
      <c r="B372" t="inlineStr">
        <is>
          <t>recveckoIEFdng.jpg</t>
        </is>
      </c>
      <c r="C372" s="2" t="str">
        <f>=HYPERLINK("https://xhslink.com/m/2TclrwHlgbD", "https://xhslink.com/m/2TclrwHlgbD")</f>
        <v>https://xhslink.com/m/2TclrwHlgbD</v>
      </c>
      <c r="D372"/>
      <c r="E372">
        <v>50000</v>
      </c>
      <c r="F372">
        <v>23.8</v>
      </c>
      <c r="G372"/>
      <c r="H372">
        <v>700</v>
      </c>
      <c r="I372" t="inlineStr">
        <is>
          <t>零食</t>
        </is>
      </c>
      <c r="J372" t="inlineStr">
        <is>
          <t>0.01</t>
        </is>
      </c>
      <c r="K372" t="inlineStr">
        <is>
          <t>🔥低粉爆款</t>
        </is>
      </c>
      <c r="L372" t="inlineStr">
        <is>
          <t>零食股东的店</t>
        </is>
      </c>
      <c r="M372">
        <v>12000</v>
      </c>
      <c r="N372">
        <v>4.71</v>
      </c>
      <c r="O372">
        <v>257000</v>
      </c>
      <c r="P372" t="inlineStr">
        <is>
          <t>6852871cf89aa5000174dac6</t>
        </is>
      </c>
      <c r="Q372" t="inlineStr">
        <is>
          <t>🚫重复</t>
        </is>
      </c>
      <c r="R372" t="inlineStr">
        <is>
          <t>14周</t>
        </is>
      </c>
      <c r="S372" t="inlineStr">
        <is>
          <t>4.17</t>
        </is>
      </c>
      <c r="T372" t="inlineStr">
        <is>
          <t>美食滋补</t>
        </is>
      </c>
      <c r="U372" t="inlineStr">
        <is>
          <t>休闲零食</t>
        </is>
      </c>
      <c r="V372" s="3">
        <v>46112.78107638889</v>
      </c>
      <c r="W372" t="inlineStr">
        <is>
          <t>2026-Q1</t>
        </is>
      </c>
    </row>
    <row r="373" ht="25.5" customHeight="1">
      <c r="A373" t="inlineStr">
        <is>
          <t>被面料所征服！！！莫代尔+蚕丝+绵羊毛超软极简短袖T女</t>
        </is>
      </c>
      <c r="B373" t="inlineStr">
        <is>
          <t>recveqrflnjb8K.jpg</t>
        </is>
      </c>
      <c r="C373" s="2" t="str">
        <f>=HYPERLINK("https://xhslink.com/m/64bvkPYtN2v", "https://xhslink.com/m/64bvkPYtN2v")</f>
        <v>https://xhslink.com/m/64bvkPYtN2v</v>
      </c>
      <c r="D373"/>
      <c r="E373">
        <v>1134</v>
      </c>
      <c r="F373">
        <v>39.9</v>
      </c>
      <c r="G373"/>
      <c r="H373">
        <v>700</v>
      </c>
      <c r="I373" t="inlineStr">
        <is>
          <t>T恤</t>
        </is>
      </c>
      <c r="J373" t="inlineStr">
        <is>
          <t>0.62</t>
        </is>
      </c>
      <c r="K373"/>
      <c r="L373" t="inlineStr">
        <is>
          <t>小红书范爷的店</t>
        </is>
      </c>
      <c r="M373">
        <v>287000</v>
      </c>
      <c r="N373">
        <v>4.56</v>
      </c>
      <c r="O373">
        <v>3298000</v>
      </c>
      <c r="P373" t="inlineStr">
        <is>
          <t>69b904fb58e96300010a2341</t>
        </is>
      </c>
      <c r="Q373" t="inlineStr">
        <is>
          <t>🚫重复</t>
        </is>
      </c>
      <c r="R373" t="inlineStr">
        <is>
          <t>14周</t>
        </is>
      </c>
      <c r="S373" t="inlineStr">
        <is>
          <t>0.00</t>
        </is>
      </c>
      <c r="T373" t="inlineStr">
        <is>
          <t>服饰穿搭</t>
        </is>
      </c>
      <c r="U373" t="inlineStr">
        <is>
          <t>女装</t>
        </is>
      </c>
      <c r="V373" s="3">
        <v>46112.78107638889</v>
      </c>
      <c r="W373" t="inlineStr">
        <is>
          <t>2026-Q1</t>
        </is>
      </c>
    </row>
    <row r="374" ht="25.5" customHeight="1">
      <c r="A374" t="inlineStr">
        <is>
          <t>打底王！叠穿神器！！天丝羊毛打底衫内搭T恤</t>
        </is>
      </c>
      <c r="B374" t="inlineStr">
        <is>
          <t>recveqrfln9Gk5.jpg</t>
        </is>
      </c>
      <c r="C374" s="2" t="str">
        <f>=HYPERLINK("https://xhslink.com/m/5H2NOq1ArpD", "https://xhslink.com/m/5H2NOq1ArpD")</f>
        <v>https://xhslink.com/m/5H2NOq1ArpD</v>
      </c>
      <c r="D374"/>
      <c r="E374">
        <v>20000</v>
      </c>
      <c r="F374">
        <v>139</v>
      </c>
      <c r="G374">
        <v>89.9</v>
      </c>
      <c r="H374">
        <v>700</v>
      </c>
      <c r="I374" t="inlineStr">
        <is>
          <t>T恤</t>
        </is>
      </c>
      <c r="J374" t="inlineStr">
        <is>
          <t>0.04</t>
        </is>
      </c>
      <c r="K374"/>
      <c r="L374" t="inlineStr">
        <is>
          <t>H.onor的店</t>
        </is>
      </c>
      <c r="M374">
        <v>10000</v>
      </c>
      <c r="N374">
        <v>4.74</v>
      </c>
      <c r="O374">
        <v>110000</v>
      </c>
      <c r="P374" t="inlineStr">
        <is>
          <t>69257f65e4338c00013a0f95</t>
        </is>
      </c>
      <c r="Q374"/>
      <c r="R374" t="inlineStr">
        <is>
          <t>14周</t>
        </is>
      </c>
      <c r="S374" t="inlineStr">
        <is>
          <t>2.00</t>
        </is>
      </c>
      <c r="T374" t="inlineStr">
        <is>
          <t>服饰穿搭</t>
        </is>
      </c>
      <c r="U374" t="inlineStr">
        <is>
          <t>女装</t>
        </is>
      </c>
      <c r="V374" s="3">
        <v>46112.78107638889</v>
      </c>
      <c r="W374" t="inlineStr">
        <is>
          <t>2026-Q1</t>
        </is>
      </c>
    </row>
    <row r="375" ht="25.5" customHeight="1">
      <c r="A375" t="inlineStr">
        <is>
          <t>李空空【爱在西元前】复古蓝高腰微喇牛仔阔腿裤女复古显瘦长裤子</t>
        </is>
      </c>
      <c r="B375" t="inlineStr">
        <is>
          <t>recveqrflnxtUn.jpg</t>
        </is>
      </c>
      <c r="C375" s="2" t="str">
        <f>=HYPERLINK("https://xhslink.com/m/23y4ODi1PSI", "https://xhslink.com/m/23y4ODi1PSI")</f>
        <v>https://xhslink.com/m/23y4ODi1PSI</v>
      </c>
      <c r="D375"/>
      <c r="E375">
        <v>64000</v>
      </c>
      <c r="F375">
        <v>89.99</v>
      </c>
      <c r="G375"/>
      <c r="H375">
        <v>700</v>
      </c>
      <c r="I375" t="inlineStr">
        <is>
          <t>阔腿裤</t>
        </is>
      </c>
      <c r="J375" t="inlineStr">
        <is>
          <t>0.01</t>
        </is>
      </c>
      <c r="K375"/>
      <c r="L375" t="inlineStr">
        <is>
          <t>李空空的店</t>
        </is>
      </c>
      <c r="M375">
        <v>102000</v>
      </c>
      <c r="N375">
        <v>4.6</v>
      </c>
      <c r="O375">
        <v>554000</v>
      </c>
      <c r="P375" t="inlineStr">
        <is>
          <t>6899f24de078ad0001c8ae68</t>
        </is>
      </c>
      <c r="Q375" t="inlineStr">
        <is>
          <t>🚫重复</t>
        </is>
      </c>
      <c r="R375" t="inlineStr">
        <is>
          <t>14周</t>
        </is>
      </c>
      <c r="S375" t="inlineStr">
        <is>
          <t>0.63</t>
        </is>
      </c>
      <c r="T375" t="inlineStr">
        <is>
          <t>服饰穿搭</t>
        </is>
      </c>
      <c r="U375" t="inlineStr">
        <is>
          <t>女装</t>
        </is>
      </c>
      <c r="V375" s="3">
        <v>46112.78107638889</v>
      </c>
      <c r="W375" t="inlineStr">
        <is>
          <t>2026-Q1</t>
        </is>
      </c>
    </row>
    <row r="376" ht="25.5" customHeight="1">
      <c r="A376" t="inlineStr">
        <is>
          <t>渝渝自制＼前5w双69米  4cm厚底2穿软底小土豆勃肯“带足弓”</t>
        </is>
      </c>
      <c r="B376" t="inlineStr">
        <is>
          <t>recveyWM0oHkAK.jpg</t>
        </is>
      </c>
      <c r="C376" s="2" t="str">
        <f>=HYPERLINK("https://xhslink.com/m/40MO2TsGzrE", "https://xhslink.com/m/40MO2TsGzrE")</f>
        <v>https://xhslink.com/m/40MO2TsGzrE</v>
      </c>
      <c r="D376"/>
      <c r="E376">
        <v>43000</v>
      </c>
      <c r="F376">
        <v>99.9</v>
      </c>
      <c r="G376">
        <v>69.9</v>
      </c>
      <c r="H376">
        <v>700</v>
      </c>
      <c r="I376" t="inlineStr">
        <is>
          <t>单鞋</t>
        </is>
      </c>
      <c r="J376" t="inlineStr">
        <is>
          <t>0.02</t>
        </is>
      </c>
      <c r="K376"/>
      <c r="L376" t="inlineStr">
        <is>
          <t>渝渝爱穿拖鞋的店</t>
        </is>
      </c>
      <c r="M376">
        <v>193000</v>
      </c>
      <c r="N376">
        <v>3.74</v>
      </c>
      <c r="O376">
        <v>596000</v>
      </c>
      <c r="P376" t="inlineStr">
        <is>
          <t>68c6b6bf55f59b0001fe8586</t>
        </is>
      </c>
      <c r="Q376"/>
      <c r="R376" t="inlineStr">
        <is>
          <t>14周</t>
        </is>
      </c>
      <c r="S376" t="inlineStr">
        <is>
          <t>0.22</t>
        </is>
      </c>
      <c r="T376" t="inlineStr">
        <is>
          <t>服饰穿搭</t>
        </is>
      </c>
      <c r="U376" t="inlineStr">
        <is>
          <t>鞋靴箱包</t>
        </is>
      </c>
      <c r="V376" s="3">
        <v>46112.78107638889</v>
      </c>
      <c r="W376" t="inlineStr">
        <is>
          <t>2026-Q1</t>
        </is>
      </c>
    </row>
    <row r="377" ht="25.5" customHeight="1">
      <c r="A377" t="inlineStr">
        <is>
          <t>低腰微喇牛仔裤女2026春季新款黑牛同款显瘦微弹百搭喇叭裤拖地裤</t>
        </is>
      </c>
      <c r="B377" t="inlineStr">
        <is>
          <t>recveCblQ9gP4a.jpg</t>
        </is>
      </c>
      <c r="C377" s="2" t="str">
        <f>=HYPERLINK("https://xhslink.com/m/AeeJYeDB9cM", "https://xhslink.com/m/AeeJYeDB9cM")</f>
        <v>https://xhslink.com/m/AeeJYeDB9cM</v>
      </c>
      <c r="D377"/>
      <c r="E377">
        <v>24000</v>
      </c>
      <c r="F377">
        <v>98</v>
      </c>
      <c r="G377"/>
      <c r="H377">
        <v>700</v>
      </c>
      <c r="I377" t="inlineStr">
        <is>
          <t>牛仔裤</t>
        </is>
      </c>
      <c r="J377" t="inlineStr">
        <is>
          <t>0.03</t>
        </is>
      </c>
      <c r="K377"/>
      <c r="L377" t="inlineStr">
        <is>
          <t>哈哈哈穿搭分享的店</t>
        </is>
      </c>
      <c r="M377">
        <v>21000</v>
      </c>
      <c r="N377">
        <v>4.49</v>
      </c>
      <c r="O377">
        <v>37000</v>
      </c>
      <c r="P377" t="inlineStr">
        <is>
          <t>68a57a6cdb7e430001e6f0cc</t>
        </is>
      </c>
      <c r="Q377" t="inlineStr">
        <is>
          <t>🚫重复</t>
        </is>
      </c>
      <c r="R377" t="inlineStr">
        <is>
          <t>14周</t>
        </is>
      </c>
      <c r="S377" t="inlineStr">
        <is>
          <t>1.14</t>
        </is>
      </c>
      <c r="T377" t="inlineStr">
        <is>
          <t>服饰穿搭</t>
        </is>
      </c>
      <c r="U377" t="inlineStr">
        <is>
          <t>女装</t>
        </is>
      </c>
      <c r="V377" s="3">
        <v>46112.78107638889</v>
      </c>
      <c r="W377" t="inlineStr">
        <is>
          <t>2026-Q1</t>
        </is>
      </c>
    </row>
    <row r="378" ht="25.5" customHeight="1">
      <c r="A378" t="inlineStr">
        <is>
          <t>【棉质系列】U领抗菌长绒棉短袖正肩掐腰辣妹健身运动沙漏正t恤</t>
        </is>
      </c>
      <c r="B378" t="inlineStr">
        <is>
          <t>recveKOBkWYMyb.jpg</t>
        </is>
      </c>
      <c r="C378" s="2" t="str">
        <f>=HYPERLINK("https://xhslink.com/m/AzGerL5YWmD", "https://xhslink.com/m/AzGerL5YWmD")</f>
        <v>https://xhslink.com/m/AzGerL5YWmD</v>
      </c>
      <c r="D378"/>
      <c r="E378">
        <v>18000</v>
      </c>
      <c r="F378">
        <v>139</v>
      </c>
      <c r="G378">
        <v>69</v>
      </c>
      <c r="H378">
        <v>700</v>
      </c>
      <c r="I378" t="inlineStr">
        <is>
          <t>运动T袖</t>
        </is>
      </c>
      <c r="J378" t="inlineStr">
        <is>
          <t>0.04</t>
        </is>
      </c>
      <c r="K378"/>
      <c r="L378" t="inlineStr">
        <is>
          <t>淋了个鱼的店</t>
        </is>
      </c>
      <c r="M378">
        <v>15000</v>
      </c>
      <c r="N378">
        <v>4.7</v>
      </c>
      <c r="O378">
        <v>156000</v>
      </c>
      <c r="P378" t="inlineStr">
        <is>
          <t>67b1a79adb1dc10001f73d92</t>
        </is>
      </c>
      <c r="Q378" t="inlineStr">
        <is>
          <t>🚫重复</t>
        </is>
      </c>
      <c r="R378" t="inlineStr">
        <is>
          <t>14周</t>
        </is>
      </c>
      <c r="S378" t="inlineStr">
        <is>
          <t>1.20</t>
        </is>
      </c>
      <c r="T378" t="inlineStr">
        <is>
          <t>服饰穿搭</t>
        </is>
      </c>
      <c r="U378" t="inlineStr">
        <is>
          <t>女装</t>
        </is>
      </c>
      <c r="V378" s="3">
        <v>46112.78107638889</v>
      </c>
      <c r="W378" t="inlineStr">
        <is>
          <t>2026-Q1</t>
        </is>
      </c>
    </row>
    <row r="379" ht="25.5" customHeight="1">
      <c r="A379" t="inlineStr">
        <is>
          <t>【棉质系列】U领抗菌长绒棉短袖正肩掐腰辣妹健身运动沙漏正t恤</t>
        </is>
      </c>
      <c r="B379" t="inlineStr">
        <is>
          <t>recveNXG9tXgHm.jpg</t>
        </is>
      </c>
      <c r="C379" s="2" t="str">
        <f>=HYPERLINK("https://xhslink.com/m/8nLVHjIOOUv", "https://xhslink.com/m/8nLVHjIOOUv")</f>
        <v>https://xhslink.com/m/8nLVHjIOOUv</v>
      </c>
      <c r="D379"/>
      <c r="E379">
        <v>18000</v>
      </c>
      <c r="F379">
        <v>139</v>
      </c>
      <c r="G379">
        <v>69</v>
      </c>
      <c r="H379">
        <v>700</v>
      </c>
      <c r="I379" t="inlineStr">
        <is>
          <t>T恤</t>
        </is>
      </c>
      <c r="J379" t="inlineStr">
        <is>
          <t>0.04</t>
        </is>
      </c>
      <c r="K379"/>
      <c r="L379" t="inlineStr">
        <is>
          <t>淋了个鱼的店</t>
        </is>
      </c>
      <c r="M379">
        <v>15000</v>
      </c>
      <c r="N379">
        <v>4.68</v>
      </c>
      <c r="O379">
        <v>156000</v>
      </c>
      <c r="P379" t="inlineStr">
        <is>
          <t>67ca95dd8deea80001dd0d98</t>
        </is>
      </c>
      <c r="Q379" t="inlineStr">
        <is>
          <t>🚫重复</t>
        </is>
      </c>
      <c r="R379" t="inlineStr">
        <is>
          <t>14周</t>
        </is>
      </c>
      <c r="S379" t="inlineStr">
        <is>
          <t>1.20</t>
        </is>
      </c>
      <c r="T379" t="inlineStr">
        <is>
          <t>服饰穿搭</t>
        </is>
      </c>
      <c r="U379" t="inlineStr">
        <is>
          <t>女装</t>
        </is>
      </c>
      <c r="V379" s="3">
        <v>46112.78107638889</v>
      </c>
      <c r="W379" t="inlineStr">
        <is>
          <t>2026-Q1</t>
        </is>
      </c>
    </row>
    <row r="380" ht="25.5" customHeight="1">
      <c r="A380" t="inlineStr">
        <is>
          <t>【莫名其妙吃了一番茄·落肩短袖】搞怪纯棉印花男女同款短袖T恤</t>
        </is>
      </c>
      <c r="B380" t="inlineStr">
        <is>
          <t>recveNXG9tDnEI.jpg</t>
        </is>
      </c>
      <c r="C380" s="2" t="str">
        <f>=HYPERLINK("https://xhslink.com/m/65r8qANn9K9", "https://xhslink.com/m/65r8qANn9K9")</f>
        <v>https://xhslink.com/m/65r8qANn9K9</v>
      </c>
      <c r="D380"/>
      <c r="E380">
        <v>2903</v>
      </c>
      <c r="F380">
        <v>38.9</v>
      </c>
      <c r="G380">
        <v>34.23</v>
      </c>
      <c r="H380">
        <v>700</v>
      </c>
      <c r="I380" t="inlineStr">
        <is>
          <t>T恤</t>
        </is>
      </c>
      <c r="J380" t="inlineStr">
        <is>
          <t>0.24</t>
        </is>
      </c>
      <c r="K380" t="inlineStr">
        <is>
          <t>🔥低粉爆款</t>
        </is>
      </c>
      <c r="L380" t="inlineStr">
        <is>
          <t>小Y手绘衣坊的店</t>
        </is>
      </c>
      <c r="M380">
        <v>792</v>
      </c>
      <c r="N380">
        <v>4.74</v>
      </c>
      <c r="O380">
        <v>8414</v>
      </c>
      <c r="P380" t="inlineStr">
        <is>
          <t>69ad764b970f000001fc2076</t>
        </is>
      </c>
      <c r="Q380" t="inlineStr">
        <is>
          <t>🚫重复</t>
        </is>
      </c>
      <c r="R380" t="inlineStr">
        <is>
          <t>14周</t>
        </is>
      </c>
      <c r="S380" t="inlineStr">
        <is>
          <t>3.67</t>
        </is>
      </c>
      <c r="T380" t="inlineStr">
        <is>
          <t>服饰穿搭</t>
        </is>
      </c>
      <c r="U380" t="inlineStr">
        <is>
          <t>女装</t>
        </is>
      </c>
      <c r="V380" s="3">
        <v>46112.78107638889</v>
      </c>
      <c r="W380" t="inlineStr">
        <is>
          <t>2026-Q1</t>
        </is>
      </c>
    </row>
    <row r="381" ht="25.5" customHeight="1">
      <c r="A381" t="inlineStr">
        <is>
          <t>FODO · 【30天乌黑亮发】古方草本乌发乳滋养固发无霜亮泽黑发护理精华</t>
        </is>
      </c>
      <c r="B381" t="inlineStr">
        <is>
          <t>recveTJWJNIrht.jpg</t>
        </is>
      </c>
      <c r="C381" s="2" t="str">
        <f>=HYPERLINK("https://xhslink.com/m/6LumjbTzxAs", "https://xhslink.com/m/6LumjbTzxAs")</f>
        <v>https://xhslink.com/m/6LumjbTzxAs</v>
      </c>
      <c r="D381"/>
      <c r="E381">
        <v>21000</v>
      </c>
      <c r="F381">
        <v>49.9</v>
      </c>
      <c r="G381">
        <v>43.92</v>
      </c>
      <c r="H381">
        <v>700</v>
      </c>
      <c r="I381" t="inlineStr">
        <is>
          <t>洗头皂</t>
        </is>
      </c>
      <c r="J381" t="inlineStr">
        <is>
          <t>0.03</t>
        </is>
      </c>
      <c r="K381"/>
      <c r="L381" t="inlineStr">
        <is>
          <t>FODO旗舰店</t>
        </is>
      </c>
      <c r="M381">
        <v>16000</v>
      </c>
      <c r="N381">
        <v>4.56</v>
      </c>
      <c r="O381">
        <v>70000</v>
      </c>
      <c r="P381" t="inlineStr">
        <is>
          <t>68ecdc70b56f1600011853a5</t>
        </is>
      </c>
      <c r="Q381" t="inlineStr">
        <is>
          <t>🚫重复</t>
        </is>
      </c>
      <c r="R381" t="inlineStr">
        <is>
          <t>14周</t>
        </is>
      </c>
      <c r="S381" t="inlineStr">
        <is>
          <t>1.31</t>
        </is>
      </c>
      <c r="T381" t="inlineStr">
        <is>
          <t>美妆个护</t>
        </is>
      </c>
      <c r="U381" t="inlineStr">
        <is>
          <t>护肤彩妆</t>
        </is>
      </c>
      <c r="V381" s="3">
        <v>46112.78107638889</v>
      </c>
      <c r="W381" t="inlineStr">
        <is>
          <t>2026-Q1</t>
        </is>
      </c>
    </row>
    <row r="382" ht="25.5" customHeight="1">
      <c r="A382" t="inlineStr">
        <is>
          <t>晚阳 · 醋泡黑豆古方长寿之乡蒸熟开盖即食黑豆绿芯黑豆养生滋补｜230克</t>
        </is>
      </c>
      <c r="B382" t="inlineStr">
        <is>
          <t>recveTJWJNyPW5.jpg</t>
        </is>
      </c>
      <c r="C382" s="2" t="str">
        <f>=HYPERLINK("https://xhslink.com/m/2dqlPWEYGNa", "https://xhslink.com/m/2dqlPWEYGNa")</f>
        <v>https://xhslink.com/m/2dqlPWEYGNa</v>
      </c>
      <c r="D382"/>
      <c r="E382">
        <v>55000</v>
      </c>
      <c r="F382">
        <v>68.8</v>
      </c>
      <c r="G382">
        <v>48.8</v>
      </c>
      <c r="H382">
        <v>700</v>
      </c>
      <c r="I382" t="inlineStr">
        <is>
          <t>养生零食</t>
        </is>
      </c>
      <c r="J382" t="inlineStr">
        <is>
          <t>0.01</t>
        </is>
      </c>
      <c r="K382" t="inlineStr">
        <is>
          <t>🔥低粉爆款</t>
        </is>
      </c>
      <c r="L382" t="inlineStr">
        <is>
          <t>晚阳旗舰店</t>
        </is>
      </c>
      <c r="M382">
        <v>12000</v>
      </c>
      <c r="N382">
        <v>4.8</v>
      </c>
      <c r="O382">
        <v>69000</v>
      </c>
      <c r="P382" t="inlineStr">
        <is>
          <t>678c8ccd29b9f70001d630cc</t>
        </is>
      </c>
      <c r="Q382" t="inlineStr">
        <is>
          <t>🚫重复</t>
        </is>
      </c>
      <c r="R382" t="inlineStr">
        <is>
          <t>14周</t>
        </is>
      </c>
      <c r="S382" t="inlineStr">
        <is>
          <t>4.58</t>
        </is>
      </c>
      <c r="T382" t="inlineStr">
        <is>
          <t>美食滋补</t>
        </is>
      </c>
      <c r="U382" t="inlineStr">
        <is>
          <t>休闲零食</t>
        </is>
      </c>
      <c r="V382" s="3">
        <v>46112.78107638889</v>
      </c>
      <c r="W382" t="inlineStr">
        <is>
          <t>2026-Q1</t>
        </is>
      </c>
    </row>
    <row r="383" ht="25.5" customHeight="1">
      <c r="A383" t="inlineStr">
        <is>
          <t>2026特大版巨宽帽檐春季刺绣软顶棒球帽女大头围加深宽帽檐显脸小</t>
        </is>
      </c>
      <c r="B383" t="inlineStr">
        <is>
          <t>recvf2aASacxXP.jpg</t>
        </is>
      </c>
      <c r="C383" s="2" t="str">
        <f>=HYPERLINK("https://xhslink.com/m/9BUPQsSsP84", "https://xhslink.com/m/9BUPQsSsP84")</f>
        <v>https://xhslink.com/m/9BUPQsSsP84</v>
      </c>
      <c r="D383"/>
      <c r="E383">
        <v>85000</v>
      </c>
      <c r="F383">
        <v>35.9</v>
      </c>
      <c r="G383">
        <v>29.9</v>
      </c>
      <c r="H383">
        <v>700</v>
      </c>
      <c r="I383" t="inlineStr">
        <is>
          <t>运动帽</t>
        </is>
      </c>
      <c r="J383" t="inlineStr">
        <is>
          <t>0.01</t>
        </is>
      </c>
      <c r="K383" t="inlineStr">
        <is>
          <t>🔥低粉爆款</t>
        </is>
      </c>
      <c r="L383" t="inlineStr">
        <is>
          <t>帽酱の铺的店</t>
        </is>
      </c>
      <c r="M383">
        <v>6030</v>
      </c>
      <c r="N383">
        <v>4.49</v>
      </c>
      <c r="O383">
        <v>133000</v>
      </c>
      <c r="P383" t="inlineStr">
        <is>
          <t>67f220cdee8f0900013785f2</t>
        </is>
      </c>
      <c r="Q383"/>
      <c r="R383" t="inlineStr">
        <is>
          <t>14周</t>
        </is>
      </c>
      <c r="S383" t="inlineStr">
        <is>
          <t>14.10</t>
        </is>
      </c>
      <c r="T383" t="inlineStr">
        <is>
          <t>服饰穿搭</t>
        </is>
      </c>
      <c r="U383" t="inlineStr">
        <is>
          <t>鞋靴箱包</t>
        </is>
      </c>
      <c r="V383" s="3">
        <v>46112.78107638889</v>
      </c>
      <c r="W383" t="inlineStr">
        <is>
          <t>2026-Q1</t>
        </is>
      </c>
    </row>
    <row r="384" ht="25.5" customHeight="1">
      <c r="A384" t="inlineStr">
        <is>
          <t>黄吉吉 · 裸感云朵裤提臀阔腿裤女2026春夏薄款宽腰显瘦垂感休闲直筒运动裤</t>
        </is>
      </c>
      <c r="B384" t="inlineStr">
        <is>
          <t>recvf5pAkIMN3d.jpg</t>
        </is>
      </c>
      <c r="C384" s="2" t="str">
        <f>=HYPERLINK("https://xhslink.com/m/55UTUvWpZiU", "https://xhslink.com/m/55UTUvWpZiU")</f>
        <v>https://xhslink.com/m/55UTUvWpZiU</v>
      </c>
      <c r="D384"/>
      <c r="E384">
        <v>6645</v>
      </c>
      <c r="F384">
        <v>79</v>
      </c>
      <c r="G384">
        <v>59.9</v>
      </c>
      <c r="H384">
        <v>700</v>
      </c>
      <c r="I384" t="inlineStr">
        <is>
          <t>直筒裤</t>
        </is>
      </c>
      <c r="J384" t="inlineStr">
        <is>
          <t>0.11</t>
        </is>
      </c>
      <c r="K384"/>
      <c r="L384" t="inlineStr">
        <is>
          <t>黄吉吉的店</t>
        </is>
      </c>
      <c r="M384">
        <v>1321000</v>
      </c>
      <c r="N384">
        <v>4.53</v>
      </c>
      <c r="O384">
        <v>2746000</v>
      </c>
      <c r="P384" t="inlineStr">
        <is>
          <t>69a53bcba39d650001970024</t>
        </is>
      </c>
      <c r="Q384" t="inlineStr">
        <is>
          <t>🚫重复</t>
        </is>
      </c>
      <c r="R384" t="inlineStr">
        <is>
          <t>14周</t>
        </is>
      </c>
      <c r="S384" t="inlineStr">
        <is>
          <t>0.01</t>
        </is>
      </c>
      <c r="T384" t="inlineStr">
        <is>
          <t>服饰穿搭</t>
        </is>
      </c>
      <c r="U384" t="inlineStr">
        <is>
          <t>女装</t>
        </is>
      </c>
      <c r="V384" s="3">
        <v>46112.78107638889</v>
      </c>
      <c r="W384" t="inlineStr">
        <is>
          <t>2026-Q1</t>
        </is>
      </c>
    </row>
    <row r="385" ht="25.5" customHeight="1">
      <c r="A385" t="inlineStr">
        <is>
          <t>增高7cm可爱洞洞鞋eva夏季外穿防滑软底沙滩凉拖女带足弓</t>
        </is>
      </c>
      <c r="B385" t="inlineStr">
        <is>
          <t>recvf5pAkI2DN0.jpg</t>
        </is>
      </c>
      <c r="C385" s="2" t="str">
        <f>=HYPERLINK("https://xhslink.com/m/7xqnKLJ9o2M", "https://xhslink.com/m/7xqnKLJ9o2M")</f>
        <v>https://xhslink.com/m/7xqnKLJ9o2M</v>
      </c>
      <c r="D385"/>
      <c r="E385">
        <v>1445</v>
      </c>
      <c r="F385">
        <v>69.99</v>
      </c>
      <c r="G385">
        <v>49.99</v>
      </c>
      <c r="H385">
        <v>700</v>
      </c>
      <c r="I385" t="inlineStr">
        <is>
          <t>凉鞋</t>
        </is>
      </c>
      <c r="J385" t="inlineStr">
        <is>
          <t>0.48</t>
        </is>
      </c>
      <c r="K385" t="inlineStr">
        <is>
          <t>🔥低粉爆款</t>
        </is>
      </c>
      <c r="L385" t="inlineStr">
        <is>
          <t>小羊有好柿的店</t>
        </is>
      </c>
      <c r="M385">
        <v>158</v>
      </c>
      <c r="N385">
        <v>4.78</v>
      </c>
      <c r="O385">
        <v>1368</v>
      </c>
      <c r="P385" t="inlineStr">
        <is>
          <t>69ae992b1166fe0001e23b57</t>
        </is>
      </c>
      <c r="Q385" t="inlineStr">
        <is>
          <t>🚫重复</t>
        </is>
      </c>
      <c r="R385" t="inlineStr">
        <is>
          <t>14周</t>
        </is>
      </c>
      <c r="S385" t="inlineStr">
        <is>
          <t>9.15</t>
        </is>
      </c>
      <c r="T385" t="inlineStr">
        <is>
          <t>服饰穿搭</t>
        </is>
      </c>
      <c r="U385" t="inlineStr">
        <is>
          <t>鞋靴箱包</t>
        </is>
      </c>
      <c r="V385" s="3">
        <v>46112.78107638889</v>
      </c>
      <c r="W385" t="inlineStr">
        <is>
          <t>2026-Q1</t>
        </is>
      </c>
    </row>
    <row r="386" ht="25.5" customHeight="1">
      <c r="A386" t="inlineStr">
        <is>
          <t>【100%棉双层纱】全棉棉纱睡衣A类家居服春季新款长袖长裤套装</t>
        </is>
      </c>
      <c r="B386" t="inlineStr">
        <is>
          <t>recvfenb18w4sa.jpg</t>
        </is>
      </c>
      <c r="C386" s="2" t="str">
        <f>=HYPERLINK("https://xhslink.com/m/2ezExBsuyJN", "https://xhslink.com/m/2ezExBsuyJN")</f>
        <v>https://xhslink.com/m/2ezExBsuyJN</v>
      </c>
      <c r="D386"/>
      <c r="E386">
        <v>15000</v>
      </c>
      <c r="F386">
        <v>127</v>
      </c>
      <c r="G386">
        <v>68</v>
      </c>
      <c r="H386">
        <v>700</v>
      </c>
      <c r="I386" t="inlineStr">
        <is>
          <t>浴室用品</t>
        </is>
      </c>
      <c r="J386" t="inlineStr">
        <is>
          <t>0.05</t>
        </is>
      </c>
      <c r="K386"/>
      <c r="L386" t="inlineStr">
        <is>
          <t>曹三姐制衣厂的店</t>
        </is>
      </c>
      <c r="M386">
        <v>5450</v>
      </c>
      <c r="N386">
        <v>4.56</v>
      </c>
      <c r="O386">
        <v>61000</v>
      </c>
      <c r="P386" t="inlineStr">
        <is>
          <t>68555ae6835e250001f86a01</t>
        </is>
      </c>
      <c r="Q386" t="inlineStr">
        <is>
          <t>🚫重复</t>
        </is>
      </c>
      <c r="R386" t="inlineStr">
        <is>
          <t>14周</t>
        </is>
      </c>
      <c r="S386" t="inlineStr">
        <is>
          <t>2.75</t>
        </is>
      </c>
      <c r="T386" t="inlineStr">
        <is>
          <t>服饰穿搭</t>
        </is>
      </c>
      <c r="U386" t="inlineStr">
        <is>
          <t>女装</t>
        </is>
      </c>
      <c r="V386" s="3">
        <v>46112.78107638889</v>
      </c>
      <c r="W386" t="inlineStr">
        <is>
          <t>2026-Q1</t>
        </is>
      </c>
    </row>
    <row r="387" ht="25.5" customHeight="1">
      <c r="A387" t="inlineStr">
        <is>
          <t>纯棉U领圆领收腰正肩基础款短袖T恤女夏季新款修身显瘦</t>
        </is>
      </c>
      <c r="B387" t="inlineStr">
        <is>
          <t>recvfenb18OgQ2.jpg</t>
        </is>
      </c>
      <c r="C387" s="2" t="str">
        <f>=HYPERLINK("https://xhslink.com/m/6v8ak9SIX4O", "https://xhslink.com/m/6v8ak9SIX4O")</f>
        <v>https://xhslink.com/m/6v8ak9SIX4O</v>
      </c>
      <c r="D387"/>
      <c r="E387">
        <v>275000</v>
      </c>
      <c r="F387">
        <v>29.9</v>
      </c>
      <c r="G387"/>
      <c r="H387">
        <v>700</v>
      </c>
      <c r="I387" t="inlineStr">
        <is>
          <t>T恤</t>
        </is>
      </c>
      <c r="J387" t="inlineStr">
        <is>
          <t>0.00</t>
        </is>
      </c>
      <c r="K387" t="inlineStr">
        <is>
          <t>🔥低粉爆款</t>
        </is>
      </c>
      <c r="L387" t="inlineStr">
        <is>
          <t>卷心菜儿的店</t>
        </is>
      </c>
      <c r="M387">
        <v>23000</v>
      </c>
      <c r="N387">
        <v>4.6</v>
      </c>
      <c r="O387">
        <v>386000</v>
      </c>
      <c r="P387" t="inlineStr">
        <is>
          <t>69b536a0ca64b3000112de0d</t>
        </is>
      </c>
      <c r="Q387" t="inlineStr">
        <is>
          <t>🚫重复</t>
        </is>
      </c>
      <c r="R387" t="inlineStr">
        <is>
          <t>14周</t>
        </is>
      </c>
      <c r="S387" t="inlineStr">
        <is>
          <t>11.96</t>
        </is>
      </c>
      <c r="T387" t="inlineStr">
        <is>
          <t>服饰穿搭</t>
        </is>
      </c>
      <c r="U387" t="inlineStr">
        <is>
          <t>女装</t>
        </is>
      </c>
      <c r="V387" s="3">
        <v>46112.78107638889</v>
      </c>
      <c r="W387" t="inlineStr">
        <is>
          <t>2026-Q1</t>
        </is>
      </c>
    </row>
    <row r="388" ht="25.5" customHeight="1">
      <c r="A388" t="inlineStr">
        <is>
          <t>简约U领螺纹修身显瘦正肩T恤短袖~超显身材！上身嘎嘎舒服</t>
        </is>
      </c>
      <c r="B388" t="inlineStr">
        <is>
          <t>recvfjOYGLjylk.jpg</t>
        </is>
      </c>
      <c r="C388" s="2" t="str">
        <f>=HYPERLINK("https://xhslink.com/m/9MA8FXDLiNh", "https://xhslink.com/m/9MA8FXDLiNh")</f>
        <v>https://xhslink.com/m/9MA8FXDLiNh</v>
      </c>
      <c r="D388"/>
      <c r="E388">
        <v>196000</v>
      </c>
      <c r="F388">
        <v>39.9</v>
      </c>
      <c r="G388"/>
      <c r="H388">
        <v>700</v>
      </c>
      <c r="I388" t="inlineStr">
        <is>
          <t>短袖</t>
        </is>
      </c>
      <c r="J388" t="inlineStr">
        <is>
          <t>0.00</t>
        </is>
      </c>
      <c r="K388"/>
      <c r="L388" t="inlineStr">
        <is>
          <t>小小啊le的店</t>
        </is>
      </c>
      <c r="M388">
        <v>217000</v>
      </c>
      <c r="N388">
        <v>4.68</v>
      </c>
      <c r="O388">
        <v>797000</v>
      </c>
      <c r="P388" t="inlineStr">
        <is>
          <t>6634af5e97f53b000165956e</t>
        </is>
      </c>
      <c r="Q388" t="inlineStr">
        <is>
          <t>🚫重复</t>
        </is>
      </c>
      <c r="R388" t="inlineStr">
        <is>
          <t>14周</t>
        </is>
      </c>
      <c r="S388" t="inlineStr">
        <is>
          <t>0.90</t>
        </is>
      </c>
      <c r="T388" t="inlineStr">
        <is>
          <t>服饰穿搭</t>
        </is>
      </c>
      <c r="U388" t="inlineStr">
        <is>
          <t>女装</t>
        </is>
      </c>
      <c r="V388" s="3">
        <v>46112.78107638889</v>
      </c>
      <c r="W388" t="inlineStr">
        <is>
          <t>2026-Q1</t>
        </is>
      </c>
    </row>
    <row r="389" ht="25.5" customHeight="1">
      <c r="A389" t="inlineStr">
        <is>
          <t>磁吸挂脖手机支架第一人称视角拍摄设备运动相机骑行直播</t>
        </is>
      </c>
      <c r="B389" t="inlineStr">
        <is>
          <t>recvfjOYGLtdWG.jpg</t>
        </is>
      </c>
      <c r="C389" s="2" t="str">
        <f>=HYPERLINK("https://xhslink.com/m/7nddGlC9yCk", "https://xhslink.com/m/7nddGlC9yCk")</f>
        <v>https://xhslink.com/m/7nddGlC9yCk</v>
      </c>
      <c r="D389"/>
      <c r="E389">
        <v>6500</v>
      </c>
      <c r="F389">
        <v>98</v>
      </c>
      <c r="G389">
        <v>72</v>
      </c>
      <c r="H389">
        <v>700</v>
      </c>
      <c r="I389" t="inlineStr">
        <is>
          <t>手机支架</t>
        </is>
      </c>
      <c r="J389" t="inlineStr">
        <is>
          <t>0.11</t>
        </is>
      </c>
      <c r="K389" t="inlineStr">
        <is>
          <t>🔥低粉爆款</t>
        </is>
      </c>
      <c r="L389" t="inlineStr">
        <is>
          <t>Fleursvlog的店</t>
        </is>
      </c>
      <c r="M389">
        <v>473</v>
      </c>
      <c r="N389">
        <v>4.61</v>
      </c>
      <c r="O389">
        <v>8385</v>
      </c>
      <c r="P389" t="inlineStr">
        <is>
          <t>68b653b60c1e9b000187e3c0</t>
        </is>
      </c>
      <c r="Q389" t="inlineStr">
        <is>
          <t>🚫重复</t>
        </is>
      </c>
      <c r="R389" t="inlineStr">
        <is>
          <t>14周</t>
        </is>
      </c>
      <c r="S389" t="inlineStr">
        <is>
          <t>13.74</t>
        </is>
      </c>
      <c r="T389" t="inlineStr">
        <is>
          <t>数码家电</t>
        </is>
      </c>
      <c r="U389" t="inlineStr">
        <is>
          <t>数码配件</t>
        </is>
      </c>
      <c r="V389" s="3">
        <v>46112.78107638889</v>
      </c>
      <c r="W389" t="inlineStr">
        <is>
          <t>2026-Q1</t>
        </is>
      </c>
    </row>
    <row r="390" ht="25.5" customHeight="1">
      <c r="A390" t="inlineStr">
        <is>
          <t>灰色小翅膀适用于苹果/华为/oppo/vivo/小米/荣耀手机壳</t>
        </is>
      </c>
      <c r="B390" t="inlineStr">
        <is>
          <t>recvfjOYGLbscU.jpg</t>
        </is>
      </c>
      <c r="C390" s="2" t="str">
        <f>=HYPERLINK("https://xhslink.com/m/ihkgx7jize", "https://xhslink.com/m/ihkgx7jize")</f>
        <v>https://xhslink.com/m/ihkgx7jize</v>
      </c>
      <c r="D390"/>
      <c r="E390">
        <v>2563</v>
      </c>
      <c r="F390">
        <v>15.9</v>
      </c>
      <c r="G390"/>
      <c r="H390">
        <v>700</v>
      </c>
      <c r="I390" t="inlineStr">
        <is>
          <t>手机壳</t>
        </is>
      </c>
      <c r="J390" t="inlineStr">
        <is>
          <t>0.27</t>
        </is>
      </c>
      <c r="K390"/>
      <c r="L390" t="inlineStr">
        <is>
          <t>TX壳壳的店</t>
        </is>
      </c>
      <c r="M390">
        <v>24000</v>
      </c>
      <c r="N390">
        <v>4.48</v>
      </c>
      <c r="O390">
        <v>42000</v>
      </c>
      <c r="P390" t="inlineStr">
        <is>
          <t>698aaa00a5576f0001ab2298</t>
        </is>
      </c>
      <c r="Q390"/>
      <c r="R390" t="inlineStr">
        <is>
          <t>14周</t>
        </is>
      </c>
      <c r="S390" t="inlineStr">
        <is>
          <t>0.11</t>
        </is>
      </c>
      <c r="T390" t="inlineStr">
        <is>
          <t>数码家电</t>
        </is>
      </c>
      <c r="U390" t="inlineStr">
        <is>
          <t>数码配件</t>
        </is>
      </c>
      <c r="V390" s="3">
        <v>46112.78107638889</v>
      </c>
      <c r="W390" t="inlineStr">
        <is>
          <t>2026-Q1</t>
        </is>
      </c>
    </row>
    <row r="391" ht="25.5" customHeight="1">
      <c r="A391" t="inlineStr">
        <is>
          <t>白色直筒牛仔裤女夏季2026多色新款高腰宽松阔腿显瘦慵懒拖地裤子</t>
        </is>
      </c>
      <c r="B391" t="inlineStr">
        <is>
          <t>recvfqmLqZyJ1Q.jpg</t>
        </is>
      </c>
      <c r="C391" s="2" t="str">
        <f>=HYPERLINK("https://xhslink.com/m/9QqZJRmtIsN", "https://xhslink.com/m/9QqZJRmtIsN")</f>
        <v>https://xhslink.com/m/9QqZJRmtIsN</v>
      </c>
      <c r="D391"/>
      <c r="E391">
        <v>19000</v>
      </c>
      <c r="F391">
        <v>109</v>
      </c>
      <c r="G391">
        <v>78</v>
      </c>
      <c r="H391">
        <v>700</v>
      </c>
      <c r="I391" t="inlineStr">
        <is>
          <t>牛仔裤</t>
        </is>
      </c>
      <c r="J391" t="inlineStr">
        <is>
          <t>0.04</t>
        </is>
      </c>
      <c r="K391"/>
      <c r="L391" t="inlineStr">
        <is>
          <t>圈圈不转圈⭕的店</t>
        </is>
      </c>
      <c r="M391">
        <v>32000</v>
      </c>
      <c r="N391">
        <v>4.47</v>
      </c>
      <c r="O391">
        <v>243000</v>
      </c>
      <c r="P391" t="inlineStr">
        <is>
          <t>67d06c8501442700019c9479</t>
        </is>
      </c>
      <c r="Q391" t="inlineStr">
        <is>
          <t>🚫重复</t>
        </is>
      </c>
      <c r="R391" t="inlineStr">
        <is>
          <t>14周</t>
        </is>
      </c>
      <c r="S391" t="inlineStr">
        <is>
          <t>0.59</t>
        </is>
      </c>
      <c r="T391" t="inlineStr">
        <is>
          <t>服饰穿搭</t>
        </is>
      </c>
      <c r="U391" t="inlineStr">
        <is>
          <t>女装</t>
        </is>
      </c>
      <c r="V391" s="3">
        <v>46112.78107638889</v>
      </c>
      <c r="W391" t="inlineStr">
        <is>
          <t>2026-Q1</t>
        </is>
      </c>
    </row>
    <row r="392" ht="25.5" customHeight="1">
      <c r="A392" t="inlineStr">
        <is>
          <t>圆圆呀aaa__细闪绸缎高跟鞋气质优雅通勤女鞋</t>
        </is>
      </c>
      <c r="B392" t="inlineStr">
        <is>
          <t>recvfqmLqZS1R6.jpg</t>
        </is>
      </c>
      <c r="C392" s="2" t="str">
        <f>=HYPERLINK("https://xhslink.com/m/8Sul2cCaomu", "https://xhslink.com/m/8Sul2cCaomu")</f>
        <v>https://xhslink.com/m/8Sul2cCaomu</v>
      </c>
      <c r="D392"/>
      <c r="E392">
        <v>26000</v>
      </c>
      <c r="F392">
        <v>185</v>
      </c>
      <c r="G392">
        <v>152</v>
      </c>
      <c r="H392">
        <v>700</v>
      </c>
      <c r="I392" t="inlineStr">
        <is>
          <t>单鞋</t>
        </is>
      </c>
      <c r="J392" t="inlineStr">
        <is>
          <t>0.03</t>
        </is>
      </c>
      <c r="K392"/>
      <c r="L392" t="inlineStr">
        <is>
          <t>圆圆呀aaa__的店</t>
        </is>
      </c>
      <c r="M392">
        <v>12000</v>
      </c>
      <c r="N392">
        <v>4.6</v>
      </c>
      <c r="O392">
        <v>52000</v>
      </c>
      <c r="P392" t="inlineStr">
        <is>
          <t>6903833ee0dd170001161d43</t>
        </is>
      </c>
      <c r="Q392" t="inlineStr">
        <is>
          <t>🚫重复</t>
        </is>
      </c>
      <c r="R392" t="inlineStr">
        <is>
          <t>14周</t>
        </is>
      </c>
      <c r="S392" t="inlineStr">
        <is>
          <t>2.17</t>
        </is>
      </c>
      <c r="T392" t="inlineStr">
        <is>
          <t>服饰穿搭</t>
        </is>
      </c>
      <c r="U392" t="inlineStr">
        <is>
          <t>鞋靴箱包</t>
        </is>
      </c>
      <c r="V392" s="3">
        <v>46112.78107638889</v>
      </c>
      <c r="W392" t="inlineStr">
        <is>
          <t>2026-Q1</t>
        </is>
      </c>
    </row>
    <row r="393" ht="25.5" customHeight="1">
      <c r="A393" t="inlineStr">
        <is>
          <t>山系三合一可拆卸加绒冲锋衣女徒步登山情侣城市户外三防外套男</t>
        </is>
      </c>
      <c r="B393" t="inlineStr">
        <is>
          <t>recvfqmLqZBlXQ.jpg</t>
        </is>
      </c>
      <c r="C393" s="2" t="str">
        <f>=HYPERLINK("https://xhslink.com/m/SpGhuQsv7J", "https://xhslink.com/m/SpGhuQsv7J")</f>
        <v>https://xhslink.com/m/SpGhuQsv7J</v>
      </c>
      <c r="D393"/>
      <c r="E393">
        <v>22000</v>
      </c>
      <c r="F393">
        <v>269</v>
      </c>
      <c r="G393">
        <v>189</v>
      </c>
      <c r="H393">
        <v>700</v>
      </c>
      <c r="I393" t="inlineStr">
        <is>
          <t>登山</t>
        </is>
      </c>
      <c r="J393" t="inlineStr">
        <is>
          <t>0.03</t>
        </is>
      </c>
      <c r="K393"/>
      <c r="L393" t="inlineStr">
        <is>
          <t>果果studio的店</t>
        </is>
      </c>
      <c r="M393">
        <v>24000</v>
      </c>
      <c r="N393">
        <v>4.69</v>
      </c>
      <c r="O393">
        <v>173000</v>
      </c>
      <c r="P393" t="inlineStr">
        <is>
          <t>69271c1b02b98c0015b549eb</t>
        </is>
      </c>
      <c r="Q393" t="inlineStr">
        <is>
          <t>🚫重复</t>
        </is>
      </c>
      <c r="R393" t="inlineStr">
        <is>
          <t>14周</t>
        </is>
      </c>
      <c r="S393" t="inlineStr">
        <is>
          <t>0.92</t>
        </is>
      </c>
      <c r="T393" t="inlineStr">
        <is>
          <t>服饰穿搭</t>
        </is>
      </c>
      <c r="U393" t="inlineStr">
        <is>
          <t>女装</t>
        </is>
      </c>
      <c r="V393" s="3">
        <v>46112.78107638889</v>
      </c>
      <c r="W393" t="inlineStr">
        <is>
          <t>2026-Q1</t>
        </is>
      </c>
    </row>
    <row r="394" ht="25.5" customHeight="1">
      <c r="A394" t="inlineStr">
        <is>
          <t>轻便双肩包女大学生高中韩版迷你包包旅行电脑背包通勤包袋小书包</t>
        </is>
      </c>
      <c r="B394" t="inlineStr">
        <is>
          <t>recvfqmLqZq2ax.jpg</t>
        </is>
      </c>
      <c r="C394" s="2" t="str">
        <f>=HYPERLINK("https://xhslink.com/m/5F3TadZhVpl", "https://xhslink.com/m/5F3TadZhVpl")</f>
        <v>https://xhslink.com/m/5F3TadZhVpl</v>
      </c>
      <c r="D394"/>
      <c r="E394">
        <v>10000</v>
      </c>
      <c r="F394">
        <v>59.9</v>
      </c>
      <c r="G394"/>
      <c r="H394">
        <v>700</v>
      </c>
      <c r="I394" t="inlineStr">
        <is>
          <t>韩系包包</t>
        </is>
      </c>
      <c r="J394" t="inlineStr">
        <is>
          <t>0.07</t>
        </is>
      </c>
      <c r="K394" t="inlineStr">
        <is>
          <t>🔥低粉爆款</t>
        </is>
      </c>
      <c r="L394" t="inlineStr">
        <is>
          <t>甜妹旅行的店</t>
        </is>
      </c>
      <c r="M394">
        <v>1243</v>
      </c>
      <c r="N394">
        <v>4.71</v>
      </c>
      <c r="O394">
        <v>11000</v>
      </c>
      <c r="P394" t="inlineStr">
        <is>
          <t>691adec160f5970001706969</t>
        </is>
      </c>
      <c r="Q394" t="inlineStr">
        <is>
          <t>🚫重复</t>
        </is>
      </c>
      <c r="R394" t="inlineStr">
        <is>
          <t>14周</t>
        </is>
      </c>
      <c r="S394" t="inlineStr">
        <is>
          <t>8.05</t>
        </is>
      </c>
      <c r="T394" t="inlineStr">
        <is>
          <t>服饰穿搭</t>
        </is>
      </c>
      <c r="U394" t="inlineStr">
        <is>
          <t>鞋靴箱包</t>
        </is>
      </c>
      <c r="V394" s="3">
        <v>46112.78107638889</v>
      </c>
      <c r="W394" t="inlineStr">
        <is>
          <t>2026-Q1</t>
        </is>
      </c>
    </row>
    <row r="395" ht="25.5" customHeight="1">
      <c r="A395" t="inlineStr">
        <is>
          <t>心愿先生 · 【升级版】新品限定精华笔2.0升级修复指甲护甲营养液防断裂</t>
        </is>
      </c>
      <c r="B395" t="inlineStr">
        <is>
          <t>recvfqmLqZjLXq.jpg</t>
        </is>
      </c>
      <c r="C395" s="2" t="str">
        <f>=HYPERLINK("https://xhslink.com/m/JlgUo40Yhm", "https://xhslink.com/m/JlgUo40Yhm")</f>
        <v>https://xhslink.com/m/JlgUo40Yhm</v>
      </c>
      <c r="D395"/>
      <c r="E395">
        <v>26000</v>
      </c>
      <c r="F395">
        <v>99.9</v>
      </c>
      <c r="G395">
        <v>79.9</v>
      </c>
      <c r="H395">
        <v>700</v>
      </c>
      <c r="I395" t="inlineStr">
        <is>
          <t>美甲</t>
        </is>
      </c>
      <c r="J395" t="inlineStr">
        <is>
          <t>0.03</t>
        </is>
      </c>
      <c r="K395"/>
      <c r="L395" t="inlineStr">
        <is>
          <t>MR.WISH心愿先生有鲤美妆工具专卖店</t>
        </is>
      </c>
      <c r="M395">
        <v>103000</v>
      </c>
      <c r="N395">
        <v>4.39</v>
      </c>
      <c r="O395">
        <v>306000</v>
      </c>
      <c r="P395" t="inlineStr">
        <is>
          <t>68f8a716e0f3b20001c73f3f</t>
        </is>
      </c>
      <c r="Q395" t="inlineStr">
        <is>
          <t>🚫重复</t>
        </is>
      </c>
      <c r="R395" t="inlineStr">
        <is>
          <t>14周</t>
        </is>
      </c>
      <c r="S395" t="inlineStr">
        <is>
          <t>0.25</t>
        </is>
      </c>
      <c r="T395" t="inlineStr">
        <is>
          <t>美妆个护</t>
        </is>
      </c>
      <c r="U395" t="inlineStr">
        <is>
          <t>护肤彩妆</t>
        </is>
      </c>
      <c r="V395" s="3">
        <v>46112.78107638889</v>
      </c>
      <c r="W395" t="inlineStr">
        <is>
          <t>2026-Q1</t>
        </is>
      </c>
    </row>
    <row r="396" ht="25.5" customHeight="1">
      <c r="A396" t="inlineStr">
        <is>
          <t>瑜伽服运动速干衣女健身房跑步训练T恤紧身短袖上衣套装修身背心</t>
        </is>
      </c>
      <c r="B396" t="inlineStr">
        <is>
          <t>recvfKbRx1b5lc.jpg</t>
        </is>
      </c>
      <c r="C396" s="2" t="str">
        <f>=HYPERLINK("https://xhslink.com/m/5Y4ErEHcgyo", "https://xhslink.com/m/5Y4ErEHcgyo")</f>
        <v>https://xhslink.com/m/5Y4ErEHcgyo</v>
      </c>
      <c r="D396"/>
      <c r="E396">
        <v>27000</v>
      </c>
      <c r="F396">
        <v>39</v>
      </c>
      <c r="G396"/>
      <c r="H396">
        <v>700</v>
      </c>
      <c r="I396" t="inlineStr">
        <is>
          <t>瑜伽服</t>
        </is>
      </c>
      <c r="J396" t="inlineStr">
        <is>
          <t>0.03</t>
        </is>
      </c>
      <c r="K396" t="inlineStr">
        <is>
          <t>🔥低粉爆款</t>
        </is>
      </c>
      <c r="L396" t="inlineStr">
        <is>
          <t>韵宝Yoga的店</t>
        </is>
      </c>
      <c r="M396">
        <v>1870</v>
      </c>
      <c r="N396">
        <v>4.64</v>
      </c>
      <c r="O396">
        <v>39000</v>
      </c>
      <c r="P396" t="inlineStr">
        <is>
          <t>6969a8da97daad00015685a5</t>
        </is>
      </c>
      <c r="Q396" t="inlineStr">
        <is>
          <t>🚫重复</t>
        </is>
      </c>
      <c r="R396" t="inlineStr">
        <is>
          <t>14周</t>
        </is>
      </c>
      <c r="S396" t="inlineStr">
        <is>
          <t>14.44</t>
        </is>
      </c>
      <c r="T396" t="inlineStr">
        <is>
          <t>服饰穿搭</t>
        </is>
      </c>
      <c r="U396" t="inlineStr">
        <is>
          <t>女装</t>
        </is>
      </c>
      <c r="V396" s="3">
        <v>46115.998090277775</v>
      </c>
      <c r="W396" t="inlineStr">
        <is>
          <t>2026-Q2</t>
        </is>
      </c>
    </row>
    <row r="397" ht="25.5" customHeight="1">
      <c r="A397" t="inlineStr">
        <is>
          <t>deli得力 · 六边形战士新握感按动中性笔静音高颜值双珠st速干刷题笔</t>
        </is>
      </c>
      <c r="B397" t="inlineStr">
        <is>
          <t>recvfP5nJfb2Tp.jpg</t>
        </is>
      </c>
      <c r="C397" s="2" t="str">
        <f>=HYPERLINK("https://xhslink.com/m/9LEyhjKBJlq", "https://xhslink.com/m/9LEyhjKBJlq")</f>
        <v>https://xhslink.com/m/9LEyhjKBJlq</v>
      </c>
      <c r="D397"/>
      <c r="E397">
        <v>9124</v>
      </c>
      <c r="F397">
        <v>39.9</v>
      </c>
      <c r="G397"/>
      <c r="H397">
        <v>700</v>
      </c>
      <c r="I397" t="inlineStr">
        <is>
          <t>文具</t>
        </is>
      </c>
      <c r="J397" t="inlineStr">
        <is>
          <t>0.08</t>
        </is>
      </c>
      <c r="K397"/>
      <c r="L397" t="inlineStr">
        <is>
          <t>一个曦的店</t>
        </is>
      </c>
      <c r="M397">
        <v>4861</v>
      </c>
      <c r="N397">
        <v>4.51</v>
      </c>
      <c r="O397">
        <v>49000</v>
      </c>
      <c r="P397" t="inlineStr">
        <is>
          <t>6902c29d7d4dcd000162e65c</t>
        </is>
      </c>
      <c r="Q397"/>
      <c r="R397" t="inlineStr">
        <is>
          <t>14周</t>
        </is>
      </c>
      <c r="S397" t="inlineStr">
        <is>
          <t>1.88</t>
        </is>
      </c>
      <c r="T397" t="inlineStr">
        <is>
          <t>运动潮玩</t>
        </is>
      </c>
      <c r="U397" t="inlineStr">
        <is>
          <t>图书文创</t>
        </is>
      </c>
      <c r="V397" s="3">
        <v>46116.835335648146</v>
      </c>
      <c r="W397" t="inlineStr">
        <is>
          <t>2026-Q2</t>
        </is>
      </c>
    </row>
    <row r="398" ht="25.5" customHeight="1">
      <c r="A398" t="inlineStr">
        <is>
          <t>【28.8元任选8个加购自动改价】手作碱水球低卡早餐推荐 顺丰包邮</t>
        </is>
      </c>
      <c r="B398" t="inlineStr">
        <is>
          <t>recvfP5nJfcLrn.jpg</t>
        </is>
      </c>
      <c r="C398" s="2" t="str">
        <f>=HYPERLINK("https://xhslink.com/m/7YTz82v6XL1", "https://xhslink.com/m/7YTz82v6XL1")</f>
        <v>https://xhslink.com/m/7YTz82v6XL1</v>
      </c>
      <c r="D398"/>
      <c r="E398">
        <v>190000</v>
      </c>
      <c r="F398">
        <v>15.6</v>
      </c>
      <c r="G398">
        <v>9.6</v>
      </c>
      <c r="H398">
        <v>700</v>
      </c>
      <c r="I398" t="inlineStr">
        <is>
          <t>面包</t>
        </is>
      </c>
      <c r="J398" t="inlineStr">
        <is>
          <t>0.00</t>
        </is>
      </c>
      <c r="K398" t="inlineStr">
        <is>
          <t>🔥低粉爆款</t>
        </is>
      </c>
      <c r="L398" t="inlineStr">
        <is>
          <t>山禾四季手作工坊的店</t>
        </is>
      </c>
      <c r="M398">
        <v>4747</v>
      </c>
      <c r="N398">
        <v>4.62</v>
      </c>
      <c r="O398">
        <v>207000</v>
      </c>
      <c r="P398" t="inlineStr">
        <is>
          <t>6944f6810df67a00150646e8</t>
        </is>
      </c>
      <c r="Q398" t="inlineStr">
        <is>
          <t>🚫重复</t>
        </is>
      </c>
      <c r="R398" t="inlineStr">
        <is>
          <t>14周</t>
        </is>
      </c>
      <c r="S398" t="inlineStr">
        <is>
          <t>40.03</t>
        </is>
      </c>
      <c r="T398" t="inlineStr">
        <is>
          <t>美食滋补</t>
        </is>
      </c>
      <c r="U398" t="inlineStr">
        <is>
          <t>休闲零食</t>
        </is>
      </c>
      <c r="V398" s="3">
        <v>46116.835335648146</v>
      </c>
      <c r="W398" t="inlineStr">
        <is>
          <t>2026-Q2</t>
        </is>
      </c>
    </row>
    <row r="399" ht="25.5" customHeight="1">
      <c r="A399" t="inlineStr">
        <is>
          <t>贵贵小短裙*重磅醋酸贵气温柔光泽 自带安全裤夏季高级半身短裙</t>
        </is>
      </c>
      <c r="B399" t="inlineStr">
        <is>
          <t>recvfP5nJfzL3W.jpg</t>
        </is>
      </c>
      <c r="C399" s="2" t="str">
        <f>=HYPERLINK("https://xhslink.com/m/A0xbUNV0GHi", "https://xhslink.com/m/A0xbUNV0GHi")</f>
        <v>https://xhslink.com/m/A0xbUNV0GHi</v>
      </c>
      <c r="D399"/>
      <c r="E399">
        <v>11000</v>
      </c>
      <c r="F399">
        <v>179</v>
      </c>
      <c r="G399"/>
      <c r="H399">
        <v>700</v>
      </c>
      <c r="I399" t="inlineStr">
        <is>
          <t>长裙</t>
        </is>
      </c>
      <c r="J399" t="inlineStr">
        <is>
          <t>0.06</t>
        </is>
      </c>
      <c r="K399"/>
      <c r="L399" t="inlineStr">
        <is>
          <t>MOMOPLUS的店</t>
        </is>
      </c>
      <c r="M399">
        <v>127000</v>
      </c>
      <c r="N399">
        <v>4.67</v>
      </c>
      <c r="O399">
        <v>694000</v>
      </c>
      <c r="P399" t="inlineStr">
        <is>
          <t>69c4d43bd6abc6000153fba1</t>
        </is>
      </c>
      <c r="Q399" t="inlineStr">
        <is>
          <t>🚫重复</t>
        </is>
      </c>
      <c r="R399" t="inlineStr">
        <is>
          <t>14周</t>
        </is>
      </c>
      <c r="S399" t="inlineStr">
        <is>
          <t>0.09</t>
        </is>
      </c>
      <c r="T399" t="inlineStr">
        <is>
          <t>服饰穿搭</t>
        </is>
      </c>
      <c r="U399" t="inlineStr">
        <is>
          <t>女装</t>
        </is>
      </c>
      <c r="V399" s="3">
        <v>46116.835335648146</v>
      </c>
      <c r="W399" t="inlineStr">
        <is>
          <t>2026-Q2</t>
        </is>
      </c>
    </row>
    <row r="400" ht="25.5" customHeight="1">
      <c r="A400" t="inlineStr">
        <is>
          <t>薯条先生鲜切薯条土豆条香脆原切马铃薯条平替超越某生生网红大包</t>
        </is>
      </c>
      <c r="B400" t="inlineStr">
        <is>
          <t>recvfP5nJf5ugU.jpg</t>
        </is>
      </c>
      <c r="C400" s="2" t="str">
        <f>=HYPERLINK("https://xhslink.com/m/2K8LjpX8FPi", "https://xhslink.com/m/2K8LjpX8FPi")</f>
        <v>https://xhslink.com/m/2K8LjpX8FPi</v>
      </c>
      <c r="D400"/>
      <c r="E400">
        <v>38000</v>
      </c>
      <c r="F400">
        <v>20</v>
      </c>
      <c r="G400">
        <v>12.9</v>
      </c>
      <c r="H400">
        <v>700</v>
      </c>
      <c r="I400" t="inlineStr">
        <is>
          <t>坚果果干</t>
        </is>
      </c>
      <c r="J400" t="inlineStr">
        <is>
          <t>0.02</t>
        </is>
      </c>
      <c r="K400" t="inlineStr">
        <is>
          <t>🔥低粉爆款</t>
        </is>
      </c>
      <c r="L400" t="inlineStr">
        <is>
          <t>朱古力zhu的店</t>
        </is>
      </c>
      <c r="M400">
        <v>993</v>
      </c>
      <c r="N400">
        <v>4.54</v>
      </c>
      <c r="O400">
        <v>39000</v>
      </c>
      <c r="P400" t="inlineStr">
        <is>
          <t>690c27a7c091e300017ebb44</t>
        </is>
      </c>
      <c r="Q400"/>
      <c r="R400" t="inlineStr">
        <is>
          <t>14周</t>
        </is>
      </c>
      <c r="S400" t="inlineStr">
        <is>
          <t>38.27</t>
        </is>
      </c>
      <c r="T400" t="inlineStr">
        <is>
          <t>美食滋补</t>
        </is>
      </c>
      <c r="U400" t="inlineStr">
        <is>
          <t>休闲零食</t>
        </is>
      </c>
      <c r="V400" s="3">
        <v>46116.835335648146</v>
      </c>
      <c r="W400" t="inlineStr">
        <is>
          <t>2026-Q2</t>
        </is>
      </c>
    </row>
    <row r="401" ht="25.5" customHeight="1">
      <c r="A401" t="inlineStr">
        <is>
          <t>正肩收腰短袖T恤女夏季设计感修身显瘦休闲简约内搭打底上衣 ZS09</t>
        </is>
      </c>
      <c r="B401" t="inlineStr">
        <is>
          <t>recvfVt9jW0JVP.jpg</t>
        </is>
      </c>
      <c r="C401" s="2" t="str">
        <f>=HYPERLINK("https://xhslink.com/m/5Tcg69X6dWP", "https://xhslink.com/m/5Tcg69X6dWP")</f>
        <v>https://xhslink.com/m/5Tcg69X6dWP</v>
      </c>
      <c r="D401"/>
      <c r="E401">
        <v>1463</v>
      </c>
      <c r="F401">
        <v>39.9</v>
      </c>
      <c r="G401"/>
      <c r="H401">
        <v>700</v>
      </c>
      <c r="I401" t="inlineStr">
        <is>
          <t>短袖</t>
        </is>
      </c>
      <c r="J401" t="inlineStr">
        <is>
          <t>0.48</t>
        </is>
      </c>
      <c r="K401"/>
      <c r="L401" t="inlineStr">
        <is>
          <t>楠涛服饰的店</t>
        </is>
      </c>
      <c r="M401">
        <v>220000</v>
      </c>
      <c r="N401">
        <v>4.69</v>
      </c>
      <c r="O401">
        <v>460000</v>
      </c>
      <c r="P401" t="inlineStr">
        <is>
          <t>69c7bfd7de0f0700014eb4c0</t>
        </is>
      </c>
      <c r="Q401" t="inlineStr">
        <is>
          <t>🚫重复</t>
        </is>
      </c>
      <c r="R401" t="inlineStr">
        <is>
          <t>14周</t>
        </is>
      </c>
      <c r="S401" t="inlineStr">
        <is>
          <t>0.01</t>
        </is>
      </c>
      <c r="T401" t="inlineStr">
        <is>
          <t>服饰穿搭</t>
        </is>
      </c>
      <c r="U401" t="inlineStr">
        <is>
          <t>女装</t>
        </is>
      </c>
      <c r="V401" s="3">
        <v>46117.927083333336</v>
      </c>
      <c r="W401" t="inlineStr">
        <is>
          <t>2026-Q2</t>
        </is>
      </c>
    </row>
    <row r="402" ht="25.5" customHeight="1">
      <c r="A402" t="inlineStr">
        <is>
          <t>热卖款·运动上衣透气显瘦女｜瑜伽服跑步速干短袖t恤【运费险】</t>
        </is>
      </c>
      <c r="B402" t="inlineStr">
        <is>
          <t>recvg1BDH5TOgS.jpg</t>
        </is>
      </c>
      <c r="C402" s="2" t="str">
        <f>=HYPERLINK("https://xhslink.com/m/8e48zw15XIE", "https://xhslink.com/m/8e48zw15XIE")</f>
        <v>https://xhslink.com/m/8e48zw15XIE</v>
      </c>
      <c r="D402"/>
      <c r="E402">
        <v>12000</v>
      </c>
      <c r="F402">
        <v>98</v>
      </c>
      <c r="G402">
        <v>57</v>
      </c>
      <c r="H402">
        <v>700</v>
      </c>
      <c r="I402" t="inlineStr">
        <is>
          <t>T恤</t>
        </is>
      </c>
      <c r="J402" t="inlineStr">
        <is>
          <t>0.06</t>
        </is>
      </c>
      <c r="K402" t="inlineStr">
        <is>
          <t>🔥低粉爆款</t>
        </is>
      </c>
      <c r="L402" t="inlineStr">
        <is>
          <t>苏苏iu的店</t>
        </is>
      </c>
      <c r="M402">
        <v>2073</v>
      </c>
      <c r="N402">
        <v>4.48</v>
      </c>
      <c r="O402">
        <v>26000</v>
      </c>
      <c r="P402" t="inlineStr">
        <is>
          <t>6826dd8c32712d00159eb503</t>
        </is>
      </c>
      <c r="Q402" t="inlineStr">
        <is>
          <t>🚫重复</t>
        </is>
      </c>
      <c r="R402" t="inlineStr">
        <is>
          <t>15周</t>
        </is>
      </c>
      <c r="S402" t="inlineStr">
        <is>
          <t>5.79</t>
        </is>
      </c>
      <c r="T402" t="inlineStr">
        <is>
          <t>运动潮玩</t>
        </is>
      </c>
      <c r="U402" t="inlineStr">
        <is>
          <t>运动户外装备</t>
        </is>
      </c>
      <c r="V402" s="3">
        <v>46118.97659722222</v>
      </c>
      <c r="W402" t="inlineStr">
        <is>
          <t>2026-Q2</t>
        </is>
      </c>
    </row>
    <row r="403" ht="25.5" customHeight="1">
      <c r="A403" t="inlineStr">
        <is>
          <t>家的角落 · 浴室柜收纳盒壁挂柜子台面卫生间镜柜下内免打孔化妆品面膜置物架</t>
        </is>
      </c>
      <c r="B403" t="inlineStr">
        <is>
          <t>recvg1BDH5fTeG.jpg</t>
        </is>
      </c>
      <c r="C403" s="2" t="str">
        <f>=HYPERLINK("https://xhslink.com/m/ANhCidpJktC", "https://xhslink.com/m/ANhCidpJktC")</f>
        <v>https://xhslink.com/m/ANhCidpJktC</v>
      </c>
      <c r="D403"/>
      <c r="E403">
        <v>1777</v>
      </c>
      <c r="F403">
        <v>23.9</v>
      </c>
      <c r="G403">
        <v>13.9</v>
      </c>
      <c r="H403">
        <v>700</v>
      </c>
      <c r="I403" t="inlineStr">
        <is>
          <t>收纳</t>
        </is>
      </c>
      <c r="J403" t="inlineStr">
        <is>
          <t>0.39</t>
        </is>
      </c>
      <c r="K403"/>
      <c r="L403" t="inlineStr">
        <is>
          <t>家的角落的店</t>
        </is>
      </c>
      <c r="M403">
        <v>1018000</v>
      </c>
      <c r="N403">
        <v>4.61</v>
      </c>
      <c r="O403">
        <v>537000</v>
      </c>
      <c r="P403" t="inlineStr">
        <is>
          <t>69cbc29f069e7b0001168640</t>
        </is>
      </c>
      <c r="Q403" t="inlineStr">
        <is>
          <t>🚫重复</t>
        </is>
      </c>
      <c r="R403" t="inlineStr">
        <is>
          <t>15周</t>
        </is>
      </c>
      <c r="S403" t="inlineStr">
        <is>
          <t>0.00</t>
        </is>
      </c>
      <c r="T403" t="inlineStr">
        <is>
          <t>家居生活</t>
        </is>
      </c>
      <c r="U403" t="inlineStr">
        <is>
          <t>家居日用</t>
        </is>
      </c>
      <c r="V403" s="3">
        <v>46118.97659722222</v>
      </c>
      <c r="W403" t="inlineStr">
        <is>
          <t>2026-Q2</t>
        </is>
      </c>
    </row>
    <row r="404" ht="25.5" customHeight="1">
      <c r="A404" t="inlineStr">
        <is>
          <t>宏克佳 · 背部拉伸塑身普拉提瑜伽多功能开肩美背肩高位下拉弹力绳健身家用</t>
        </is>
      </c>
      <c r="B404" t="inlineStr">
        <is>
          <t>recvg1BDH5K9DB.jpg</t>
        </is>
      </c>
      <c r="C404" s="2" t="str">
        <f>=HYPERLINK("https://xhslink.com/m/AxR3AylUneK", "https://xhslink.com/m/AxR3AylUneK")</f>
        <v>https://xhslink.com/m/AxR3AylUneK</v>
      </c>
      <c r="D404"/>
      <c r="E404">
        <v>72000</v>
      </c>
      <c r="F404">
        <v>59.9</v>
      </c>
      <c r="G404"/>
      <c r="H404">
        <v>700</v>
      </c>
      <c r="I404" t="inlineStr">
        <is>
          <t>健身</t>
        </is>
      </c>
      <c r="J404" t="inlineStr">
        <is>
          <t>0.01</t>
        </is>
      </c>
      <c r="K404" t="inlineStr">
        <is>
          <t>🔥低粉爆款</t>
        </is>
      </c>
      <c r="L404" t="inlineStr">
        <is>
          <t>宏克佳轻运动的店</t>
        </is>
      </c>
      <c r="M404">
        <v>4921</v>
      </c>
      <c r="N404">
        <v>4.54</v>
      </c>
      <c r="O404">
        <v>196000</v>
      </c>
      <c r="P404" t="inlineStr">
        <is>
          <t>6581641253f6c30001409e3e</t>
        </is>
      </c>
      <c r="Q404" t="inlineStr">
        <is>
          <t>🚫重复</t>
        </is>
      </c>
      <c r="R404" t="inlineStr">
        <is>
          <t>15周</t>
        </is>
      </c>
      <c r="S404" t="inlineStr">
        <is>
          <t>14.63</t>
        </is>
      </c>
      <c r="T404" t="inlineStr">
        <is>
          <t>运动潮玩</t>
        </is>
      </c>
      <c r="U404" t="inlineStr">
        <is>
          <t>运动户外装备</t>
        </is>
      </c>
      <c r="V404" s="3">
        <v>46118.97659722222</v>
      </c>
      <c r="W404" t="inlineStr">
        <is>
          <t>2026-Q2</t>
        </is>
      </c>
    </row>
    <row r="405" ht="25.5" customHeight="1">
      <c r="A405" t="inlineStr">
        <is>
          <t>光和手感 · 【39.5任选5款——加入购物车结算自动改价】手作代餐欧包面包</t>
        </is>
      </c>
      <c r="B405" t="inlineStr">
        <is>
          <t>recvgd5oYIhg59.jpg</t>
        </is>
      </c>
      <c r="C405" s="2" t="str">
        <f>=HYPERLINK("https://xhslink.com/m/5fH34Xh22pd", "https://xhslink.com/m/5fH34Xh22pd")</f>
        <v>https://xhslink.com/m/5fH34Xh22pd</v>
      </c>
      <c r="D405"/>
      <c r="E405">
        <v>366000</v>
      </c>
      <c r="F405">
        <v>16.8</v>
      </c>
      <c r="G405">
        <v>6.1</v>
      </c>
      <c r="H405">
        <v>700</v>
      </c>
      <c r="I405" t="inlineStr">
        <is>
          <t>面包</t>
        </is>
      </c>
      <c r="J405" t="inlineStr">
        <is>
          <t>0.00</t>
        </is>
      </c>
      <c r="K405"/>
      <c r="L405" t="inlineStr">
        <is>
          <t>光和手感的店</t>
        </is>
      </c>
      <c r="M405">
        <v>236000</v>
      </c>
      <c r="N405">
        <v>4.38</v>
      </c>
      <c r="O405">
        <v>2228000</v>
      </c>
      <c r="P405" t="inlineStr">
        <is>
          <t>64f8437bf9915d00017c93bd</t>
        </is>
      </c>
      <c r="Q405" t="inlineStr">
        <is>
          <t>🚫重复</t>
        </is>
      </c>
      <c r="R405" t="inlineStr">
        <is>
          <t>15周</t>
        </is>
      </c>
      <c r="S405" t="inlineStr">
        <is>
          <t>1.55</t>
        </is>
      </c>
      <c r="T405" t="inlineStr">
        <is>
          <t>美食滋补</t>
        </is>
      </c>
      <c r="U405" t="inlineStr">
        <is>
          <t>休闲零食</t>
        </is>
      </c>
      <c r="V405" s="3">
        <v>46120.939930555556</v>
      </c>
      <c r="W405" t="inlineStr">
        <is>
          <t>2026-Q2</t>
        </is>
      </c>
    </row>
    <row r="406" ht="25.5" customHeight="1">
      <c r="A406" t="inlineStr">
        <is>
          <t>正宗无盐茯苓薏米山药线面福建特产独立包装挂面儿童细面条粗粮</t>
        </is>
      </c>
      <c r="B406" t="inlineStr">
        <is>
          <t>recvgd5oYIW0an.jpg</t>
        </is>
      </c>
      <c r="C406" s="2" t="str">
        <f>=HYPERLINK("https://xhslink.com/m/KaduhAeglO", "https://xhslink.com/m/KaduhAeglO")</f>
        <v>https://xhslink.com/m/KaduhAeglO</v>
      </c>
      <c r="D406"/>
      <c r="E406">
        <v>378000</v>
      </c>
      <c r="F406">
        <v>29.9</v>
      </c>
      <c r="G406"/>
      <c r="H406">
        <v>700</v>
      </c>
      <c r="I406" t="inlineStr">
        <is>
          <t>面条</t>
        </is>
      </c>
      <c r="J406" t="inlineStr">
        <is>
          <t>0.00</t>
        </is>
      </c>
      <c r="K406" t="inlineStr">
        <is>
          <t>🔥低粉爆款</t>
        </is>
      </c>
      <c r="L406" t="inlineStr">
        <is>
          <t>虹孩儿的店</t>
        </is>
      </c>
      <c r="M406">
        <v>11000</v>
      </c>
      <c r="N406">
        <v>4.65</v>
      </c>
      <c r="O406">
        <v>389000</v>
      </c>
      <c r="P406" t="inlineStr">
        <is>
          <t>673c54172c4aba00019f5386</t>
        </is>
      </c>
      <c r="Q406"/>
      <c r="R406" t="inlineStr">
        <is>
          <t>15周</t>
        </is>
      </c>
      <c r="S406" t="inlineStr">
        <is>
          <t>34.36</t>
        </is>
      </c>
      <c r="T406" t="inlineStr">
        <is>
          <t>美食滋补</t>
        </is>
      </c>
      <c r="U406" t="inlineStr">
        <is>
          <t>生鲜特产</t>
        </is>
      </c>
      <c r="V406" s="3">
        <v>46120.939930555556</v>
      </c>
      <c r="W406" t="inlineStr">
        <is>
          <t>2026-Q2</t>
        </is>
      </c>
    </row>
    <row r="407" ht="25.5" customHeight="1">
      <c r="A407" t="inlineStr">
        <is>
          <t>【U领背心】自制款巨巨巨好穿的固定杯打底背心 蚕丝蛋白极简显瘦</t>
        </is>
      </c>
      <c r="B407" t="inlineStr">
        <is>
          <t>recvgjaKnct5Ah.jpg</t>
        </is>
      </c>
      <c r="C407" s="2" t="str">
        <f>=HYPERLINK("https://xhslink.com/m/7sZEaEqwrxI", "https://xhslink.com/m/7sZEaEqwrxI")</f>
        <v>https://xhslink.com/m/7sZEaEqwrxI</v>
      </c>
      <c r="D407"/>
      <c r="E407">
        <v>2973</v>
      </c>
      <c r="F407">
        <v>59</v>
      </c>
      <c r="G407">
        <v>49</v>
      </c>
      <c r="H407">
        <v>700</v>
      </c>
      <c r="I407" t="inlineStr">
        <is>
          <t>背心吊带</t>
        </is>
      </c>
      <c r="J407" t="inlineStr">
        <is>
          <t>0.24</t>
        </is>
      </c>
      <c r="K407"/>
      <c r="L407" t="inlineStr">
        <is>
          <t>田中小鸡Tanaka Hiyoko的店</t>
        </is>
      </c>
      <c r="M407">
        <v>92000</v>
      </c>
      <c r="N407">
        <v>4.67</v>
      </c>
      <c r="O407">
        <v>226000</v>
      </c>
      <c r="P407" t="inlineStr">
        <is>
          <t>69c0e709ff00dc0001dac071</t>
        </is>
      </c>
      <c r="Q407" t="inlineStr">
        <is>
          <t>🚫重复</t>
        </is>
      </c>
      <c r="R407" t="inlineStr">
        <is>
          <t>15周</t>
        </is>
      </c>
      <c r="S407" t="inlineStr">
        <is>
          <t>0.03</t>
        </is>
      </c>
      <c r="T407" t="inlineStr">
        <is>
          <t>服饰穿搭</t>
        </is>
      </c>
      <c r="U407" t="inlineStr">
        <is>
          <t>女装</t>
        </is>
      </c>
      <c r="V407" s="3">
        <v>46121.98079861111</v>
      </c>
      <c r="W407" t="inlineStr">
        <is>
          <t>2026-Q2</t>
        </is>
      </c>
    </row>
    <row r="408" ht="25.5" customHeight="1">
      <c r="A408" t="inlineStr">
        <is>
          <t>100%纯亚麻 松弛感No.1直筒亚麻裤 自家厂做的～</t>
        </is>
      </c>
      <c r="B408" t="inlineStr">
        <is>
          <t>recvgjaKnc9nQV.jpg</t>
        </is>
      </c>
      <c r="C408" s="2" t="str">
        <f>=HYPERLINK("https://xhslink.com/m/7JQbtjOleVP", "https://xhslink.com/m/7JQbtjOleVP")</f>
        <v>https://xhslink.com/m/7JQbtjOleVP</v>
      </c>
      <c r="D408"/>
      <c r="E408">
        <v>3547</v>
      </c>
      <c r="F408">
        <v>228</v>
      </c>
      <c r="G408">
        <v>169</v>
      </c>
      <c r="H408">
        <v>700</v>
      </c>
      <c r="I408" t="inlineStr">
        <is>
          <t>裤子</t>
        </is>
      </c>
      <c r="J408" t="inlineStr">
        <is>
          <t>0.20</t>
        </is>
      </c>
      <c r="K408"/>
      <c r="L408" t="inlineStr">
        <is>
          <t>卖羽绒服的carry的店</t>
        </is>
      </c>
      <c r="M408">
        <v>146000</v>
      </c>
      <c r="N408">
        <v>4.62</v>
      </c>
      <c r="O408">
        <v>146000</v>
      </c>
      <c r="P408" t="inlineStr">
        <is>
          <t>69b4e52e4cdf2e00012f57fe</t>
        </is>
      </c>
      <c r="Q408" t="inlineStr">
        <is>
          <t>🚫重复</t>
        </is>
      </c>
      <c r="R408" t="inlineStr">
        <is>
          <t>15周</t>
        </is>
      </c>
      <c r="S408" t="inlineStr">
        <is>
          <t>0.02</t>
        </is>
      </c>
      <c r="T408" t="inlineStr">
        <is>
          <t>服饰穿搭</t>
        </is>
      </c>
      <c r="U408" t="inlineStr">
        <is>
          <t>女装</t>
        </is>
      </c>
      <c r="V408" s="3">
        <v>46121.98079861111</v>
      </c>
      <c r="W408" t="inlineStr">
        <is>
          <t>2026-Q2</t>
        </is>
      </c>
    </row>
    <row r="409" ht="25.5" customHeight="1">
      <c r="A409" t="inlineStr">
        <is>
          <t>Boddywear早春分趾袜清透薄款中筒袜夏季无骨堆堆袜</t>
        </is>
      </c>
      <c r="B409" t="inlineStr">
        <is>
          <t>recvguTbC1I4mN.jpg</t>
        </is>
      </c>
      <c r="C409" s="2" t="str">
        <f>=HYPERLINK("https://xhslink.com/m/1zqQ3ZEWlxp", "https://xhslink.com/m/1zqQ3ZEWlxp")</f>
        <v>https://xhslink.com/m/1zqQ3ZEWlxp</v>
      </c>
      <c r="D409"/>
      <c r="E409">
        <v>2007</v>
      </c>
      <c r="F409">
        <v>15.6</v>
      </c>
      <c r="G409">
        <v>12.6</v>
      </c>
      <c r="H409">
        <v>700</v>
      </c>
      <c r="I409" t="inlineStr">
        <is>
          <t>袜子</t>
        </is>
      </c>
      <c r="J409" t="inlineStr">
        <is>
          <t>0.35</t>
        </is>
      </c>
      <c r="K409"/>
      <c r="L409" t="inlineStr">
        <is>
          <t>Boddywear Official的店</t>
        </is>
      </c>
      <c r="M409">
        <v>904</v>
      </c>
      <c r="N409">
        <v>4.56</v>
      </c>
      <c r="O409">
        <v>2051</v>
      </c>
      <c r="P409" t="inlineStr">
        <is>
          <t>69bacc5023faf800014d2d99</t>
        </is>
      </c>
      <c r="Q409" t="inlineStr">
        <is>
          <t>🚫重复</t>
        </is>
      </c>
      <c r="R409" t="inlineStr">
        <is>
          <t>15周</t>
        </is>
      </c>
      <c r="S409" t="inlineStr">
        <is>
          <t>2.22</t>
        </is>
      </c>
      <c r="T409" t="inlineStr">
        <is>
          <t>服饰穿搭</t>
        </is>
      </c>
      <c r="U409" t="inlineStr">
        <is>
          <t>鞋靴箱包</t>
        </is>
      </c>
      <c r="V409" s="3">
        <v>46123.98462962963</v>
      </c>
      <c r="W409" t="inlineStr">
        <is>
          <t>2026-Q2</t>
        </is>
      </c>
    </row>
    <row r="410" ht="25.5" customHeight="1">
      <c r="A410" t="inlineStr">
        <is>
          <t>【独立包装】山东粗粮即食0糖油馒头全麦燕麦荞麦玉米90g</t>
        </is>
      </c>
      <c r="B410" t="inlineStr">
        <is>
          <t>__upload_recvgAET7x0unH.jpg</t>
        </is>
      </c>
      <c r="C410" s="2" t="str">
        <f>=HYPERLINK("https://xhslink.com/m/6Cdpkd1iVfb", "https://xhslink.com/m/6Cdpkd1iVfb")</f>
        <v>https://xhslink.com/m/6Cdpkd1iVfb</v>
      </c>
      <c r="D410"/>
      <c r="E410">
        <v>37000</v>
      </c>
      <c r="F410">
        <v>20.8</v>
      </c>
      <c r="G410">
        <v>10.8</v>
      </c>
      <c r="H410">
        <v>700</v>
      </c>
      <c r="I410" t="inlineStr">
        <is>
          <t>即食早餐</t>
        </is>
      </c>
      <c r="J410" t="inlineStr">
        <is>
          <t>0.02</t>
        </is>
      </c>
      <c r="K410"/>
      <c r="L410" t="inlineStr">
        <is>
          <t>一间轻食店的店</t>
        </is>
      </c>
      <c r="M410">
        <v>19000</v>
      </c>
      <c r="N410">
        <v>4.67</v>
      </c>
      <c r="O410">
        <v>158000</v>
      </c>
      <c r="P410" t="inlineStr">
        <is>
          <t>69006a683f37a90001206d04</t>
        </is>
      </c>
      <c r="Q410" t="inlineStr">
        <is>
          <t>🚫重复</t>
        </is>
      </c>
      <c r="R410" t="inlineStr">
        <is>
          <t>15周</t>
        </is>
      </c>
      <c r="S410" t="inlineStr">
        <is>
          <t>1.95</t>
        </is>
      </c>
      <c r="T410" t="inlineStr">
        <is>
          <t>美食滋补</t>
        </is>
      </c>
      <c r="U410" t="inlineStr">
        <is>
          <t>休闲零食</t>
        </is>
      </c>
      <c r="V410" s="3">
        <v>46124.971342592595</v>
      </c>
      <c r="W410" t="inlineStr">
        <is>
          <t>2026-Q2</t>
        </is>
      </c>
    </row>
    <row r="411" ht="25.5" customHeight="1">
      <c r="A411" t="inlineStr">
        <is>
          <t>【天丝长绒棉】品质挂！！凉感圆领修身显瘦短袖T恤女韩版</t>
        </is>
      </c>
      <c r="B411" t="inlineStr">
        <is>
          <t>__upload_recvgAET7xfuxc.jpg</t>
        </is>
      </c>
      <c r="C411" s="2" t="str">
        <f>=HYPERLINK("https://xhslink.com/m/6ETPCJgATA9", "https://xhslink.com/m/6ETPCJgATA9")</f>
        <v>https://xhslink.com/m/6ETPCJgATA9</v>
      </c>
      <c r="D411"/>
      <c r="E411">
        <v>2107</v>
      </c>
      <c r="F411">
        <v>78.8</v>
      </c>
      <c r="G411">
        <v>29.8</v>
      </c>
      <c r="H411">
        <v>700</v>
      </c>
      <c r="I411" t="inlineStr">
        <is>
          <t>T恤</t>
        </is>
      </c>
      <c r="J411" t="inlineStr">
        <is>
          <t>0.33</t>
        </is>
      </c>
      <c r="K411"/>
      <c r="L411" t="inlineStr">
        <is>
          <t>韩圆圆OVO的店</t>
        </is>
      </c>
      <c r="M411">
        <v>14000</v>
      </c>
      <c r="N411">
        <v>4.51</v>
      </c>
      <c r="O411">
        <v>347000</v>
      </c>
      <c r="P411" t="inlineStr">
        <is>
          <t>69b3d54a5e5f05000118b32c</t>
        </is>
      </c>
      <c r="Q411" t="inlineStr">
        <is>
          <t>🚫重复</t>
        </is>
      </c>
      <c r="R411" t="inlineStr">
        <is>
          <t>15周</t>
        </is>
      </c>
      <c r="S411" t="inlineStr">
        <is>
          <t>0.15</t>
        </is>
      </c>
      <c r="T411" t="inlineStr">
        <is>
          <t>服饰穿搭</t>
        </is>
      </c>
      <c r="U411" t="inlineStr">
        <is>
          <t>女装</t>
        </is>
      </c>
      <c r="V411" s="3">
        <v>46124.971342592595</v>
      </c>
      <c r="W411" t="inlineStr">
        <is>
          <t>2026-Q2</t>
        </is>
      </c>
    </row>
    <row r="412" ht="25.5" customHeight="1">
      <c r="A412" t="inlineStr">
        <is>
          <t>收纳柜/小推车/ 护肤品化妆品收纳/ 零食收纳/ 360度旋转</t>
        </is>
      </c>
      <c r="B412" t="inlineStr">
        <is>
          <t>recvgGy5hQkudu.jpg</t>
        </is>
      </c>
      <c r="C412" s="2" t="str">
        <f>=HYPERLINK("https://xhslink.com/m/5yXLIJFylfS", "https://xhslink.com/m/5yXLIJFylfS")</f>
        <v>https://xhslink.com/m/5yXLIJFylfS</v>
      </c>
      <c r="D412"/>
      <c r="E412">
        <v>4369</v>
      </c>
      <c r="F412">
        <v>239</v>
      </c>
      <c r="G412">
        <v>209</v>
      </c>
      <c r="H412">
        <v>700</v>
      </c>
      <c r="I412" t="inlineStr">
        <is>
          <t>卧室收纳</t>
        </is>
      </c>
      <c r="J412" t="inlineStr">
        <is>
          <t>0.16</t>
        </is>
      </c>
      <c r="K412" t="inlineStr">
        <is>
          <t>🔥低粉爆款</t>
        </is>
      </c>
      <c r="L412" t="inlineStr">
        <is>
          <t>Momo的家居好物的店</t>
        </is>
      </c>
      <c r="M412">
        <v>659</v>
      </c>
      <c r="N412">
        <v>4.53</v>
      </c>
      <c r="O412">
        <v>13000</v>
      </c>
      <c r="P412" t="inlineStr">
        <is>
          <t>67fcb28a1899f10001f7f16b</t>
        </is>
      </c>
      <c r="Q412" t="inlineStr">
        <is>
          <t>🚫重复</t>
        </is>
      </c>
      <c r="R412" t="inlineStr">
        <is>
          <t>16周</t>
        </is>
      </c>
      <c r="S412" t="inlineStr">
        <is>
          <t>6.63</t>
        </is>
      </c>
      <c r="T412" t="inlineStr">
        <is>
          <t>美妆个护</t>
        </is>
      </c>
      <c r="U412" t="inlineStr">
        <is>
          <t>护肤彩妆</t>
        </is>
      </c>
      <c r="V412" s="3">
        <v>46125.978738425925</v>
      </c>
      <c r="W412" t="inlineStr">
        <is>
          <t>2026-Q2</t>
        </is>
      </c>
    </row>
    <row r="413" ht="25.5" customHeight="1">
      <c r="A413" t="inlineStr">
        <is>
          <t>其他 · ins风韩式帕恰狗陶瓷泡面碗带盖男女学生宿舍方便面螺蛳粉专用碗</t>
        </is>
      </c>
      <c r="B413" t="inlineStr">
        <is>
          <t>recvgGy5hQrg5I.jpg</t>
        </is>
      </c>
      <c r="C413" s="2" t="str">
        <f>=HYPERLINK("https://xhslink.com/m/3valWWQBIQA", "https://xhslink.com/m/3valWWQBIQA")</f>
        <v>https://xhslink.com/m/3valWWQBIQA</v>
      </c>
      <c r="D413"/>
      <c r="E413">
        <v>1077</v>
      </c>
      <c r="F413">
        <v>42.11</v>
      </c>
      <c r="G413">
        <v>0.11</v>
      </c>
      <c r="H413">
        <v>700</v>
      </c>
      <c r="I413" t="inlineStr">
        <is>
          <t>陶瓷碗</t>
        </is>
      </c>
      <c r="J413" t="inlineStr">
        <is>
          <t>0.65</t>
        </is>
      </c>
      <c r="K413" t="inlineStr">
        <is>
          <t>🔥低粉爆款</t>
        </is>
      </c>
      <c r="L413" t="inlineStr">
        <is>
          <t>小奶酪嗷的店</t>
        </is>
      </c>
      <c r="M413">
        <v>90</v>
      </c>
      <c r="N413">
        <v>4.45</v>
      </c>
      <c r="O413">
        <v>1749</v>
      </c>
      <c r="P413" t="inlineStr">
        <is>
          <t>69a006cfc3604d001511688a</t>
        </is>
      </c>
      <c r="Q413"/>
      <c r="R413" t="inlineStr">
        <is>
          <t>16周</t>
        </is>
      </c>
      <c r="S413" t="inlineStr">
        <is>
          <t>11.97</t>
        </is>
      </c>
      <c r="T413" t="inlineStr">
        <is>
          <t>家居生活</t>
        </is>
      </c>
      <c r="U413" t="inlineStr">
        <is>
          <t>厨房餐饮</t>
        </is>
      </c>
      <c r="V413" s="3">
        <v>46125.978738425925</v>
      </c>
      <c r="W413" t="inlineStr">
        <is>
          <t>2026-Q2</t>
        </is>
      </c>
    </row>
    <row r="414" ht="25.5" customHeight="1">
      <c r="A414" t="inlineStr">
        <is>
          <t>最后100单特惠！正版原创可爱花枝鼠老鼠毛绒玩具玩偶</t>
        </is>
      </c>
      <c r="B414" t="inlineStr">
        <is>
          <t>recvgGy5hQgmhG.jpg</t>
        </is>
      </c>
      <c r="C414" s="2" t="str">
        <f>=HYPERLINK("https://xhslink.com/m/Aq6lHG9yyNx", "https://xhslink.com/m/Aq6lHG9yyNx")</f>
        <v>https://xhslink.com/m/Aq6lHG9yyNx</v>
      </c>
      <c r="D414"/>
      <c r="E414">
        <v>1802</v>
      </c>
      <c r="F414">
        <v>49.9</v>
      </c>
      <c r="G414">
        <v>29.9</v>
      </c>
      <c r="H414">
        <v>700</v>
      </c>
      <c r="I414" t="inlineStr">
        <is>
          <t>毛绒玩具</t>
        </is>
      </c>
      <c r="J414" t="inlineStr">
        <is>
          <t>0.39</t>
        </is>
      </c>
      <c r="K414"/>
      <c r="L414" t="inlineStr">
        <is>
          <t>西西酱玩偶的店</t>
        </is>
      </c>
      <c r="M414">
        <v>877</v>
      </c>
      <c r="N414">
        <v>4.65</v>
      </c>
      <c r="O414">
        <v>1768</v>
      </c>
      <c r="P414" t="inlineStr">
        <is>
          <t>69c1112a15bd7400019c611c</t>
        </is>
      </c>
      <c r="Q414" t="inlineStr">
        <is>
          <t>🚫重复</t>
        </is>
      </c>
      <c r="R414" t="inlineStr">
        <is>
          <t>16周</t>
        </is>
      </c>
      <c r="S414" t="inlineStr">
        <is>
          <t>2.05</t>
        </is>
      </c>
      <c r="T414" t="inlineStr">
        <is>
          <t>母婴亲子</t>
        </is>
      </c>
      <c r="U414" t="inlineStr">
        <is>
          <t>玩具早教</t>
        </is>
      </c>
      <c r="V414" s="3">
        <v>46125.978738425925</v>
      </c>
      <c r="W414" t="inlineStr">
        <is>
          <t>2026-Q2</t>
        </is>
      </c>
    </row>
    <row r="415" ht="25.5" customHeight="1">
      <c r="A415" t="inlineStr">
        <is>
          <t>@热卖4w件！慵懒感蓝白条纹斜肩短袖T恤女夏季宽松上衣</t>
        </is>
      </c>
      <c r="B415" t="inlineStr">
        <is>
          <t>recvgGy5hQGRQe.jpg</t>
        </is>
      </c>
      <c r="C415" s="2" t="str">
        <f>=HYPERLINK("https://xhslink.com/m/17xhSVzHXIQ", "https://xhslink.com/m/17xhSVzHXIQ")</f>
        <v>https://xhslink.com/m/17xhSVzHXIQ</v>
      </c>
      <c r="D415"/>
      <c r="E415">
        <v>44000</v>
      </c>
      <c r="F415">
        <v>39.9</v>
      </c>
      <c r="G415"/>
      <c r="H415">
        <v>700</v>
      </c>
      <c r="I415" t="inlineStr">
        <is>
          <t>上衣</t>
        </is>
      </c>
      <c r="J415" t="inlineStr">
        <is>
          <t>0.02</t>
        </is>
      </c>
      <c r="K415"/>
      <c r="L415" t="inlineStr">
        <is>
          <t>海鸥服装厂的店</t>
        </is>
      </c>
      <c r="M415">
        <v>89000</v>
      </c>
      <c r="N415">
        <v>4.48</v>
      </c>
      <c r="O415">
        <v>1099000</v>
      </c>
      <c r="P415" t="inlineStr">
        <is>
          <t>67f6628c04afe30001bc02da</t>
        </is>
      </c>
      <c r="Q415" t="inlineStr">
        <is>
          <t>🚫重复</t>
        </is>
      </c>
      <c r="R415" t="inlineStr">
        <is>
          <t>16周</t>
        </is>
      </c>
      <c r="S415" t="inlineStr">
        <is>
          <t>0.49</t>
        </is>
      </c>
      <c r="T415" t="inlineStr">
        <is>
          <t>服饰穿搭</t>
        </is>
      </c>
      <c r="U415" t="inlineStr">
        <is>
          <t>女装</t>
        </is>
      </c>
      <c r="V415" s="3">
        <v>46125.978738425925</v>
      </c>
      <c r="W415" t="inlineStr">
        <is>
          <t>2026-Q2</t>
        </is>
      </c>
    </row>
    <row r="416" ht="25.5" customHeight="1">
      <c r="A416" t="inlineStr">
        <is>
          <t>工装裤女美式复古百搭速干阔腿裤春夏新款垂感宽松显瘦休闲运动裤</t>
        </is>
      </c>
      <c r="B416" t="inlineStr">
        <is>
          <t>__upload_recvgY7N5zJpAD.jpg</t>
        </is>
      </c>
      <c r="C416" s="2" t="str">
        <f>=HYPERLINK("https://xhslink.com/m/4qQ8R0VCsfq", "https://xhslink.com/m/4qQ8R0VCsfq")</f>
        <v>https://xhslink.com/m/4qQ8R0VCsfq</v>
      </c>
      <c r="D416"/>
      <c r="E416">
        <v>195000</v>
      </c>
      <c r="F416">
        <v>69.9</v>
      </c>
      <c r="G416"/>
      <c r="H416">
        <v>700</v>
      </c>
      <c r="I416" t="inlineStr">
        <is>
          <t>裤子</t>
        </is>
      </c>
      <c r="J416" t="inlineStr">
        <is>
          <t>0.00</t>
        </is>
      </c>
      <c r="K416"/>
      <c r="L416" t="inlineStr">
        <is>
          <t>小鹅学姐穿搭的店的店</t>
        </is>
      </c>
      <c r="M416">
        <v>229000</v>
      </c>
      <c r="N416">
        <v>4.41</v>
      </c>
      <c r="O416">
        <v>1539000</v>
      </c>
      <c r="P416" t="inlineStr">
        <is>
          <t>67b43af5d684d70015c570b3</t>
        </is>
      </c>
      <c r="Q416" t="inlineStr">
        <is>
          <t>🚫重复</t>
        </is>
      </c>
      <c r="R416" t="inlineStr">
        <is>
          <t>16周</t>
        </is>
      </c>
      <c r="S416" t="inlineStr">
        <is>
          <t>0.85</t>
        </is>
      </c>
      <c r="T416" t="inlineStr">
        <is>
          <t>服饰穿搭</t>
        </is>
      </c>
      <c r="U416" t="inlineStr">
        <is>
          <t>女装</t>
        </is>
      </c>
      <c r="V416" s="3">
        <v>46128.98467592592</v>
      </c>
      <c r="W416" t="inlineStr">
        <is>
          <t>2026-Q2</t>
        </is>
      </c>
    </row>
    <row r="417" ht="25.5" customHeight="1">
      <c r="A417" t="inlineStr">
        <is>
          <t>复古日系高腰宽松显瘦春季莱赛尔棉九分休闲松弛感烟管裤</t>
        </is>
      </c>
      <c r="B417" t="inlineStr">
        <is>
          <t>__upload_recvgY7N5zHb31.jpg</t>
        </is>
      </c>
      <c r="C417" s="2" t="str">
        <f>=HYPERLINK("https://xhslink.com/m/8LgJep31Mlj", "https://xhslink.com/m/8LgJep31Mlj")</f>
        <v>https://xhslink.com/m/8LgJep31Mlj</v>
      </c>
      <c r="D417"/>
      <c r="E417">
        <v>5592</v>
      </c>
      <c r="F417">
        <v>118</v>
      </c>
      <c r="G417">
        <v>109</v>
      </c>
      <c r="H417">
        <v>700</v>
      </c>
      <c r="I417" t="inlineStr">
        <is>
          <t>裤子</t>
        </is>
      </c>
      <c r="J417" t="inlineStr">
        <is>
          <t>0.13</t>
        </is>
      </c>
      <c r="K417"/>
      <c r="L417" t="inlineStr">
        <is>
          <t>苏大椰穿搭的店</t>
        </is>
      </c>
      <c r="M417">
        <v>8194</v>
      </c>
      <c r="N417">
        <v>4.69</v>
      </c>
      <c r="O417">
        <v>120000</v>
      </c>
      <c r="P417" t="inlineStr">
        <is>
          <t>69aa4f60befcbd0001a7be89</t>
        </is>
      </c>
      <c r="Q417" t="inlineStr">
        <is>
          <t>🚫重复</t>
        </is>
      </c>
      <c r="R417" t="inlineStr">
        <is>
          <t>16周</t>
        </is>
      </c>
      <c r="S417" t="inlineStr">
        <is>
          <t>0.68</t>
        </is>
      </c>
      <c r="T417" t="inlineStr">
        <is>
          <t>服饰穿搭</t>
        </is>
      </c>
      <c r="U417" t="inlineStr">
        <is>
          <t>女装</t>
        </is>
      </c>
      <c r="V417" s="3">
        <v>46128.98467592592</v>
      </c>
      <c r="W417" t="inlineStr">
        <is>
          <t>2026-Q2</t>
        </is>
      </c>
    </row>
    <row r="418" ht="25.5" customHeight="1">
      <c r="A418" t="inlineStr">
        <is>
          <t>【顺丰包邮】正宗潮汕牛肉丸牛筋丸无添加手工制作汕头特产</t>
        </is>
      </c>
      <c r="B418" t="inlineStr">
        <is>
          <t>__upload_recvgY7N5zKfYj.jpg</t>
        </is>
      </c>
      <c r="C418" s="2" t="str">
        <f>=HYPERLINK("https://xhslink.com/m/2iFrSQOTTJh", "https://xhslink.com/m/2iFrSQOTTJh")</f>
        <v>https://xhslink.com/m/2iFrSQOTTJh</v>
      </c>
      <c r="D418"/>
      <c r="E418">
        <v>170000</v>
      </c>
      <c r="F418">
        <v>109</v>
      </c>
      <c r="G418">
        <v>69</v>
      </c>
      <c r="H418">
        <v>700</v>
      </c>
      <c r="I418" t="inlineStr">
        <is>
          <t>卤味肉干</t>
        </is>
      </c>
      <c r="J418" t="inlineStr">
        <is>
          <t>0.00</t>
        </is>
      </c>
      <c r="K418" t="inlineStr">
        <is>
          <t>🔥低粉爆款</t>
        </is>
      </c>
      <c r="L418" t="inlineStr">
        <is>
          <t>汕头档口牛肉丸的店</t>
        </is>
      </c>
      <c r="M418">
        <v>12000</v>
      </c>
      <c r="N418">
        <v>4.87</v>
      </c>
      <c r="O418">
        <v>170000</v>
      </c>
      <c r="P418" t="inlineStr">
        <is>
          <t>67bc4da4f2389c000199ec38</t>
        </is>
      </c>
      <c r="Q418" t="inlineStr">
        <is>
          <t>🚫重复</t>
        </is>
      </c>
      <c r="R418" t="inlineStr">
        <is>
          <t>16周</t>
        </is>
      </c>
      <c r="S418" t="inlineStr">
        <is>
          <t>14.17</t>
        </is>
      </c>
      <c r="T418" t="inlineStr">
        <is>
          <t>美食滋补</t>
        </is>
      </c>
      <c r="U418" t="inlineStr">
        <is>
          <t>生鲜特产</t>
        </is>
      </c>
      <c r="V418" s="3">
        <v>46128.98467592592</v>
      </c>
      <c r="W418" t="inlineStr">
        <is>
          <t>2026-Q2</t>
        </is>
      </c>
    </row>
    <row r="419" ht="25.5" customHeight="1">
      <c r="A419" t="inlineStr">
        <is>
          <t>【亏本冲量】羽衣甘蓝.全麦恰巴塔面包无油无蔗糖一箱早餐代餐</t>
        </is>
      </c>
      <c r="B419" t="inlineStr">
        <is>
          <t>__upload_recvgY7N5z7BGQ.jpg</t>
        </is>
      </c>
      <c r="C419" s="2" t="str">
        <f>=HYPERLINK("https://xhslink.com/m/2YcBMB1R0h5", "https://xhslink.com/m/2YcBMB1R0h5")</f>
        <v>https://xhslink.com/m/2YcBMB1R0h5</v>
      </c>
      <c r="D419"/>
      <c r="E419">
        <v>71000</v>
      </c>
      <c r="F419">
        <v>19.9</v>
      </c>
      <c r="G419">
        <v>9.9</v>
      </c>
      <c r="H419">
        <v>700</v>
      </c>
      <c r="I419" t="inlineStr">
        <is>
          <t>早餐面包</t>
        </is>
      </c>
      <c r="J419" t="inlineStr">
        <is>
          <t>0.01</t>
        </is>
      </c>
      <c r="K419" t="inlineStr">
        <is>
          <t>🔥低粉爆款</t>
        </is>
      </c>
      <c r="L419" t="inlineStr">
        <is>
          <t>食味小铺m的店</t>
        </is>
      </c>
      <c r="M419">
        <v>229</v>
      </c>
      <c r="N419">
        <v>4.5</v>
      </c>
      <c r="O419">
        <v>73000</v>
      </c>
      <c r="P419" t="inlineStr">
        <is>
          <t>66988017a3f69e000110d38a</t>
        </is>
      </c>
      <c r="Q419"/>
      <c r="R419" t="inlineStr">
        <is>
          <t>16周</t>
        </is>
      </c>
      <c r="S419" t="inlineStr">
        <is>
          <t>310.04</t>
        </is>
      </c>
      <c r="T419" t="inlineStr">
        <is>
          <t>美食滋补</t>
        </is>
      </c>
      <c r="U419" t="inlineStr">
        <is>
          <t>休闲零食</t>
        </is>
      </c>
      <c r="V419" s="3">
        <v>46128.98467592592</v>
      </c>
      <c r="W419" t="inlineStr">
        <is>
          <t>2026-Q2</t>
        </is>
      </c>
    </row>
    <row r="420" ht="25.5" customHeight="1">
      <c r="A420" t="inlineStr">
        <is>
          <t>【前5000亏本冲销量】水果造型果汁软糖苹果橘子葡萄柠檬混搭零食</t>
        </is>
      </c>
      <c r="B420" t="inlineStr">
        <is>
          <t>__upload_recvh40CU0C6di.jpg</t>
        </is>
      </c>
      <c r="C420" s="2" t="str">
        <f>=HYPERLINK("https://xhslink.com/m/iOVVKmsK64", "https://xhslink.com/m/iOVVKmsK64")</f>
        <v>https://xhslink.com/m/iOVVKmsK64</v>
      </c>
      <c r="D420"/>
      <c r="E420">
        <v>9628</v>
      </c>
      <c r="F420">
        <v>16.9</v>
      </c>
      <c r="G420">
        <v>5.9</v>
      </c>
      <c r="H420">
        <v>700</v>
      </c>
      <c r="I420" t="inlineStr">
        <is>
          <t>宿舍零食</t>
        </is>
      </c>
      <c r="J420" t="inlineStr">
        <is>
          <t>0.07</t>
        </is>
      </c>
      <c r="K420" t="inlineStr">
        <is>
          <t>🔥低粉爆款</t>
        </is>
      </c>
      <c r="L420" t="inlineStr">
        <is>
          <t>贪吃的迪迪的店</t>
        </is>
      </c>
      <c r="M420">
        <v>188</v>
      </c>
      <c r="N420">
        <v>4.47</v>
      </c>
      <c r="O420">
        <v>27000</v>
      </c>
      <c r="P420" t="inlineStr">
        <is>
          <t>69cf484a7dd4a10001eabdf4</t>
        </is>
      </c>
      <c r="Q420"/>
      <c r="R420" t="inlineStr">
        <is>
          <t>16周</t>
        </is>
      </c>
      <c r="S420" t="inlineStr">
        <is>
          <t>51.21</t>
        </is>
      </c>
      <c r="T420" t="inlineStr">
        <is>
          <t>美食滋补</t>
        </is>
      </c>
      <c r="U420" t="inlineStr">
        <is>
          <t>休闲零食</t>
        </is>
      </c>
      <c r="V420" s="3">
        <v>46129.991064814814</v>
      </c>
      <c r="W420" t="inlineStr">
        <is>
          <t>2026-Q2</t>
        </is>
      </c>
    </row>
    <row r="421" ht="25.5" customHeight="1">
      <c r="A421" t="inlineStr">
        <is>
          <t>【清甜不辣水果彩椒】大小都有红橙黄小甜椒产地现摘新鲜脆甜多汁</t>
        </is>
      </c>
      <c r="B421" t="inlineStr">
        <is>
          <t>__upload_recvh40CU0laIw.jpg</t>
        </is>
      </c>
      <c r="C421" s="2" t="str">
        <f>=HYPERLINK("https://xhslink.com/m/6s9UDL7muiN", "https://xhslink.com/m/6s9UDL7muiN")</f>
        <v>https://xhslink.com/m/6s9UDL7muiN</v>
      </c>
      <c r="D421"/>
      <c r="E421">
        <v>14000</v>
      </c>
      <c r="F421">
        <v>35.8</v>
      </c>
      <c r="G421">
        <v>24.8</v>
      </c>
      <c r="H421">
        <v>700</v>
      </c>
      <c r="I421" t="inlineStr">
        <is>
          <t>蔬菜</t>
        </is>
      </c>
      <c r="J421" t="inlineStr">
        <is>
          <t>0.05</t>
        </is>
      </c>
      <c r="K421" t="inlineStr">
        <is>
          <t>🔥低粉爆款</t>
        </is>
      </c>
      <c r="L421" t="inlineStr">
        <is>
          <t>甄星水果铺的店</t>
        </is>
      </c>
      <c r="M421">
        <v>78</v>
      </c>
      <c r="N421">
        <v>4.81</v>
      </c>
      <c r="O421">
        <v>14000</v>
      </c>
      <c r="P421" t="inlineStr">
        <is>
          <t>69c37ac37c9c8f0001a62187</t>
        </is>
      </c>
      <c r="Q421"/>
      <c r="R421" t="inlineStr">
        <is>
          <t>16周</t>
        </is>
      </c>
      <c r="S421" t="inlineStr">
        <is>
          <t>179.49</t>
        </is>
      </c>
      <c r="T421" t="inlineStr">
        <is>
          <t>美食滋补</t>
        </is>
      </c>
      <c r="U421" t="inlineStr">
        <is>
          <t>生鲜特产</t>
        </is>
      </c>
      <c r="V421" s="3">
        <v>46129.991064814814</v>
      </c>
      <c r="W421" t="inlineStr">
        <is>
          <t>2026-Q2</t>
        </is>
      </c>
    </row>
    <row r="422" ht="25.5" customHeight="1">
      <c r="A422" t="inlineStr">
        <is>
          <t>【U领背心】自制款巨巨巨好穿的固定杯打底背心 蚕丝蛋白极简显瘦</t>
        </is>
      </c>
      <c r="B422" t="inlineStr">
        <is>
          <t>__upload_recvh9P0bmSVv1.jpg</t>
        </is>
      </c>
      <c r="C422" s="2" t="str">
        <f>=HYPERLINK("https://xhslink.com/m/4abFXeuqsrN", "https://xhslink.com/m/4abFXeuqsrN")</f>
        <v>https://xhslink.com/m/4abFXeuqsrN</v>
      </c>
      <c r="D422"/>
      <c r="E422">
        <v>4484</v>
      </c>
      <c r="F422">
        <v>59</v>
      </c>
      <c r="G422">
        <v>49</v>
      </c>
      <c r="H422">
        <v>700</v>
      </c>
      <c r="I422" t="inlineStr">
        <is>
          <t>大码吊带</t>
        </is>
      </c>
      <c r="J422" t="inlineStr">
        <is>
          <t>0.16</t>
        </is>
      </c>
      <c r="K422"/>
      <c r="L422" t="inlineStr">
        <is>
          <t>田中小鸡Tanaka Hiyoko的店</t>
        </is>
      </c>
      <c r="M422">
        <v>92000</v>
      </c>
      <c r="N422">
        <v>4.67</v>
      </c>
      <c r="O422">
        <v>229000</v>
      </c>
      <c r="P422" t="inlineStr">
        <is>
          <t>69c15e8f11534f00014859e9</t>
        </is>
      </c>
      <c r="Q422" t="inlineStr">
        <is>
          <t>🚫重复</t>
        </is>
      </c>
      <c r="R422" t="inlineStr">
        <is>
          <t>16周</t>
        </is>
      </c>
      <c r="S422" t="inlineStr">
        <is>
          <t>0.05</t>
        </is>
      </c>
      <c r="T422" t="inlineStr">
        <is>
          <t>服饰穿搭</t>
        </is>
      </c>
      <c r="U422" t="inlineStr">
        <is>
          <t>女装</t>
        </is>
      </c>
      <c r="V422" s="3">
        <v>46130.98501157408</v>
      </c>
      <c r="W422" t="inlineStr">
        <is>
          <t>2026-Q2</t>
        </is>
      </c>
    </row>
    <row r="423" ht="25.5" customHeight="1">
      <c r="A423" t="inlineStr">
        <is>
          <t>lessgo · 笑脸鼻吸提神醒脑学生上课考研开车熬夜防瞌睡</t>
        </is>
      </c>
      <c r="B423" t="inlineStr">
        <is>
          <t>__upload_recvh9P0bmTvgX.jpg</t>
        </is>
      </c>
      <c r="C423" s="2" t="str">
        <f>=HYPERLINK("https://xhslink.com/m/88v1cqmCMH5", "https://xhslink.com/m/88v1cqmCMH5")</f>
        <v>https://xhslink.com/m/88v1cqmCMH5</v>
      </c>
      <c r="D423"/>
      <c r="E423">
        <v>59000</v>
      </c>
      <c r="F423">
        <v>4.9</v>
      </c>
      <c r="G423"/>
      <c r="H423">
        <v>700</v>
      </c>
      <c r="I423" t="inlineStr">
        <is>
          <t>身体护理</t>
        </is>
      </c>
      <c r="J423" t="inlineStr">
        <is>
          <t>0.01</t>
        </is>
      </c>
      <c r="K423" t="inlineStr">
        <is>
          <t>🔥低粉爆款</t>
        </is>
      </c>
      <c r="L423" t="inlineStr">
        <is>
          <t>lessgo利事多旗舰店</t>
        </is>
      </c>
      <c r="M423">
        <v>13000</v>
      </c>
      <c r="N423">
        <v>4.57</v>
      </c>
      <c r="O423">
        <v>188000</v>
      </c>
      <c r="P423" t="inlineStr">
        <is>
          <t>6723256137474a000193cbcb</t>
        </is>
      </c>
      <c r="Q423" t="inlineStr">
        <is>
          <t>🚫重复</t>
        </is>
      </c>
      <c r="R423" t="inlineStr">
        <is>
          <t>16周</t>
        </is>
      </c>
      <c r="S423" t="inlineStr">
        <is>
          <t>4.54</t>
        </is>
      </c>
      <c r="T423" t="inlineStr">
        <is>
          <t>美妆个护</t>
        </is>
      </c>
      <c r="U423" t="inlineStr">
        <is>
          <t>个人护理</t>
        </is>
      </c>
      <c r="V423" s="3">
        <v>46130.98501157408</v>
      </c>
      <c r="W423" t="inlineStr">
        <is>
          <t>2026-Q2</t>
        </is>
      </c>
    </row>
    <row r="424" ht="25.5" customHeight="1">
      <c r="A424" t="inlineStr">
        <is>
          <t>雅兰仕 · 【高颅顶神器】无线直发梳负离子护发造型梳卷直两用懒人电梳子</t>
        </is>
      </c>
      <c r="B424" t="inlineStr">
        <is>
          <t>__upload_recvh9P0bm2g2I.jpg</t>
        </is>
      </c>
      <c r="C424" s="2" t="str">
        <f>=HYPERLINK("https://xhslink.com/m/9DfLRBttifW", "https://xhslink.com/m/9DfLRBttifW")</f>
        <v>https://xhslink.com/m/9DfLRBttifW</v>
      </c>
      <c r="D424"/>
      <c r="E424">
        <v>50000</v>
      </c>
      <c r="F424">
        <v>89</v>
      </c>
      <c r="G424">
        <v>29.9</v>
      </c>
      <c r="H424">
        <v>700</v>
      </c>
      <c r="I424" t="inlineStr">
        <is>
          <t>美发</t>
        </is>
      </c>
      <c r="J424" t="inlineStr">
        <is>
          <t>0.01</t>
        </is>
      </c>
      <c r="K424" t="inlineStr">
        <is>
          <t>🔥低粉爆款</t>
        </is>
      </c>
      <c r="L424" t="inlineStr">
        <is>
          <t>雅兰仕美妆电器旗舰店</t>
        </is>
      </c>
      <c r="M424">
        <v>3535</v>
      </c>
      <c r="N424">
        <v>4.21</v>
      </c>
      <c r="O424">
        <v>104000</v>
      </c>
      <c r="P424" t="inlineStr">
        <is>
          <t>68e8b0f8ce94ee0001342f3a</t>
        </is>
      </c>
      <c r="Q424"/>
      <c r="R424" t="inlineStr">
        <is>
          <t>16周</t>
        </is>
      </c>
      <c r="S424" t="inlineStr">
        <is>
          <t>14.14</t>
        </is>
      </c>
      <c r="T424" t="inlineStr">
        <is>
          <t>美妆个护</t>
        </is>
      </c>
      <c r="U424" t="inlineStr">
        <is>
          <t>个人护理</t>
        </is>
      </c>
      <c r="V424" s="3">
        <v>46130.98501157408</v>
      </c>
      <c r="W424" t="inlineStr">
        <is>
          <t>2026-Q2</t>
        </is>
      </c>
    </row>
    <row r="425" ht="25.5" customHeight="1">
      <c r="A425" t="inlineStr">
        <is>
          <t>DKIK · 胶原霜凝胶改善毛孔法令纹医用重组III型人源化胶原蛋白修护凝胶</t>
        </is>
      </c>
      <c r="B425" t="inlineStr">
        <is>
          <t>__upload_recvh9P0bmcB33.jpg</t>
        </is>
      </c>
      <c r="C425" s="2" t="str">
        <f>=HYPERLINK("https://xhslink.com/m/81GrTuuGV0R", "https://xhslink.com/m/81GrTuuGV0R")</f>
        <v>https://xhslink.com/m/81GrTuuGV0R</v>
      </c>
      <c r="D425"/>
      <c r="E425">
        <v>26000</v>
      </c>
      <c r="F425">
        <v>356</v>
      </c>
      <c r="G425">
        <v>303</v>
      </c>
      <c r="H425">
        <v>700</v>
      </c>
      <c r="I425" t="inlineStr">
        <is>
          <t>美妆</t>
        </is>
      </c>
      <c r="J425" t="inlineStr">
        <is>
          <t>0.03</t>
        </is>
      </c>
      <c r="K425" t="inlineStr">
        <is>
          <t>🔥低粉爆款</t>
        </is>
      </c>
      <c r="L425" t="inlineStr">
        <is>
          <t>DKIK旗舰店</t>
        </is>
      </c>
      <c r="M425">
        <v>7343</v>
      </c>
      <c r="N425">
        <v>4.84</v>
      </c>
      <c r="O425">
        <v>44000</v>
      </c>
      <c r="P425" t="inlineStr">
        <is>
          <t>68c12fc065e3ac000125c117</t>
        </is>
      </c>
      <c r="Q425"/>
      <c r="R425" t="inlineStr">
        <is>
          <t>16周</t>
        </is>
      </c>
      <c r="S425" t="inlineStr">
        <is>
          <t>3.54</t>
        </is>
      </c>
      <c r="T425" t="inlineStr">
        <is>
          <t>美妆个护</t>
        </is>
      </c>
      <c r="U425" t="inlineStr">
        <is>
          <t>护肤彩妆</t>
        </is>
      </c>
      <c r="V425" s="3">
        <v>46130.98501157408</v>
      </c>
      <c r="W425" t="inlineStr">
        <is>
          <t>2026-Q2</t>
        </is>
      </c>
    </row>
    <row r="426" ht="25.5" customHeight="1">
      <c r="A426" t="inlineStr">
        <is>
          <t>【每天仅100单】私房纯手作系列碱水包 低卡饱腹早餐健身代餐</t>
        </is>
      </c>
      <c r="B426" t="inlineStr">
        <is>
          <t>__upload_recvh9P0bmN2Yv.jpg</t>
        </is>
      </c>
      <c r="C426" s="2" t="str">
        <f>=HYPERLINK("https://xhslink.com/m/6y0alKGD94P", "https://xhslink.com/m/6y0alKGD94P")</f>
        <v>https://xhslink.com/m/6y0alKGD94P</v>
      </c>
      <c r="D426"/>
      <c r="E426">
        <v>68000</v>
      </c>
      <c r="F426">
        <v>20.8</v>
      </c>
      <c r="G426">
        <v>9.9</v>
      </c>
      <c r="H426">
        <v>700</v>
      </c>
      <c r="I426" t="inlineStr">
        <is>
          <t>低热量零食</t>
        </is>
      </c>
      <c r="J426" t="inlineStr">
        <is>
          <t>0.01</t>
        </is>
      </c>
      <c r="K426" t="inlineStr">
        <is>
          <t>🔥低粉爆款</t>
        </is>
      </c>
      <c r="L426" t="inlineStr">
        <is>
          <t>福满多手作面包的店</t>
        </is>
      </c>
      <c r="M426">
        <v>7182</v>
      </c>
      <c r="N426">
        <v>4.34</v>
      </c>
      <c r="O426">
        <v>90000</v>
      </c>
      <c r="P426" t="inlineStr">
        <is>
          <t>69476894f17edd0001c2a9e6</t>
        </is>
      </c>
      <c r="Q426" t="inlineStr">
        <is>
          <t>🚫重复</t>
        </is>
      </c>
      <c r="R426" t="inlineStr">
        <is>
          <t>16周</t>
        </is>
      </c>
      <c r="S426" t="inlineStr">
        <is>
          <t>9.47</t>
        </is>
      </c>
      <c r="T426" t="inlineStr">
        <is>
          <t>美食滋补</t>
        </is>
      </c>
      <c r="U426" t="inlineStr">
        <is>
          <t>休闲零食</t>
        </is>
      </c>
      <c r="V426" s="3">
        <v>46130.98501157408</v>
      </c>
      <c r="W426" t="inlineStr">
        <is>
          <t>2026-Q2</t>
        </is>
      </c>
    </row>
    <row r="427" ht="25.5" customHeight="1">
      <c r="A427" t="inlineStr">
        <is>
          <t>六种鲜蒸即食低卡减脂粗粮组合每日杂粮代餐零添加速食早餐饱腹</t>
        </is>
      </c>
      <c r="B427" t="inlineStr">
        <is>
          <t>__upload_recvh9P0bm8E8r.jpg</t>
        </is>
      </c>
      <c r="C427" s="2" t="str">
        <f>=HYPERLINK("https://xhslink.com/m/8kQT3lkDvTu", "https://xhslink.com/m/8kQT3lkDvTu")</f>
        <v>https://xhslink.com/m/8kQT3lkDvTu</v>
      </c>
      <c r="D427"/>
      <c r="E427">
        <v>8663</v>
      </c>
      <c r="F427">
        <v>21.9</v>
      </c>
      <c r="G427">
        <v>12.9</v>
      </c>
      <c r="H427">
        <v>700</v>
      </c>
      <c r="I427" t="inlineStr">
        <is>
          <t>低热量零食</t>
        </is>
      </c>
      <c r="J427" t="inlineStr">
        <is>
          <t>0.08</t>
        </is>
      </c>
      <c r="K427" t="inlineStr">
        <is>
          <t>🔥低粉爆款</t>
        </is>
      </c>
      <c r="L427" t="inlineStr">
        <is>
          <t>木禾食光的店</t>
        </is>
      </c>
      <c r="M427">
        <v>561</v>
      </c>
      <c r="N427">
        <v>4.57</v>
      </c>
      <c r="O427">
        <v>9442</v>
      </c>
      <c r="P427" t="inlineStr">
        <is>
          <t>69b910c4ec6664000168cb24</t>
        </is>
      </c>
      <c r="Q427" t="inlineStr">
        <is>
          <t>🚫重复</t>
        </is>
      </c>
      <c r="R427" t="inlineStr">
        <is>
          <t>16周</t>
        </is>
      </c>
      <c r="S427" t="inlineStr">
        <is>
          <t>15.44</t>
        </is>
      </c>
      <c r="T427" t="inlineStr">
        <is>
          <t>美食滋补</t>
        </is>
      </c>
      <c r="U427" t="inlineStr">
        <is>
          <t>休闲零食</t>
        </is>
      </c>
      <c r="V427" s="3">
        <v>46130.98501157408</v>
      </c>
      <c r="W427" t="inlineStr">
        <is>
          <t>2026-Q2</t>
        </is>
      </c>
    </row>
    <row r="428" ht="25.5" customHeight="1">
      <c r="A428" t="inlineStr">
        <is>
          <t>2026年新现烤不加盐原味大腰果仁</t>
        </is>
      </c>
      <c r="B428" t="inlineStr">
        <is>
          <t>__upload_recvh9P0bmtSn6.jpg</t>
        </is>
      </c>
      <c r="C428" s="2" t="str">
        <f>=HYPERLINK("https://xhslink.com/m/5zofp65V76e", "https://xhslink.com/m/5zofp65V76e")</f>
        <v>https://xhslink.com/m/5zofp65V76e</v>
      </c>
      <c r="D428"/>
      <c r="E428">
        <v>172000</v>
      </c>
      <c r="F428">
        <v>50</v>
      </c>
      <c r="G428">
        <v>42.9</v>
      </c>
      <c r="H428">
        <v>700</v>
      </c>
      <c r="I428" t="inlineStr">
        <is>
          <t>低热量零食</t>
        </is>
      </c>
      <c r="J428" t="inlineStr">
        <is>
          <t>0.00</t>
        </is>
      </c>
      <c r="K428" t="inlineStr">
        <is>
          <t>🔥低粉爆款</t>
        </is>
      </c>
      <c r="L428" t="inlineStr">
        <is>
          <t>韩要强现烤坚果的店</t>
        </is>
      </c>
      <c r="M428">
        <v>49000</v>
      </c>
      <c r="N428">
        <v>4.72</v>
      </c>
      <c r="O428">
        <v>669000</v>
      </c>
      <c r="P428" t="inlineStr">
        <is>
          <t>66ebd9cc4679060001b1a657</t>
        </is>
      </c>
      <c r="Q428" t="inlineStr">
        <is>
          <t>🚫重复</t>
        </is>
      </c>
      <c r="R428" t="inlineStr">
        <is>
          <t>16周</t>
        </is>
      </c>
      <c r="S428" t="inlineStr">
        <is>
          <t>3.51</t>
        </is>
      </c>
      <c r="T428" t="inlineStr">
        <is>
          <t>美食滋补</t>
        </is>
      </c>
      <c r="U428" t="inlineStr">
        <is>
          <t>休闲零食</t>
        </is>
      </c>
      <c r="V428" s="3">
        <v>46130.98501157408</v>
      </c>
      <c r="W428" t="inlineStr">
        <is>
          <t>2026-Q2</t>
        </is>
      </c>
    </row>
    <row r="429" ht="25.5" customHeight="1">
      <c r="A429" t="inlineStr">
        <is>
          <t>GLYNNA · 升级版高碳钻网球手链高级感圆钻满钻手饰送闺蜜女朋友生日礼物</t>
        </is>
      </c>
      <c r="B429" t="inlineStr">
        <is>
          <t>__upload_recvhfQmhqa1ie.jpg</t>
        </is>
      </c>
      <c r="C429" s="2" t="str">
        <f>=HYPERLINK("https://xhslink.com/m/80NjkP5yomh", "https://xhslink.com/m/80NjkP5yomh")</f>
        <v>https://xhslink.com/m/80NjkP5yomh</v>
      </c>
      <c r="D429"/>
      <c r="E429">
        <v>37000</v>
      </c>
      <c r="F429">
        <v>238</v>
      </c>
      <c r="G429">
        <v>198</v>
      </c>
      <c r="H429">
        <v>700</v>
      </c>
      <c r="I429" t="inlineStr">
        <is>
          <t>配饰</t>
        </is>
      </c>
      <c r="J429" t="inlineStr">
        <is>
          <t>0.02</t>
        </is>
      </c>
      <c r="K429"/>
      <c r="L429" t="inlineStr">
        <is>
          <t>GLYNNA格林娜旗舰店</t>
        </is>
      </c>
      <c r="M429">
        <v>13000</v>
      </c>
      <c r="N429">
        <v>4.61</v>
      </c>
      <c r="O429">
        <v>69000</v>
      </c>
      <c r="P429" t="inlineStr">
        <is>
          <t>6958e98996a9fa000150205f</t>
        </is>
      </c>
      <c r="Q429" t="inlineStr">
        <is>
          <t>🚫重复</t>
        </is>
      </c>
      <c r="R429" t="inlineStr">
        <is>
          <t>17周</t>
        </is>
      </c>
      <c r="S429" t="inlineStr">
        <is>
          <t>2.85</t>
        </is>
      </c>
      <c r="T429" t="inlineStr">
        <is>
          <t>服饰穿搭</t>
        </is>
      </c>
      <c r="U429" t="inlineStr">
        <is>
          <t>配饰</t>
        </is>
      </c>
      <c r="V429" s="3">
        <v>46132.014918981484</v>
      </c>
      <c r="W429" t="inlineStr">
        <is>
          <t>2026-Q2</t>
        </is>
      </c>
    </row>
    <row r="430" ht="25.5" customHeight="1">
      <c r="A430" t="inlineStr">
        <is>
          <t>【有口袋】半身裙女高腰a字裙文艺复古百搭伞裙女</t>
        </is>
      </c>
      <c r="B430" t="inlineStr">
        <is>
          <t>__upload_recvhfQmhqNrRY.jpg</t>
        </is>
      </c>
      <c r="C430" s="2" t="str">
        <f>=HYPERLINK("https://xhslink.com/m/9C5rskvfPex", "https://xhslink.com/m/9C5rskvfPex")</f>
        <v>https://xhslink.com/m/9C5rskvfPex</v>
      </c>
      <c r="D430"/>
      <c r="E430">
        <v>87000</v>
      </c>
      <c r="F430">
        <v>69.9</v>
      </c>
      <c r="G430"/>
      <c r="H430">
        <v>700</v>
      </c>
      <c r="I430" t="inlineStr">
        <is>
          <t>半身裙</t>
        </is>
      </c>
      <c r="J430" t="inlineStr">
        <is>
          <t>0.01</t>
        </is>
      </c>
      <c r="K430"/>
      <c r="L430" t="inlineStr">
        <is>
          <t>KK穿搭分享~的店</t>
        </is>
      </c>
      <c r="M430">
        <v>598000</v>
      </c>
      <c r="N430">
        <v>4.59</v>
      </c>
      <c r="O430">
        <v>3123000</v>
      </c>
      <c r="P430" t="inlineStr">
        <is>
          <t>69b1060f10392d00014dc714</t>
        </is>
      </c>
      <c r="Q430" t="inlineStr">
        <is>
          <t>🚫重复</t>
        </is>
      </c>
      <c r="R430" t="inlineStr">
        <is>
          <t>17周</t>
        </is>
      </c>
      <c r="S430" t="inlineStr">
        <is>
          <t>0.15</t>
        </is>
      </c>
      <c r="T430" t="inlineStr">
        <is>
          <t>服饰穿搭</t>
        </is>
      </c>
      <c r="U430" t="inlineStr">
        <is>
          <t>女装</t>
        </is>
      </c>
      <c r="V430" s="3">
        <v>46132.014918981484</v>
      </c>
      <c r="W430" t="inlineStr">
        <is>
          <t>2026-Q2</t>
        </is>
      </c>
    </row>
    <row r="431" ht="25.5" customHeight="1">
      <c r="A431" t="inlineStr">
        <is>
          <t>GLYNNA · 升级版高碳钻网球手链高级感圆钻满钻手饰送闺蜜女朋友生日礼物</t>
        </is>
      </c>
      <c r="B431" t="inlineStr">
        <is>
          <t>__upload_recvhfQmhq7gbM.jpg</t>
        </is>
      </c>
      <c r="C431" s="2" t="str">
        <f>=HYPERLINK("https://xhslink.com/m/sbgfFs2I2g", "https://xhslink.com/m/sbgfFs2I2g")</f>
        <v>https://xhslink.com/m/sbgfFs2I2g</v>
      </c>
      <c r="D431"/>
      <c r="E431">
        <v>37000</v>
      </c>
      <c r="F431">
        <v>198</v>
      </c>
      <c r="G431">
        <v>158</v>
      </c>
      <c r="H431">
        <v>700</v>
      </c>
      <c r="I431" t="inlineStr">
        <is>
          <t>手链项链</t>
        </is>
      </c>
      <c r="J431" t="inlineStr">
        <is>
          <t>0.02</t>
        </is>
      </c>
      <c r="K431"/>
      <c r="L431" t="inlineStr">
        <is>
          <t>GLYNNA格林娜旗舰店</t>
        </is>
      </c>
      <c r="M431">
        <v>13000</v>
      </c>
      <c r="N431">
        <v>4.61</v>
      </c>
      <c r="O431">
        <v>69000</v>
      </c>
      <c r="P431" t="inlineStr">
        <is>
          <t>68fa5f49e0f3b20001d8c2c8</t>
        </is>
      </c>
      <c r="Q431" t="inlineStr">
        <is>
          <t>🚫重复</t>
        </is>
      </c>
      <c r="R431" t="inlineStr">
        <is>
          <t>17周</t>
        </is>
      </c>
      <c r="S431" t="inlineStr">
        <is>
          <t>2.85</t>
        </is>
      </c>
      <c r="T431" t="inlineStr">
        <is>
          <t>服饰穿搭</t>
        </is>
      </c>
      <c r="U431" t="inlineStr">
        <is>
          <t>配饰</t>
        </is>
      </c>
      <c r="V431" s="3">
        <v>46132.014918981484</v>
      </c>
      <c r="W431" t="inlineStr">
        <is>
          <t>2026-Q2</t>
        </is>
      </c>
    </row>
    <row r="432" ht="25.5" customHeight="1">
      <c r="A432" t="inlineStr">
        <is>
          <t>倾曼雅 · 美式低腰包臀短裤女ins风基础款显瘦弹力外穿热裤运动骑行裤</t>
        </is>
      </c>
      <c r="B432" t="inlineStr">
        <is>
          <t>recvcB48ez301P.jpg</t>
        </is>
      </c>
      <c r="C432" s="2" t="str">
        <f>=HYPERLINK("https://xhslink.com/m/3WDJcbQCnvO", "https://xhslink.com/m/3WDJcbQCnvO")</f>
        <v>https://xhslink.com/m/3WDJcbQCnvO</v>
      </c>
      <c r="D432"/>
      <c r="E432">
        <v>33000</v>
      </c>
      <c r="F432">
        <v>49</v>
      </c>
      <c r="G432"/>
      <c r="H432">
        <v>600</v>
      </c>
      <c r="I432" t="inlineStr">
        <is>
          <t>短裤</t>
        </is>
      </c>
      <c r="J432" t="inlineStr">
        <is>
          <t>0.02</t>
        </is>
      </c>
      <c r="K432"/>
      <c r="L432" t="inlineStr">
        <is>
          <t>小鹅学姐穿搭的店的店</t>
        </is>
      </c>
      <c r="M432">
        <v>229000</v>
      </c>
      <c r="N432">
        <v>4.39</v>
      </c>
      <c r="O432">
        <v>1448000</v>
      </c>
      <c r="P432" t="inlineStr">
        <is>
          <t>685a1a9962138500012d276d</t>
        </is>
      </c>
      <c r="Q432" t="inlineStr">
        <is>
          <t>🚫重复</t>
        </is>
      </c>
      <c r="R432" t="inlineStr">
        <is>
          <t>14周</t>
        </is>
      </c>
      <c r="S432" t="inlineStr">
        <is>
          <t>0.14</t>
        </is>
      </c>
      <c r="T432" t="inlineStr">
        <is>
          <t>服饰穿搭</t>
        </is>
      </c>
      <c r="U432" t="inlineStr">
        <is>
          <t>女装</t>
        </is>
      </c>
      <c r="V432" s="3">
        <v>46112.78107638889</v>
      </c>
      <c r="W432" t="inlineStr">
        <is>
          <t>2026-Q1</t>
        </is>
      </c>
    </row>
    <row r="433" ht="25.5" customHeight="1">
      <c r="A433" t="inlineStr">
        <is>
          <t>『正确2.0』定染蓬松毛领显贵显瘦外套</t>
        </is>
      </c>
      <c r="B433" t="inlineStr">
        <is>
          <t>recvcB48ezxDcN.jpg</t>
        </is>
      </c>
      <c r="C433" s="2" t="str">
        <f>=HYPERLINK("https://xhslink.com/m/1a0SiVirfgt", "https://xhslink.com/m/1a0SiVirfgt")</f>
        <v>https://xhslink.com/m/1a0SiVirfgt</v>
      </c>
      <c r="D433"/>
      <c r="E433">
        <v>64000</v>
      </c>
      <c r="F433">
        <v>178</v>
      </c>
      <c r="G433"/>
      <c r="H433">
        <v>600</v>
      </c>
      <c r="I433" t="inlineStr">
        <is>
          <t>外套</t>
        </is>
      </c>
      <c r="J433" t="inlineStr">
        <is>
          <t>0.01</t>
        </is>
      </c>
      <c r="K433"/>
      <c r="L433" t="inlineStr">
        <is>
          <t>花姐做工厂的店</t>
        </is>
      </c>
      <c r="M433">
        <v>27000</v>
      </c>
      <c r="N433">
        <v>4.57</v>
      </c>
      <c r="O433">
        <v>239000</v>
      </c>
      <c r="P433" t="inlineStr">
        <is>
          <t>6923f33a4a1766000169e992</t>
        </is>
      </c>
      <c r="Q433" t="inlineStr">
        <is>
          <t>🚫重复</t>
        </is>
      </c>
      <c r="R433" t="inlineStr">
        <is>
          <t>14周</t>
        </is>
      </c>
      <c r="S433" t="inlineStr">
        <is>
          <t>2.37</t>
        </is>
      </c>
      <c r="T433" t="inlineStr">
        <is>
          <t>服饰穿搭</t>
        </is>
      </c>
      <c r="U433" t="inlineStr">
        <is>
          <t>女装</t>
        </is>
      </c>
      <c r="V433" s="3">
        <v>46112.78107638889</v>
      </c>
      <c r="W433" t="inlineStr">
        <is>
          <t>2026-Q1</t>
        </is>
      </c>
    </row>
    <row r="434" ht="25.5" customHeight="1">
      <c r="A434" t="inlineStr">
        <is>
          <t>札萨 · 【一根猪】超干猪肉条盒子有油不售后!保质期已改90天s</t>
        </is>
      </c>
      <c r="B434" t="inlineStr">
        <is>
          <t>recvcMzZj8F4fI.jpg</t>
        </is>
      </c>
      <c r="C434" s="2" t="str">
        <f>=HYPERLINK("https://xhslink.com/m/1okfbiX7zhE", "https://xhslink.com/m/1okfbiX7zhE")</f>
        <v>https://xhslink.com/m/1okfbiX7zhE</v>
      </c>
      <c r="D434"/>
      <c r="E434">
        <v>228000</v>
      </c>
      <c r="F434">
        <v>43.9</v>
      </c>
      <c r="G434"/>
      <c r="H434">
        <v>600</v>
      </c>
      <c r="I434" t="inlineStr">
        <is>
          <t>辣零食</t>
        </is>
      </c>
      <c r="J434" t="inlineStr">
        <is>
          <t>0.00</t>
        </is>
      </c>
      <c r="K434"/>
      <c r="L434" t="inlineStr">
        <is>
          <t>札萨旗舰店</t>
        </is>
      </c>
      <c r="M434">
        <v>117000</v>
      </c>
      <c r="N434">
        <v>4.62</v>
      </c>
      <c r="O434">
        <v>1253000</v>
      </c>
      <c r="P434" t="inlineStr">
        <is>
          <t>69293d9b14b5260001914c70</t>
        </is>
      </c>
      <c r="Q434" t="inlineStr">
        <is>
          <t>🚫重复</t>
        </is>
      </c>
      <c r="R434" t="inlineStr">
        <is>
          <t>14周</t>
        </is>
      </c>
      <c r="S434" t="inlineStr">
        <is>
          <t>1.95</t>
        </is>
      </c>
      <c r="T434" t="inlineStr">
        <is>
          <t>美食滋补</t>
        </is>
      </c>
      <c r="U434" t="inlineStr">
        <is>
          <t>休闲零食</t>
        </is>
      </c>
      <c r="V434" s="3">
        <v>46112.78107638889</v>
      </c>
      <c r="W434" t="inlineStr">
        <is>
          <t>2026-Q1</t>
        </is>
      </c>
    </row>
    <row r="435" ht="25.5" customHeight="1">
      <c r="A435" t="inlineStr">
        <is>
          <t>伊诗露 · 贵妇肤感！倍护清润防晒霜30ml</t>
        </is>
      </c>
      <c r="B435" t="inlineStr">
        <is>
          <t>recvdRkif4XAyV.jpg</t>
        </is>
      </c>
      <c r="C435" s="2" t="str">
        <f>=HYPERLINK("https://xhslink.com/m/89pxjIc4b4s", "https://xhslink.com/m/89pxjIc4b4s")</f>
        <v>https://xhslink.com/m/89pxjIc4b4s</v>
      </c>
      <c r="D435"/>
      <c r="E435">
        <v>4308</v>
      </c>
      <c r="F435">
        <v>20.9</v>
      </c>
      <c r="G435">
        <v>9.9</v>
      </c>
      <c r="H435">
        <v>600</v>
      </c>
      <c r="I435" t="inlineStr">
        <is>
          <t>防晒</t>
        </is>
      </c>
      <c r="J435" t="inlineStr">
        <is>
          <t>0.14</t>
        </is>
      </c>
      <c r="K435"/>
      <c r="L435" t="inlineStr">
        <is>
          <t>希恩（清仓捡漏版）No.2店的店</t>
        </is>
      </c>
      <c r="M435">
        <v>13000</v>
      </c>
      <c r="N435">
        <v>4.56</v>
      </c>
      <c r="O435">
        <v>126000</v>
      </c>
      <c r="P435" t="inlineStr">
        <is>
          <t>69313df4e30b9400158e8691</t>
        </is>
      </c>
      <c r="Q435"/>
      <c r="R435" t="inlineStr">
        <is>
          <t>14周</t>
        </is>
      </c>
      <c r="S435" t="inlineStr">
        <is>
          <t>0.33</t>
        </is>
      </c>
      <c r="T435" t="inlineStr">
        <is>
          <t>美妆个护</t>
        </is>
      </c>
      <c r="U435" t="inlineStr">
        <is>
          <t>护肤彩妆</t>
        </is>
      </c>
      <c r="V435" s="3">
        <v>46112.78107638889</v>
      </c>
      <c r="W435" t="inlineStr">
        <is>
          <t>2026-Q1</t>
        </is>
      </c>
    </row>
    <row r="436" ht="25.5" customHeight="1">
      <c r="A436" t="inlineStr">
        <is>
          <t>奋斗芭 · 【京东送货上门】红心草莓软芭乐水果软心芭乐冰淇淋红心芭乐软糯</t>
        </is>
      </c>
      <c r="B436" t="inlineStr">
        <is>
          <t>recvdUhmdachfi.jpg</t>
        </is>
      </c>
      <c r="C436" s="2" t="str">
        <f>=HYPERLINK("https://xhslink.com/m/AZreqa97qpp", "https://xhslink.com/m/AZreqa97qpp")</f>
        <v>https://xhslink.com/m/AZreqa97qpp</v>
      </c>
      <c r="D436"/>
      <c r="E436">
        <v>830000</v>
      </c>
      <c r="F436">
        <v>39.8</v>
      </c>
      <c r="G436">
        <v>29.8</v>
      </c>
      <c r="H436">
        <v>600</v>
      </c>
      <c r="I436" t="inlineStr">
        <is>
          <t>夏季水果</t>
        </is>
      </c>
      <c r="J436" t="inlineStr">
        <is>
          <t>0.00</t>
        </is>
      </c>
      <c r="K436" t="inlineStr">
        <is>
          <t>🔥低粉爆款</t>
        </is>
      </c>
      <c r="L436" t="inlineStr">
        <is>
          <t>阿花家旗舰店</t>
        </is>
      </c>
      <c r="M436">
        <v>3821</v>
      </c>
      <c r="N436">
        <v>4.59</v>
      </c>
      <c r="O436">
        <v>414000</v>
      </c>
      <c r="P436" t="inlineStr">
        <is>
          <t>68f631b77d3b3f000155c697</t>
        </is>
      </c>
      <c r="Q436"/>
      <c r="R436" t="inlineStr">
        <is>
          <t>14周</t>
        </is>
      </c>
      <c r="S436" t="inlineStr">
        <is>
          <t>217.22</t>
        </is>
      </c>
      <c r="T436" t="inlineStr">
        <is>
          <t>美食滋补</t>
        </is>
      </c>
      <c r="U436" t="inlineStr">
        <is>
          <t>生鲜特产</t>
        </is>
      </c>
      <c r="V436" s="3">
        <v>46112.78107638889</v>
      </c>
      <c r="W436" t="inlineStr">
        <is>
          <t>2026-Q1</t>
        </is>
      </c>
    </row>
    <row r="437" ht="25.5" customHeight="1">
      <c r="A437" t="inlineStr">
        <is>
          <t>精品广西圣女果小番茄新鲜小番茄应季新鲜采摘孕妇水果</t>
        </is>
      </c>
      <c r="B437" t="inlineStr">
        <is>
          <t>recvdUhmdasejj.jpg</t>
        </is>
      </c>
      <c r="C437" s="2" t="str">
        <f>=HYPERLINK("https://xhslink.com/m/xbToVPVFuu", "https://xhslink.com/m/xbToVPVFuu")</f>
        <v>https://xhslink.com/m/xbToVPVFuu</v>
      </c>
      <c r="D437"/>
      <c r="E437">
        <v>6079</v>
      </c>
      <c r="F437">
        <v>22.6</v>
      </c>
      <c r="G437">
        <v>8.6</v>
      </c>
      <c r="H437">
        <v>600</v>
      </c>
      <c r="I437" t="inlineStr">
        <is>
          <t>夏季水果</t>
        </is>
      </c>
      <c r="J437" t="inlineStr">
        <is>
          <t>0.10</t>
        </is>
      </c>
      <c r="K437" t="inlineStr">
        <is>
          <t>🔥低粉爆款</t>
        </is>
      </c>
      <c r="L437" t="inlineStr">
        <is>
          <t>新鲜水果铺的店</t>
        </is>
      </c>
      <c r="M437">
        <v>443</v>
      </c>
      <c r="N437">
        <v>4.53</v>
      </c>
      <c r="O437">
        <v>17000</v>
      </c>
      <c r="P437" t="inlineStr">
        <is>
          <t>69a0290036330e0001c7fa49</t>
        </is>
      </c>
      <c r="Q437" t="inlineStr">
        <is>
          <t>🚫重复</t>
        </is>
      </c>
      <c r="R437" t="inlineStr">
        <is>
          <t>14周</t>
        </is>
      </c>
      <c r="S437" t="inlineStr">
        <is>
          <t>13.72</t>
        </is>
      </c>
      <c r="T437" t="inlineStr">
        <is>
          <t>美食滋补</t>
        </is>
      </c>
      <c r="U437" t="inlineStr">
        <is>
          <t>生鲜特产</t>
        </is>
      </c>
      <c r="V437" s="3">
        <v>46112.78107638889</v>
      </c>
      <c r="W437" t="inlineStr">
        <is>
          <t>2026-Q1</t>
        </is>
      </c>
    </row>
    <row r="438" ht="25.5" customHeight="1">
      <c r="A438" t="inlineStr">
        <is>
          <t>【现掰直发】非转基因水果玉米 · 云南金银双色甜棒子甜脆玉米</t>
        </is>
      </c>
      <c r="B438" t="inlineStr">
        <is>
          <t>recvdUhmdavZEu.jpg</t>
        </is>
      </c>
      <c r="C438" s="2" t="str">
        <f>=HYPERLINK("https://xhslink.com/m/7htdEgGHe2t", "https://xhslink.com/m/7htdEgGHe2t")</f>
        <v>https://xhslink.com/m/7htdEgGHe2t</v>
      </c>
      <c r="D438"/>
      <c r="E438">
        <v>206000</v>
      </c>
      <c r="F438">
        <v>39.9</v>
      </c>
      <c r="G438">
        <v>25.88</v>
      </c>
      <c r="H438">
        <v>600</v>
      </c>
      <c r="I438" t="inlineStr">
        <is>
          <t>夏季水果</t>
        </is>
      </c>
      <c r="J438" t="inlineStr">
        <is>
          <t>0.00</t>
        </is>
      </c>
      <c r="K438" t="inlineStr">
        <is>
          <t>🔥低粉爆款</t>
        </is>
      </c>
      <c r="L438" t="inlineStr">
        <is>
          <t>村花长大咯的店</t>
        </is>
      </c>
      <c r="M438">
        <v>4873</v>
      </c>
      <c r="N438">
        <v>4.65</v>
      </c>
      <c r="O438">
        <v>217000</v>
      </c>
      <c r="P438" t="inlineStr">
        <is>
          <t>680c7122ff8f6a001528a67d</t>
        </is>
      </c>
      <c r="Q438"/>
      <c r="R438" t="inlineStr">
        <is>
          <t>14周</t>
        </is>
      </c>
      <c r="S438" t="inlineStr">
        <is>
          <t>42.27</t>
        </is>
      </c>
      <c r="T438" t="inlineStr">
        <is>
          <t>美食滋补</t>
        </is>
      </c>
      <c r="U438" t="inlineStr">
        <is>
          <t>生鲜特产</t>
        </is>
      </c>
      <c r="V438" s="3">
        <v>46112.78107638889</v>
      </c>
      <c r="W438" t="inlineStr">
        <is>
          <t>2026-Q1</t>
        </is>
      </c>
    </row>
    <row r="439" ht="25.5" customHeight="1">
      <c r="A439" t="inlineStr">
        <is>
          <t>红心木瓜新鲜水果整箱当季应季孕妇包邮自然成熟现摘冰糖心</t>
        </is>
      </c>
      <c r="B439" t="inlineStr">
        <is>
          <t>recvdUhmdaF46X.jpg</t>
        </is>
      </c>
      <c r="C439" s="2" t="str">
        <f>=HYPERLINK("https://xhslink.com/m/3MUDMvENp1x", "https://xhslink.com/m/3MUDMvENp1x")</f>
        <v>https://xhslink.com/m/3MUDMvENp1x</v>
      </c>
      <c r="D439"/>
      <c r="E439">
        <v>3076</v>
      </c>
      <c r="F439">
        <v>57.8</v>
      </c>
      <c r="G439">
        <v>31.8</v>
      </c>
      <c r="H439">
        <v>600</v>
      </c>
      <c r="I439" t="inlineStr">
        <is>
          <t>夏季水果</t>
        </is>
      </c>
      <c r="J439" t="inlineStr">
        <is>
          <t>0.20</t>
        </is>
      </c>
      <c r="K439" t="inlineStr">
        <is>
          <t>🔥低粉爆款</t>
        </is>
      </c>
      <c r="L439" t="inlineStr">
        <is>
          <t>桔桔果农的店</t>
        </is>
      </c>
      <c r="M439">
        <v>62</v>
      </c>
      <c r="N439">
        <v>4.68</v>
      </c>
      <c r="O439">
        <v>4056</v>
      </c>
      <c r="P439" t="inlineStr">
        <is>
          <t>699d5e9a87daa0000148d064</t>
        </is>
      </c>
      <c r="Q439"/>
      <c r="R439" t="inlineStr">
        <is>
          <t>14周</t>
        </is>
      </c>
      <c r="S439" t="inlineStr">
        <is>
          <t>49.61</t>
        </is>
      </c>
      <c r="T439" t="inlineStr">
        <is>
          <t>美食滋补</t>
        </is>
      </c>
      <c r="U439" t="inlineStr">
        <is>
          <t>生鲜特产</t>
        </is>
      </c>
      <c r="V439" s="3">
        <v>46112.78107638889</v>
      </c>
      <c r="W439" t="inlineStr">
        <is>
          <t>2026-Q1</t>
        </is>
      </c>
    </row>
    <row r="440" ht="25.5" customHeight="1">
      <c r="A440" t="inlineStr">
        <is>
          <t>她奢 · 高端线 定制版 100亚麻！14支 环保染色亚麻长袖衬衫小衫</t>
        </is>
      </c>
      <c r="B440" t="inlineStr">
        <is>
          <t>recvdWIhrw7XoI.jpg</t>
        </is>
      </c>
      <c r="C440" s="2" t="str">
        <f>=HYPERLINK("https://xhslink.com/m/3oqtArpLI2c", "https://xhslink.com/m/3oqtArpLI2c")</f>
        <v>https://xhslink.com/m/3oqtArpLI2c</v>
      </c>
      <c r="D440"/>
      <c r="E440">
        <v>633</v>
      </c>
      <c r="F440">
        <v>180</v>
      </c>
      <c r="G440">
        <v>158</v>
      </c>
      <c r="H440">
        <v>600</v>
      </c>
      <c r="I440" t="inlineStr">
        <is>
          <t>衬衫</t>
        </is>
      </c>
      <c r="J440" t="inlineStr">
        <is>
          <t>0.95</t>
        </is>
      </c>
      <c r="K440"/>
      <c r="L440" t="inlineStr">
        <is>
          <t>TASHE 她奢的店</t>
        </is>
      </c>
      <c r="M440">
        <v>527000</v>
      </c>
      <c r="N440">
        <v>4.54</v>
      </c>
      <c r="O440">
        <v>4297000</v>
      </c>
      <c r="P440" t="inlineStr">
        <is>
          <t>69af8c8ab113e40015377413</t>
        </is>
      </c>
      <c r="Q440"/>
      <c r="R440" t="inlineStr">
        <is>
          <t>14周</t>
        </is>
      </c>
      <c r="S440" t="inlineStr">
        <is>
          <t>0.00</t>
        </is>
      </c>
      <c r="T440" t="inlineStr">
        <is>
          <t>服饰穿搭</t>
        </is>
      </c>
      <c r="U440" t="inlineStr">
        <is>
          <t>女装</t>
        </is>
      </c>
      <c r="V440" s="3">
        <v>46112.78107638889</v>
      </c>
      <c r="W440" t="inlineStr">
        <is>
          <t>2026-Q1</t>
        </is>
      </c>
    </row>
    <row r="441" ht="25.5" customHeight="1">
      <c r="A441" t="inlineStr">
        <is>
          <t>夏季新款老钱风棉麻衬衫女棉麻薄款衬衣级感抗皱长袖～</t>
        </is>
      </c>
      <c r="B441" t="inlineStr">
        <is>
          <t>recve0Cd8qy9aS.jpg</t>
        </is>
      </c>
      <c r="C441" s="2" t="str">
        <f>=HYPERLINK("https://xhslink.com/m/6HAUWHSW2bt", "https://xhslink.com/m/6HAUWHSW2bt")</f>
        <v>https://xhslink.com/m/6HAUWHSW2bt</v>
      </c>
      <c r="D441"/>
      <c r="E441">
        <v>5333</v>
      </c>
      <c r="F441">
        <v>69</v>
      </c>
      <c r="G441"/>
      <c r="H441">
        <v>600</v>
      </c>
      <c r="I441" t="inlineStr">
        <is>
          <t>穿搭</t>
        </is>
      </c>
      <c r="J441" t="inlineStr">
        <is>
          <t>0.11</t>
        </is>
      </c>
      <c r="K441"/>
      <c r="L441" t="inlineStr">
        <is>
          <t>过年啦的店</t>
        </is>
      </c>
      <c r="M441">
        <v>15000</v>
      </c>
      <c r="N441">
        <v>4.59</v>
      </c>
      <c r="O441">
        <v>99000</v>
      </c>
      <c r="P441" t="inlineStr">
        <is>
          <t>68387b06d84b4a0001fae9dc</t>
        </is>
      </c>
      <c r="Q441" t="inlineStr">
        <is>
          <t>🚫重复</t>
        </is>
      </c>
      <c r="R441" t="inlineStr">
        <is>
          <t>14周</t>
        </is>
      </c>
      <c r="S441" t="inlineStr">
        <is>
          <t>0.36</t>
        </is>
      </c>
      <c r="T441" t="inlineStr">
        <is>
          <t>服饰穿搭</t>
        </is>
      </c>
      <c r="U441" t="inlineStr">
        <is>
          <t>女装</t>
        </is>
      </c>
      <c r="V441" s="3">
        <v>46112.78107638889</v>
      </c>
      <c r="W441" t="inlineStr">
        <is>
          <t>2026-Q1</t>
        </is>
      </c>
    </row>
    <row r="442" ht="25.5" customHeight="1">
      <c r="A442" t="inlineStr">
        <is>
          <t>LLF-小众设计不掉色普洗蓝牛仔外套格子撞色卷边袖胸口袋短外套</t>
        </is>
      </c>
      <c r="B442" t="inlineStr">
        <is>
          <t>recve0Cd8qZFj1.jpg</t>
        </is>
      </c>
      <c r="C442" s="2" t="str">
        <f>=HYPERLINK("https://xhslink.com/m/5dkuLeTyRZi", "https://xhslink.com/m/5dkuLeTyRZi")</f>
        <v>https://xhslink.com/m/5dkuLeTyRZi</v>
      </c>
      <c r="D442"/>
      <c r="E442">
        <v>2191</v>
      </c>
      <c r="F442">
        <v>260</v>
      </c>
      <c r="G442">
        <v>179</v>
      </c>
      <c r="H442">
        <v>600</v>
      </c>
      <c r="I442" t="inlineStr">
        <is>
          <t>外套</t>
        </is>
      </c>
      <c r="J442" t="inlineStr">
        <is>
          <t>0.27</t>
        </is>
      </c>
      <c r="K442"/>
      <c r="L442" t="inlineStr">
        <is>
          <t>LLFa的店</t>
        </is>
      </c>
      <c r="M442">
        <v>2536</v>
      </c>
      <c r="N442">
        <v>4.69</v>
      </c>
      <c r="O442">
        <v>31000</v>
      </c>
      <c r="P442" t="inlineStr">
        <is>
          <t>69aafa81c125ae0001a90852</t>
        </is>
      </c>
      <c r="Q442" t="inlineStr">
        <is>
          <t>🚫重复</t>
        </is>
      </c>
      <c r="R442" t="inlineStr">
        <is>
          <t>14周</t>
        </is>
      </c>
      <c r="S442" t="inlineStr">
        <is>
          <t>0.86</t>
        </is>
      </c>
      <c r="T442" t="inlineStr">
        <is>
          <t>服饰穿搭</t>
        </is>
      </c>
      <c r="U442" t="inlineStr">
        <is>
          <t>女装</t>
        </is>
      </c>
      <c r="V442" s="3">
        <v>46112.78107638889</v>
      </c>
      <c r="W442" t="inlineStr">
        <is>
          <t>2026-Q1</t>
        </is>
      </c>
    </row>
    <row r="443" ht="25.5" customHeight="1">
      <c r="A443" t="inlineStr">
        <is>
          <t>《雾蓝絮粉》原创项链显白精致高级小清新温柔项链</t>
        </is>
      </c>
      <c r="B443" t="inlineStr">
        <is>
          <t>recve60dL6SRse.jpg</t>
        </is>
      </c>
      <c r="C443" s="2" t="str">
        <f>=HYPERLINK("https://xhslink.com/m/2uZZnkqhYZ", "https://xhslink.com/m/2uZZnkqhYZ")</f>
        <v>https://xhslink.com/m/2uZZnkqhYZ</v>
      </c>
      <c r="D443"/>
      <c r="E443">
        <v>3107</v>
      </c>
      <c r="F443">
        <v>39.9</v>
      </c>
      <c r="G443"/>
      <c r="H443">
        <v>600</v>
      </c>
      <c r="I443" t="inlineStr">
        <is>
          <t>饰品</t>
        </is>
      </c>
      <c r="J443" t="inlineStr">
        <is>
          <t>0.19</t>
        </is>
      </c>
      <c r="K443"/>
      <c r="L443" t="inlineStr">
        <is>
          <t>ShiChuanDaiJia.的店</t>
        </is>
      </c>
      <c r="M443">
        <v>180000</v>
      </c>
      <c r="N443">
        <v>4.55</v>
      </c>
      <c r="O443">
        <v>47000</v>
      </c>
      <c r="P443" t="inlineStr">
        <is>
          <t>68b30b2654c0f300019f3c05</t>
        </is>
      </c>
      <c r="Q443" t="inlineStr">
        <is>
          <t>🚫重复</t>
        </is>
      </c>
      <c r="R443" t="inlineStr">
        <is>
          <t>14周</t>
        </is>
      </c>
      <c r="S443" t="inlineStr">
        <is>
          <t>0.02</t>
        </is>
      </c>
      <c r="T443" t="inlineStr">
        <is>
          <t>服饰穿搭</t>
        </is>
      </c>
      <c r="U443" t="inlineStr">
        <is>
          <t>配饰</t>
        </is>
      </c>
      <c r="V443" s="3">
        <v>46112.78107638889</v>
      </c>
      <c r="W443" t="inlineStr">
        <is>
          <t>2026-Q1</t>
        </is>
      </c>
    </row>
    <row r="444" ht="25.5" customHeight="1">
      <c r="A444" t="inlineStr">
        <is>
          <t>[五号礼盒]原创首饰套装仙女风气质发饰手链组合</t>
        </is>
      </c>
      <c r="B444" t="inlineStr">
        <is>
          <t>recve60dL66swa.jpg</t>
        </is>
      </c>
      <c r="C444" s="2" t="str">
        <f>=HYPERLINK("https://xhslink.com/m/JcJWaDu3Ol", "https://xhslink.com/m/JcJWaDu3Ol")</f>
        <v>https://xhslink.com/m/JcJWaDu3Ol</v>
      </c>
      <c r="D444"/>
      <c r="E444">
        <v>1052</v>
      </c>
      <c r="F444">
        <v>59.9</v>
      </c>
      <c r="G444"/>
      <c r="H444">
        <v>600</v>
      </c>
      <c r="I444" t="inlineStr">
        <is>
          <t>饰品</t>
        </is>
      </c>
      <c r="J444" t="inlineStr">
        <is>
          <t>0.57</t>
        </is>
      </c>
      <c r="K444"/>
      <c r="L444" t="inlineStr">
        <is>
          <t>ShiChuanDaiJia.的店</t>
        </is>
      </c>
      <c r="M444">
        <v>180000</v>
      </c>
      <c r="N444">
        <v>4.55</v>
      </c>
      <c r="O444">
        <v>47000</v>
      </c>
      <c r="P444" t="inlineStr">
        <is>
          <t>694cd3adf489e400018e848d</t>
        </is>
      </c>
      <c r="Q444" t="inlineStr">
        <is>
          <t>🚫重复</t>
        </is>
      </c>
      <c r="R444" t="inlineStr">
        <is>
          <t>14周</t>
        </is>
      </c>
      <c r="S444" t="inlineStr">
        <is>
          <t>0.01</t>
        </is>
      </c>
      <c r="T444" t="inlineStr">
        <is>
          <t>服饰穿搭</t>
        </is>
      </c>
      <c r="U444" t="inlineStr">
        <is>
          <t>配饰</t>
        </is>
      </c>
      <c r="V444" s="3">
        <v>46112.78107638889</v>
      </c>
      <c r="W444" t="inlineStr">
        <is>
          <t>2026-Q1</t>
        </is>
      </c>
    </row>
    <row r="445" ht="25.5" customHeight="1">
      <c r="A445" t="inlineStr">
        <is>
          <t>新款液态硅胶小视窗适用苹果17promax手机壳带镜头膜16Pro磁吸15</t>
        </is>
      </c>
      <c r="B445" t="inlineStr">
        <is>
          <t>recve60dL6kCIJ.jpg</t>
        </is>
      </c>
      <c r="C445" s="2" t="str">
        <f>=HYPERLINK("https://xhslink.com/m/52HInwDyApz", "https://xhslink.com/m/52HInwDyApz")</f>
        <v>https://xhslink.com/m/52HInwDyApz</v>
      </c>
      <c r="D445"/>
      <c r="E445">
        <v>27000</v>
      </c>
      <c r="F445">
        <v>36</v>
      </c>
      <c r="G445">
        <v>29.8</v>
      </c>
      <c r="H445">
        <v>600</v>
      </c>
      <c r="I445" t="inlineStr">
        <is>
          <t>手机壳</t>
        </is>
      </c>
      <c r="J445" t="inlineStr">
        <is>
          <t>0.02</t>
        </is>
      </c>
      <c r="K445" t="inlineStr">
        <is>
          <t>🔥低粉爆款</t>
        </is>
      </c>
      <c r="L445" t="inlineStr">
        <is>
          <t>手机壳上飞的猪🐷的店</t>
        </is>
      </c>
      <c r="M445">
        <v>712</v>
      </c>
      <c r="N445">
        <v>4.35</v>
      </c>
      <c r="O445">
        <v>28000</v>
      </c>
      <c r="P445" t="inlineStr">
        <is>
          <t>68e1c3d4581ea20015acb17f</t>
        </is>
      </c>
      <c r="Q445"/>
      <c r="R445" t="inlineStr">
        <is>
          <t>14周</t>
        </is>
      </c>
      <c r="S445" t="inlineStr">
        <is>
          <t>37.92</t>
        </is>
      </c>
      <c r="T445" t="inlineStr">
        <is>
          <t>数码家电</t>
        </is>
      </c>
      <c r="U445" t="inlineStr">
        <is>
          <t>数码配件</t>
        </is>
      </c>
      <c r="V445" s="3">
        <v>46112.78107638889</v>
      </c>
      <c r="W445" t="inlineStr">
        <is>
          <t>2026-Q1</t>
        </is>
      </c>
    </row>
    <row r="446" ht="25.5" customHeight="1">
      <c r="A446" t="inlineStr">
        <is>
          <t>NOJI · 【3月新势力】双相口腔精油 分解异味护龈清洁口气清新持久清新</t>
        </is>
      </c>
      <c r="B446" t="inlineStr">
        <is>
          <t>recveckoIERNlf.jpg</t>
        </is>
      </c>
      <c r="C446" s="2" t="str">
        <f>=HYPERLINK("https://xhslink.com/m/3psbnh17OLx", "https://xhslink.com/m/3psbnh17OLx")</f>
        <v>https://xhslink.com/m/3psbnh17OLx</v>
      </c>
      <c r="D446"/>
      <c r="E446">
        <v>25000</v>
      </c>
      <c r="F446">
        <v>149</v>
      </c>
      <c r="G446">
        <v>96</v>
      </c>
      <c r="H446">
        <v>600</v>
      </c>
      <c r="I446" t="inlineStr">
        <is>
          <t>口腔护理</t>
        </is>
      </c>
      <c r="J446" t="inlineStr">
        <is>
          <t>0.02</t>
        </is>
      </c>
      <c r="K446"/>
      <c r="L446" t="inlineStr">
        <is>
          <t>NOJi个护旗舰店</t>
        </is>
      </c>
      <c r="M446">
        <v>23000</v>
      </c>
      <c r="N446">
        <v>4.59</v>
      </c>
      <c r="O446">
        <v>223000</v>
      </c>
      <c r="P446" t="inlineStr">
        <is>
          <t>68d26dbd3f37a9000178da6e</t>
        </is>
      </c>
      <c r="Q446"/>
      <c r="R446" t="inlineStr">
        <is>
          <t>14周</t>
        </is>
      </c>
      <c r="S446" t="inlineStr">
        <is>
          <t>1.09</t>
        </is>
      </c>
      <c r="T446" t="inlineStr">
        <is>
          <t>美妆个护</t>
        </is>
      </c>
      <c r="U446" t="inlineStr">
        <is>
          <t>个人护理</t>
        </is>
      </c>
      <c r="V446" s="3">
        <v>46112.78107638889</v>
      </c>
      <c r="W446" t="inlineStr">
        <is>
          <t>2026-Q1</t>
        </is>
      </c>
    </row>
    <row r="447" ht="25.5" customHeight="1">
      <c r="A447" t="inlineStr">
        <is>
          <t>瑜伽服运动健身跑步速干衣T恤紧身短袖上衣修身</t>
        </is>
      </c>
      <c r="B447" t="inlineStr">
        <is>
          <t>recved8o2D4OcD.jpg</t>
        </is>
      </c>
      <c r="C447" s="2" t="str">
        <f>=HYPERLINK("https://xhslink.com/m/5Kw16f0GmzD", "https://xhslink.com/m/5Kw16f0GmzD")</f>
        <v>https://xhslink.com/m/5Kw16f0GmzD</v>
      </c>
      <c r="D447"/>
      <c r="E447">
        <v>2251</v>
      </c>
      <c r="F447">
        <v>69.9</v>
      </c>
      <c r="G447">
        <v>49</v>
      </c>
      <c r="H447">
        <v>600</v>
      </c>
      <c r="I447" t="inlineStr">
        <is>
          <t>T恤</t>
        </is>
      </c>
      <c r="J447" t="inlineStr">
        <is>
          <t>0.27</t>
        </is>
      </c>
      <c r="K447" t="inlineStr">
        <is>
          <t>🔥低粉爆款</t>
        </is>
      </c>
      <c r="L447" t="inlineStr">
        <is>
          <t>跳跳马达的店</t>
        </is>
      </c>
      <c r="M447">
        <v>132</v>
      </c>
      <c r="N447">
        <v>4.64</v>
      </c>
      <c r="O447">
        <v>2285</v>
      </c>
      <c r="P447" t="inlineStr">
        <is>
          <t>69ad2e4e1aad9000013dc0cf</t>
        </is>
      </c>
      <c r="Q447" t="inlineStr">
        <is>
          <t>🚫重复</t>
        </is>
      </c>
      <c r="R447" t="inlineStr">
        <is>
          <t>14周</t>
        </is>
      </c>
      <c r="S447" t="inlineStr">
        <is>
          <t>17.05</t>
        </is>
      </c>
      <c r="T447" t="inlineStr">
        <is>
          <t>运动潮玩</t>
        </is>
      </c>
      <c r="U447" t="inlineStr">
        <is>
          <t>运动户外装备</t>
        </is>
      </c>
      <c r="V447" s="3">
        <v>46112.78107638889</v>
      </c>
      <c r="W447" t="inlineStr">
        <is>
          <t>2026-Q1</t>
        </is>
      </c>
    </row>
    <row r="448" ht="25.5" customHeight="1">
      <c r="A448" t="inlineStr">
        <is>
          <t>美式复古V领排扣正肩短袖t恤女夏季设计感小众甜辣妹收腰短款上衣</t>
        </is>
      </c>
      <c r="B448" t="inlineStr">
        <is>
          <t>recved8o2DhO7F.jpg</t>
        </is>
      </c>
      <c r="C448" s="2" t="str">
        <f>=HYPERLINK("https://xhslink.com/m/5TOnw8DtfTm", "https://xhslink.com/m/5TOnw8DtfTm")</f>
        <v>https://xhslink.com/m/5TOnw8DtfTm</v>
      </c>
      <c r="D448"/>
      <c r="E448">
        <v>1769</v>
      </c>
      <c r="F448">
        <v>39.9</v>
      </c>
      <c r="G448">
        <v>37.9</v>
      </c>
      <c r="H448">
        <v>600</v>
      </c>
      <c r="I448" t="inlineStr">
        <is>
          <t>T恤</t>
        </is>
      </c>
      <c r="J448" t="inlineStr">
        <is>
          <t>0.34</t>
        </is>
      </c>
      <c r="K448"/>
      <c r="L448" t="inlineStr">
        <is>
          <t>下课（穿搭分享）的店</t>
        </is>
      </c>
      <c r="M448">
        <v>1958</v>
      </c>
      <c r="N448">
        <v>4.69</v>
      </c>
      <c r="O448">
        <v>10000</v>
      </c>
      <c r="P448" t="inlineStr">
        <is>
          <t>685008738a6cef0001cc2f98</t>
        </is>
      </c>
      <c r="Q448"/>
      <c r="R448" t="inlineStr">
        <is>
          <t>14周</t>
        </is>
      </c>
      <c r="S448" t="inlineStr">
        <is>
          <t>0.90</t>
        </is>
      </c>
      <c r="T448" t="inlineStr">
        <is>
          <t>服饰穿搭</t>
        </is>
      </c>
      <c r="U448" t="inlineStr">
        <is>
          <t>女装</t>
        </is>
      </c>
      <c r="V448" s="3">
        <v>46112.78107638889</v>
      </c>
      <c r="W448" t="inlineStr">
        <is>
          <t>2026-Q1</t>
        </is>
      </c>
    </row>
    <row r="449" ht="25.5" customHeight="1">
      <c r="A449" t="inlineStr">
        <is>
          <t>美式复古字母印花假两件长袖T恤女春新款显瘦宽松设计感小众上衣</t>
        </is>
      </c>
      <c r="B449" t="inlineStr">
        <is>
          <t>recved8o2DTNVw.jpg</t>
        </is>
      </c>
      <c r="C449" s="2" t="str">
        <f>=HYPERLINK("https://xhslink.com/m/8cfKEx7bvvC", "https://xhslink.com/m/8cfKEx7bvvC")</f>
        <v>https://xhslink.com/m/8cfKEx7bvvC</v>
      </c>
      <c r="D449"/>
      <c r="E449">
        <v>1540</v>
      </c>
      <c r="F449">
        <v>69.9</v>
      </c>
      <c r="G449"/>
      <c r="H449">
        <v>600</v>
      </c>
      <c r="I449" t="inlineStr">
        <is>
          <t>T恤</t>
        </is>
      </c>
      <c r="J449" t="inlineStr">
        <is>
          <t>0.39</t>
        </is>
      </c>
      <c r="K449"/>
      <c r="L449" t="inlineStr">
        <is>
          <t>宁澄服装的店</t>
        </is>
      </c>
      <c r="M449">
        <v>4876</v>
      </c>
      <c r="N449">
        <v>4.71</v>
      </c>
      <c r="O449">
        <v>39000</v>
      </c>
      <c r="P449" t="inlineStr">
        <is>
          <t>696611be1d3786000145c807</t>
        </is>
      </c>
      <c r="Q449" t="inlineStr">
        <is>
          <t>🚫重复</t>
        </is>
      </c>
      <c r="R449" t="inlineStr">
        <is>
          <t>14周</t>
        </is>
      </c>
      <c r="S449" t="inlineStr">
        <is>
          <t>0.32</t>
        </is>
      </c>
      <c r="T449" t="inlineStr">
        <is>
          <t>服饰穿搭</t>
        </is>
      </c>
      <c r="U449" t="inlineStr">
        <is>
          <t>女装</t>
        </is>
      </c>
      <c r="V449" s="3">
        <v>46112.78107638889</v>
      </c>
      <c r="W449" t="inlineStr">
        <is>
          <t>2026-Q1</t>
        </is>
      </c>
    </row>
    <row r="450" ht="25.5" customHeight="1">
      <c r="A450" t="inlineStr">
        <is>
          <t>【新鲜冰淇淋红薯】粉糯香甜紫薯地瓜沙地红薯蔬菜水果番薯</t>
        </is>
      </c>
      <c r="B450" t="inlineStr">
        <is>
          <t>recvekduUIsa5R.jpg</t>
        </is>
      </c>
      <c r="C450" s="2" t="str">
        <f>=HYPERLINK("https://xhslink.com/m/4rm3nRwdh0y", "https://xhslink.com/m/4rm3nRwdh0y")</f>
        <v>https://xhslink.com/m/4rm3nRwdh0y</v>
      </c>
      <c r="D450"/>
      <c r="E450">
        <v>54000</v>
      </c>
      <c r="F450">
        <v>43.9</v>
      </c>
      <c r="G450">
        <v>31.9</v>
      </c>
      <c r="H450">
        <v>600</v>
      </c>
      <c r="I450" t="inlineStr">
        <is>
          <t>蔬菜</t>
        </is>
      </c>
      <c r="J450" t="inlineStr">
        <is>
          <t>0.01</t>
        </is>
      </c>
      <c r="K450" t="inlineStr">
        <is>
          <t>🔥低粉爆款</t>
        </is>
      </c>
      <c r="L450" t="inlineStr">
        <is>
          <t>小妹果园的店</t>
        </is>
      </c>
      <c r="M450">
        <v>2595</v>
      </c>
      <c r="N450">
        <v>4.66</v>
      </c>
      <c r="O450">
        <v>88000</v>
      </c>
      <c r="P450" t="inlineStr">
        <is>
          <t>6785e1d303b5e400014ddfe8</t>
        </is>
      </c>
      <c r="Q450" t="inlineStr">
        <is>
          <t>🚫重复</t>
        </is>
      </c>
      <c r="R450" t="inlineStr">
        <is>
          <t>14周</t>
        </is>
      </c>
      <c r="S450" t="inlineStr">
        <is>
          <t>20.81</t>
        </is>
      </c>
      <c r="T450" t="inlineStr">
        <is>
          <t>美食滋补</t>
        </is>
      </c>
      <c r="U450" t="inlineStr">
        <is>
          <t>生鲜特产</t>
        </is>
      </c>
      <c r="V450" s="3">
        <v>46112.78107638889</v>
      </c>
      <c r="W450" t="inlineStr">
        <is>
          <t>2026-Q1</t>
        </is>
      </c>
    </row>
    <row r="451" ht="25.5" customHeight="1">
      <c r="A451" t="inlineStr">
        <is>
          <t>车载香薰高级车内香氛持久留香男女车载香氛淡香车内摆件新车礼物</t>
        </is>
      </c>
      <c r="B451" t="inlineStr">
        <is>
          <t>recvekduUIgNFk.jpg</t>
        </is>
      </c>
      <c r="C451" s="2" t="str">
        <f>=HYPERLINK("https://xhslink.com/m/9NrVJF6ZakE", "https://xhslink.com/m/9NrVJF6ZakE")</f>
        <v>https://xhslink.com/m/9NrVJF6ZakE</v>
      </c>
      <c r="D451"/>
      <c r="E451">
        <v>13000</v>
      </c>
      <c r="F451">
        <v>64.8</v>
      </c>
      <c r="G451">
        <v>50.8</v>
      </c>
      <c r="H451">
        <v>600</v>
      </c>
      <c r="I451" t="inlineStr">
        <is>
          <t>车载香薰</t>
        </is>
      </c>
      <c r="J451" t="inlineStr">
        <is>
          <t>0.05</t>
        </is>
      </c>
      <c r="K451" t="inlineStr">
        <is>
          <t>🔥低粉爆款</t>
        </is>
      </c>
      <c r="L451" t="inlineStr">
        <is>
          <t>春知里的店</t>
        </is>
      </c>
      <c r="M451">
        <v>1058</v>
      </c>
      <c r="N451">
        <v>4.04</v>
      </c>
      <c r="O451">
        <v>21000</v>
      </c>
      <c r="P451" t="inlineStr">
        <is>
          <t>693d44554d533800013180a0</t>
        </is>
      </c>
      <c r="Q451"/>
      <c r="R451" t="inlineStr">
        <is>
          <t>14周</t>
        </is>
      </c>
      <c r="S451" t="inlineStr">
        <is>
          <t>12.29</t>
        </is>
      </c>
      <c r="T451" t="inlineStr">
        <is>
          <t>家居生活</t>
        </is>
      </c>
      <c r="U451" t="inlineStr">
        <is>
          <t>家居日用</t>
        </is>
      </c>
      <c r="V451" s="3">
        <v>46112.78107638889</v>
      </c>
      <c r="W451" t="inlineStr">
        <is>
          <t>2026-Q1</t>
        </is>
      </c>
    </row>
    <row r="452" ht="25.5" customHeight="1">
      <c r="A452" t="inlineStr">
        <is>
          <t>26新款机能小三角白标宽松锥形休闲裤美式工装长裤男女同款休闲裤</t>
        </is>
      </c>
      <c r="B452" t="inlineStr">
        <is>
          <t>recveqrflnc33c.jpg</t>
        </is>
      </c>
      <c r="C452" s="2" t="str">
        <f>=HYPERLINK("https://xhslink.com/m/1lW8F3nAL4Y", "https://xhslink.com/m/1lW8F3nAL4Y")</f>
        <v>https://xhslink.com/m/1lW8F3nAL4Y</v>
      </c>
      <c r="D452"/>
      <c r="E452">
        <v>114000</v>
      </c>
      <c r="F452">
        <v>79.9</v>
      </c>
      <c r="G452">
        <v>59.9</v>
      </c>
      <c r="H452">
        <v>600</v>
      </c>
      <c r="I452" t="inlineStr">
        <is>
          <t>休闲裤</t>
        </is>
      </c>
      <c r="J452" t="inlineStr">
        <is>
          <t>0.01</t>
        </is>
      </c>
      <c r="K452"/>
      <c r="L452" t="inlineStr">
        <is>
          <t>户外神裤穿搭的店</t>
        </is>
      </c>
      <c r="M452">
        <v>45000</v>
      </c>
      <c r="N452">
        <v>4.39</v>
      </c>
      <c r="O452">
        <v>180000</v>
      </c>
      <c r="P452" t="inlineStr">
        <is>
          <t>68c7c22924f1f80001244399</t>
        </is>
      </c>
      <c r="Q452"/>
      <c r="R452" t="inlineStr">
        <is>
          <t>14周</t>
        </is>
      </c>
      <c r="S452" t="inlineStr">
        <is>
          <t>2.53</t>
        </is>
      </c>
      <c r="T452" t="inlineStr">
        <is>
          <t>服饰穿搭</t>
        </is>
      </c>
      <c r="U452" t="inlineStr">
        <is>
          <t>女装</t>
        </is>
      </c>
      <c r="V452" s="3">
        <v>46112.78107638889</v>
      </c>
      <c r="W452" t="inlineStr">
        <is>
          <t>2026-Q1</t>
        </is>
      </c>
    </row>
    <row r="453" ht="25.5" customHeight="1">
      <c r="A453" t="inlineStr">
        <is>
          <t>亿只纯 · 韩版撞色条纹天丝针织衫女长袖T恤宽松薄款防晒上衣ins罩衫</t>
        </is>
      </c>
      <c r="B453" t="inlineStr">
        <is>
          <t>recveqrflnYtjb.jpg</t>
        </is>
      </c>
      <c r="C453" s="2" t="str">
        <f>=HYPERLINK("https://xhslink.com/m/MQ9ZaBEWg", "https://xhslink.com/m/MQ9ZaBEWg")</f>
        <v>https://xhslink.com/m/MQ9ZaBEWg</v>
      </c>
      <c r="D453"/>
      <c r="E453">
        <v>569</v>
      </c>
      <c r="F453">
        <v>89</v>
      </c>
      <c r="G453">
        <v>69</v>
      </c>
      <c r="H453">
        <v>600</v>
      </c>
      <c r="I453" t="inlineStr">
        <is>
          <t>T恤</t>
        </is>
      </c>
      <c r="J453" t="inlineStr">
        <is>
          <t>1.05</t>
        </is>
      </c>
      <c r="K453" t="inlineStr">
        <is>
          <t>🔥低粉爆款</t>
        </is>
      </c>
      <c r="L453" t="inlineStr">
        <is>
          <t>易只羊1的店</t>
        </is>
      </c>
      <c r="M453">
        <v>91</v>
      </c>
      <c r="N453">
        <v>4.64</v>
      </c>
      <c r="O453">
        <v>1238</v>
      </c>
      <c r="P453" t="inlineStr">
        <is>
          <t>6983192619f8df0015e42033</t>
        </is>
      </c>
      <c r="Q453"/>
      <c r="R453" t="inlineStr">
        <is>
          <t>14周</t>
        </is>
      </c>
      <c r="S453" t="inlineStr">
        <is>
          <t>6.25</t>
        </is>
      </c>
      <c r="T453" t="inlineStr">
        <is>
          <t>服饰穿搭</t>
        </is>
      </c>
      <c r="U453" t="inlineStr">
        <is>
          <t>女装</t>
        </is>
      </c>
      <c r="V453" s="3">
        <v>46112.78107638889</v>
      </c>
      <c r="W453" t="inlineStr">
        <is>
          <t>2026-Q1</t>
        </is>
      </c>
    </row>
    <row r="454" ht="25.5" customHeight="1">
      <c r="A454" t="inlineStr">
        <is>
          <t>李空空【爱在西元前】复古蓝高腰微喇牛仔阔腿裤女复古显瘦长裤子</t>
        </is>
      </c>
      <c r="B454" t="inlineStr">
        <is>
          <t>recveCblQ9OL1q.jpg</t>
        </is>
      </c>
      <c r="C454" s="2" t="str">
        <f>=HYPERLINK("https://xhslink.com/m/8anTfFAsgeK", "https://xhslink.com/m/8anTfFAsgeK")</f>
        <v>https://xhslink.com/m/8anTfFAsgeK</v>
      </c>
      <c r="D454"/>
      <c r="E454">
        <v>64000</v>
      </c>
      <c r="F454">
        <v>89.99</v>
      </c>
      <c r="G454"/>
      <c r="H454">
        <v>600</v>
      </c>
      <c r="I454" t="inlineStr">
        <is>
          <t>牛仔裤</t>
        </is>
      </c>
      <c r="J454" t="inlineStr">
        <is>
          <t>0.01</t>
        </is>
      </c>
      <c r="K454"/>
      <c r="L454" t="inlineStr">
        <is>
          <t>李空空的店</t>
        </is>
      </c>
      <c r="M454">
        <v>102000</v>
      </c>
      <c r="N454">
        <v>4.6</v>
      </c>
      <c r="O454">
        <v>555000</v>
      </c>
      <c r="P454" t="inlineStr">
        <is>
          <t>6954db7323d3ce000143db21</t>
        </is>
      </c>
      <c r="Q454" t="inlineStr">
        <is>
          <t>🚫重复</t>
        </is>
      </c>
      <c r="R454" t="inlineStr">
        <is>
          <t>14周</t>
        </is>
      </c>
      <c r="S454" t="inlineStr">
        <is>
          <t>0.63</t>
        </is>
      </c>
      <c r="T454" t="inlineStr">
        <is>
          <t>服饰穿搭</t>
        </is>
      </c>
      <c r="U454" t="inlineStr">
        <is>
          <t>女装</t>
        </is>
      </c>
      <c r="V454" s="3">
        <v>46112.78107638889</v>
      </c>
      <c r="W454" t="inlineStr">
        <is>
          <t>2026-Q1</t>
        </is>
      </c>
    </row>
    <row r="455" ht="25.5" customHeight="1">
      <c r="A455" t="inlineStr">
        <is>
          <t>李空空【爱在西元前】复古蓝高腰微喇牛仔阔腿裤女复古显瘦长裤子</t>
        </is>
      </c>
      <c r="B455" t="inlineStr">
        <is>
          <t>recveKOBkWKJIX.jpg</t>
        </is>
      </c>
      <c r="C455" s="2" t="str">
        <f>=HYPERLINK("https://xhslink.com/m/89W4jWJphSG", "https://xhslink.com/m/89W4jWJphSG")</f>
        <v>https://xhslink.com/m/89W4jWJphSG</v>
      </c>
      <c r="D455"/>
      <c r="E455">
        <v>64000</v>
      </c>
      <c r="F455">
        <v>89.99</v>
      </c>
      <c r="G455"/>
      <c r="H455">
        <v>600</v>
      </c>
      <c r="I455" t="inlineStr">
        <is>
          <t>牛仔裤</t>
        </is>
      </c>
      <c r="J455" t="inlineStr">
        <is>
          <t>0.01</t>
        </is>
      </c>
      <c r="K455"/>
      <c r="L455" t="inlineStr">
        <is>
          <t>李空空的店</t>
        </is>
      </c>
      <c r="M455">
        <v>102000</v>
      </c>
      <c r="N455">
        <v>4.6</v>
      </c>
      <c r="O455">
        <v>557000</v>
      </c>
      <c r="P455" t="inlineStr">
        <is>
          <t>6954db7323d3ce000143db27</t>
        </is>
      </c>
      <c r="Q455" t="inlineStr">
        <is>
          <t>🚫重复</t>
        </is>
      </c>
      <c r="R455" t="inlineStr">
        <is>
          <t>14周</t>
        </is>
      </c>
      <c r="S455" t="inlineStr">
        <is>
          <t>0.63</t>
        </is>
      </c>
      <c r="T455" t="inlineStr">
        <is>
          <t>服饰穿搭</t>
        </is>
      </c>
      <c r="U455" t="inlineStr">
        <is>
          <t>女装</t>
        </is>
      </c>
      <c r="V455" s="3">
        <v>46112.78107638889</v>
      </c>
      <c r="W455" t="inlineStr">
        <is>
          <t>2026-Q1</t>
        </is>
      </c>
    </row>
    <row r="456" ht="25.5" customHeight="1">
      <c r="A456" t="inlineStr">
        <is>
          <t>法式白色V领短袖衬衫女2026夏季小众设计气质减龄翻领衬衣</t>
        </is>
      </c>
      <c r="B456" t="inlineStr">
        <is>
          <t>recveKOBkWSVkX.jpg</t>
        </is>
      </c>
      <c r="C456" s="2" t="str">
        <f>=HYPERLINK("https://xhslink.com/m/6mkoZyUk7Ny", "https://xhslink.com/m/6mkoZyUk7Ny")</f>
        <v>https://xhslink.com/m/6mkoZyUk7Ny</v>
      </c>
      <c r="D456"/>
      <c r="E456">
        <v>113000</v>
      </c>
      <c r="F456">
        <v>99</v>
      </c>
      <c r="G456"/>
      <c r="H456">
        <v>600</v>
      </c>
      <c r="I456" t="inlineStr">
        <is>
          <t>衬衫</t>
        </is>
      </c>
      <c r="J456" t="inlineStr">
        <is>
          <t>0.01</t>
        </is>
      </c>
      <c r="K456"/>
      <c r="L456" t="inlineStr">
        <is>
          <t>KK穿搭分享~的店</t>
        </is>
      </c>
      <c r="M456">
        <v>595000</v>
      </c>
      <c r="N456">
        <v>4.59</v>
      </c>
      <c r="O456">
        <v>3054000</v>
      </c>
      <c r="P456" t="inlineStr">
        <is>
          <t>68885bc486c0df0001f3926c</t>
        </is>
      </c>
      <c r="Q456" t="inlineStr">
        <is>
          <t>🚫重复</t>
        </is>
      </c>
      <c r="R456" t="inlineStr">
        <is>
          <t>14周</t>
        </is>
      </c>
      <c r="S456" t="inlineStr">
        <is>
          <t>0.19</t>
        </is>
      </c>
      <c r="T456" t="inlineStr">
        <is>
          <t>服饰穿搭</t>
        </is>
      </c>
      <c r="U456" t="inlineStr">
        <is>
          <t>女装</t>
        </is>
      </c>
      <c r="V456" s="3">
        <v>46112.78107638889</v>
      </c>
      <c r="W456" t="inlineStr">
        <is>
          <t>2026-Q1</t>
        </is>
      </c>
    </row>
    <row r="457" ht="25.5" customHeight="1">
      <c r="A457" t="inlineStr">
        <is>
          <t>法式白色V领短袖衬衫女2026夏季小众设计气质减龄翻领衬衣</t>
        </is>
      </c>
      <c r="B457" t="inlineStr">
        <is>
          <t>recveKOBkWOIDo.jpg</t>
        </is>
      </c>
      <c r="C457" s="2" t="str">
        <f>=HYPERLINK("https://xhslink.com/m/2wXKFzAN9SP", "https://xhslink.com/m/2wXKFzAN9SP")</f>
        <v>https://xhslink.com/m/2wXKFzAN9SP</v>
      </c>
      <c r="D457"/>
      <c r="E457">
        <v>113000</v>
      </c>
      <c r="F457">
        <v>89</v>
      </c>
      <c r="G457"/>
      <c r="H457">
        <v>600</v>
      </c>
      <c r="I457" t="inlineStr">
        <is>
          <t>T恤</t>
        </is>
      </c>
      <c r="J457" t="inlineStr">
        <is>
          <t>0.01</t>
        </is>
      </c>
      <c r="K457"/>
      <c r="L457" t="inlineStr">
        <is>
          <t>KK穿搭分享~的店</t>
        </is>
      </c>
      <c r="M457">
        <v>595000</v>
      </c>
      <c r="N457">
        <v>4.59</v>
      </c>
      <c r="O457">
        <v>3054000</v>
      </c>
      <c r="P457" t="inlineStr">
        <is>
          <t>6690f15b5bcbdc00010b8304</t>
        </is>
      </c>
      <c r="Q457" t="inlineStr">
        <is>
          <t>🚫重复</t>
        </is>
      </c>
      <c r="R457" t="inlineStr">
        <is>
          <t>14周</t>
        </is>
      </c>
      <c r="S457" t="inlineStr">
        <is>
          <t>0.19</t>
        </is>
      </c>
      <c r="T457" t="inlineStr">
        <is>
          <t>服饰穿搭</t>
        </is>
      </c>
      <c r="U457" t="inlineStr">
        <is>
          <t>女装</t>
        </is>
      </c>
      <c r="V457" s="3">
        <v>46112.78107638889</v>
      </c>
      <c r="W457" t="inlineStr">
        <is>
          <t>2026-Q1</t>
        </is>
      </c>
    </row>
    <row r="458" ht="25.5" customHeight="1">
      <c r="A458" t="inlineStr">
        <is>
          <t>圆圆呀aaa__细闪绸缎高跟鞋气质优雅通勤女鞋</t>
        </is>
      </c>
      <c r="B458" t="inlineStr">
        <is>
          <t>recveKOBkWtw5y.jpg</t>
        </is>
      </c>
      <c r="C458" s="2" t="str">
        <f>=HYPERLINK("https://xhslink.com/m/92yumABYZvA", "https://xhslink.com/m/92yumABYZvA")</f>
        <v>https://xhslink.com/m/92yumABYZvA</v>
      </c>
      <c r="D458"/>
      <c r="E458">
        <v>24000</v>
      </c>
      <c r="F458">
        <v>185</v>
      </c>
      <c r="G458">
        <v>152</v>
      </c>
      <c r="H458">
        <v>600</v>
      </c>
      <c r="I458" t="inlineStr">
        <is>
          <t>鞋靴</t>
        </is>
      </c>
      <c r="J458" t="inlineStr">
        <is>
          <t>0.03</t>
        </is>
      </c>
      <c r="K458"/>
      <c r="L458" t="inlineStr">
        <is>
          <t>圆圆呀aaa__的店</t>
        </is>
      </c>
      <c r="M458">
        <v>11000</v>
      </c>
      <c r="N458">
        <v>4.61</v>
      </c>
      <c r="O458">
        <v>48000</v>
      </c>
      <c r="P458" t="inlineStr">
        <is>
          <t>690f2c04886bed0001efe6e7</t>
        </is>
      </c>
      <c r="Q458" t="inlineStr">
        <is>
          <t>🚫重复</t>
        </is>
      </c>
      <c r="R458" t="inlineStr">
        <is>
          <t>14周</t>
        </is>
      </c>
      <c r="S458" t="inlineStr">
        <is>
          <t>2.18</t>
        </is>
      </c>
      <c r="T458" t="inlineStr">
        <is>
          <t>服饰穿搭</t>
        </is>
      </c>
      <c r="U458" t="inlineStr">
        <is>
          <t>鞋靴箱包</t>
        </is>
      </c>
      <c r="V458" s="3">
        <v>46112.78107638889</v>
      </c>
      <c r="W458" t="inlineStr">
        <is>
          <t>2026-Q1</t>
        </is>
      </c>
    </row>
    <row r="459" ht="25.5" customHeight="1">
      <c r="A459" t="inlineStr">
        <is>
          <t>生煎包按压式拼豆笔 新手友好省力防卡豆不漏豆DIY拼豆工具</t>
        </is>
      </c>
      <c r="B459" t="inlineStr">
        <is>
          <t>recveKOBkWmi7x.jpg</t>
        </is>
      </c>
      <c r="C459" s="2" t="str">
        <f>=HYPERLINK("https://xhslink.com/m/tBPAKIuULy", "https://xhslink.com/m/tBPAKIuULy")</f>
        <v>https://xhslink.com/m/tBPAKIuULy</v>
      </c>
      <c r="D459"/>
      <c r="E459">
        <v>29000</v>
      </c>
      <c r="F459">
        <v>39.5</v>
      </c>
      <c r="G459"/>
      <c r="H459">
        <v>600</v>
      </c>
      <c r="I459" t="inlineStr">
        <is>
          <t>拼豆</t>
        </is>
      </c>
      <c r="J459" t="inlineStr">
        <is>
          <t>0.02</t>
        </is>
      </c>
      <c r="K459" t="inlineStr">
        <is>
          <t>🔥低粉爆款</t>
        </is>
      </c>
      <c r="L459" t="inlineStr">
        <is>
          <t>这里有卖生煎包的店</t>
        </is>
      </c>
      <c r="M459">
        <v>2406</v>
      </c>
      <c r="N459">
        <v>4.59</v>
      </c>
      <c r="O459">
        <v>29000</v>
      </c>
      <c r="P459" t="inlineStr">
        <is>
          <t>68d68506c630ec0001ca90ce</t>
        </is>
      </c>
      <c r="Q459" t="inlineStr">
        <is>
          <t>🚫重复</t>
        </is>
      </c>
      <c r="R459" t="inlineStr">
        <is>
          <t>14周</t>
        </is>
      </c>
      <c r="S459" t="inlineStr">
        <is>
          <t>12.05</t>
        </is>
      </c>
      <c r="T459" t="inlineStr">
        <is>
          <t>运动潮玩</t>
        </is>
      </c>
      <c r="U459" t="inlineStr">
        <is>
          <t>图书文创</t>
        </is>
      </c>
      <c r="V459" s="3">
        <v>46112.78107638889</v>
      </c>
      <c r="W459" t="inlineStr">
        <is>
          <t>2026-Q1</t>
        </is>
      </c>
    </row>
    <row r="460" ht="25.5" customHeight="1">
      <c r="A460" t="inlineStr">
        <is>
          <t>Brandy BM新款蓝色抽绳阔腿裤女bm休闲裤宽松显瘦毛边运动长裤子</t>
        </is>
      </c>
      <c r="B460" t="inlineStr">
        <is>
          <t>recveKOBkWBVC7.jpg</t>
        </is>
      </c>
      <c r="C460" s="2" t="str">
        <f>=HYPERLINK("https://xhslink.com/m/6AizLOoRy3V", "https://xhslink.com/m/6AizLOoRy3V")</f>
        <v>https://xhslink.com/m/6AizLOoRy3V</v>
      </c>
      <c r="D460"/>
      <c r="E460">
        <v>4798</v>
      </c>
      <c r="F460">
        <v>89</v>
      </c>
      <c r="G460"/>
      <c r="H460">
        <v>600</v>
      </c>
      <c r="I460" t="inlineStr">
        <is>
          <t>运动裤</t>
        </is>
      </c>
      <c r="J460" t="inlineStr">
        <is>
          <t>0.13</t>
        </is>
      </c>
      <c r="K460"/>
      <c r="L460" t="inlineStr">
        <is>
          <t>浅浅家的BM的店</t>
        </is>
      </c>
      <c r="M460">
        <v>44000</v>
      </c>
      <c r="N460">
        <v>4.69</v>
      </c>
      <c r="O460">
        <v>153000</v>
      </c>
      <c r="P460" t="inlineStr">
        <is>
          <t>694cccba23d3ce000162f3ef</t>
        </is>
      </c>
      <c r="Q460" t="inlineStr">
        <is>
          <t>🚫重复</t>
        </is>
      </c>
      <c r="R460" t="inlineStr">
        <is>
          <t>14周</t>
        </is>
      </c>
      <c r="S460" t="inlineStr">
        <is>
          <t>0.11</t>
        </is>
      </c>
      <c r="T460" t="inlineStr">
        <is>
          <t>服饰穿搭</t>
        </is>
      </c>
      <c r="U460" t="inlineStr">
        <is>
          <t>女装</t>
        </is>
      </c>
      <c r="V460" s="3">
        <v>46112.78107638889</v>
      </c>
      <c r="W460" t="inlineStr">
        <is>
          <t>2026-Q1</t>
        </is>
      </c>
    </row>
    <row r="461" ht="25.5" customHeight="1">
      <c r="A461" t="inlineStr">
        <is>
          <t>基础款圆领正肩短袖t恤纯棉打底体恤显瘦修身气质大码上衣女</t>
        </is>
      </c>
      <c r="B461" t="inlineStr">
        <is>
          <t>recveNXG9tlhg1.jpg</t>
        </is>
      </c>
      <c r="C461" s="2" t="str">
        <f>=HYPERLINK("https://xhslink.com/m/6saTUkM7elM", "https://xhslink.com/m/6saTUkM7elM")</f>
        <v>https://xhslink.com/m/6saTUkM7elM</v>
      </c>
      <c r="D461"/>
      <c r="E461">
        <v>117000</v>
      </c>
      <c r="F461">
        <v>69</v>
      </c>
      <c r="G461"/>
      <c r="H461">
        <v>600</v>
      </c>
      <c r="I461" t="inlineStr">
        <is>
          <t>T恤</t>
        </is>
      </c>
      <c r="J461" t="inlineStr">
        <is>
          <t>0.01</t>
        </is>
      </c>
      <c r="K461"/>
      <c r="L461" t="inlineStr">
        <is>
          <t>夕文的店</t>
        </is>
      </c>
      <c r="M461">
        <v>55000</v>
      </c>
      <c r="N461">
        <v>4.64</v>
      </c>
      <c r="O461">
        <v>268000</v>
      </c>
      <c r="P461" t="inlineStr">
        <is>
          <t>67e20d2ca2a51100014bcb65</t>
        </is>
      </c>
      <c r="Q461" t="inlineStr">
        <is>
          <t>🚫重复</t>
        </is>
      </c>
      <c r="R461" t="inlineStr">
        <is>
          <t>14周</t>
        </is>
      </c>
      <c r="S461" t="inlineStr">
        <is>
          <t>2.13</t>
        </is>
      </c>
      <c r="T461" t="inlineStr">
        <is>
          <t>服饰穿搭</t>
        </is>
      </c>
      <c r="U461" t="inlineStr">
        <is>
          <t>女装</t>
        </is>
      </c>
      <c r="V461" s="3">
        <v>46112.78107638889</v>
      </c>
      <c r="W461" t="inlineStr">
        <is>
          <t>2026-Q1</t>
        </is>
      </c>
    </row>
    <row r="462" ht="25.5" customHeight="1">
      <c r="A462" t="inlineStr">
        <is>
          <t>【小飞袖𝟮.𝟬版】新升级!!韩系粉色短袖正肩T恤v领上衣女夏</t>
        </is>
      </c>
      <c r="B462" t="inlineStr">
        <is>
          <t>recveNXG9tWzSh.jpg</t>
        </is>
      </c>
      <c r="C462" s="2" t="str">
        <f>=HYPERLINK("https://xhslink.com/m/740WuEqFXEB", "https://xhslink.com/m/740WuEqFXEB")</f>
        <v>https://xhslink.com/m/740WuEqFXEB</v>
      </c>
      <c r="D462"/>
      <c r="E462">
        <v>70000</v>
      </c>
      <c r="F462">
        <v>39.9</v>
      </c>
      <c r="G462"/>
      <c r="H462">
        <v>600</v>
      </c>
      <c r="I462" t="inlineStr">
        <is>
          <t>T恤</t>
        </is>
      </c>
      <c r="J462" t="inlineStr">
        <is>
          <t>0.01</t>
        </is>
      </c>
      <c r="K462"/>
      <c r="L462" t="inlineStr">
        <is>
          <t>海鸥服装厂的店</t>
        </is>
      </c>
      <c r="M462">
        <v>77000</v>
      </c>
      <c r="N462">
        <v>4.46</v>
      </c>
      <c r="O462">
        <v>1012000</v>
      </c>
      <c r="P462" t="inlineStr">
        <is>
          <t>67f5532538d47000011907b1</t>
        </is>
      </c>
      <c r="Q462" t="inlineStr">
        <is>
          <t>🚫重复</t>
        </is>
      </c>
      <c r="R462" t="inlineStr">
        <is>
          <t>14周</t>
        </is>
      </c>
      <c r="S462" t="inlineStr">
        <is>
          <t>0.91</t>
        </is>
      </c>
      <c r="T462" t="inlineStr">
        <is>
          <t>服饰穿搭</t>
        </is>
      </c>
      <c r="U462" t="inlineStr">
        <is>
          <t>女装</t>
        </is>
      </c>
      <c r="V462" s="3">
        <v>46112.78107638889</v>
      </c>
      <c r="W462" t="inlineStr">
        <is>
          <t>2026-Q1</t>
        </is>
      </c>
    </row>
    <row r="463" ht="25.5" customHeight="1">
      <c r="A463" t="inlineStr">
        <is>
          <t>V领长袖连帽套头卫衣拉链春秋修身堆积收腰简约显瘦基础百搭休闲</t>
        </is>
      </c>
      <c r="B463" t="inlineStr">
        <is>
          <t>recveNXG9thEtZ.jpg</t>
        </is>
      </c>
      <c r="C463" s="2" t="str">
        <f>=HYPERLINK("https://xhslink.com/m/8Efi7XOE1Ct", "https://xhslink.com/m/8Efi7XOE1Ct")</f>
        <v>https://xhslink.com/m/8Efi7XOE1Ct</v>
      </c>
      <c r="D463"/>
      <c r="E463">
        <v>42000</v>
      </c>
      <c r="F463">
        <v>149</v>
      </c>
      <c r="G463"/>
      <c r="H463">
        <v>600</v>
      </c>
      <c r="I463" t="inlineStr">
        <is>
          <t>卫衣</t>
        </is>
      </c>
      <c r="J463" t="inlineStr">
        <is>
          <t>0.01</t>
        </is>
      </c>
      <c r="K463"/>
      <c r="L463" t="inlineStr">
        <is>
          <t>美腻coco的店</t>
        </is>
      </c>
      <c r="M463">
        <v>72000</v>
      </c>
      <c r="N463">
        <v>4.48</v>
      </c>
      <c r="O463">
        <v>375000</v>
      </c>
      <c r="P463" t="inlineStr">
        <is>
          <t>68f5ea2ac4f89100019261da</t>
        </is>
      </c>
      <c r="Q463" t="inlineStr">
        <is>
          <t>🚫重复</t>
        </is>
      </c>
      <c r="R463" t="inlineStr">
        <is>
          <t>14周</t>
        </is>
      </c>
      <c r="S463" t="inlineStr">
        <is>
          <t>0.58</t>
        </is>
      </c>
      <c r="T463" t="inlineStr">
        <is>
          <t>服饰穿搭</t>
        </is>
      </c>
      <c r="U463" t="inlineStr">
        <is>
          <t>女装</t>
        </is>
      </c>
      <c r="V463" s="3">
        <v>46112.78107638889</v>
      </c>
      <c r="W463" t="inlineStr">
        <is>
          <t>2026-Q1</t>
        </is>
      </c>
    </row>
    <row r="464" ht="25.5" customHeight="1">
      <c r="A464" t="inlineStr">
        <is>
          <t>【4-4.5橘白灰】馒头天然淡水无核珍珠耳钉三色纯银/钛合金耳针</t>
        </is>
      </c>
      <c r="B464" t="inlineStr">
        <is>
          <t>recveTJWJNhqJC.jpg</t>
        </is>
      </c>
      <c r="C464" s="2" t="str">
        <f>=HYPERLINK("https://xhslink.com/m/bYnjVx1KZL", "https://xhslink.com/m/bYnjVx1KZL")</f>
        <v>https://xhslink.com/m/bYnjVx1KZL</v>
      </c>
      <c r="D464"/>
      <c r="E464">
        <v>12000</v>
      </c>
      <c r="F464">
        <v>34</v>
      </c>
      <c r="G464"/>
      <c r="H464">
        <v>600</v>
      </c>
      <c r="I464" t="inlineStr">
        <is>
          <t>耳饰</t>
        </is>
      </c>
      <c r="J464" t="inlineStr">
        <is>
          <t>0.05</t>
        </is>
      </c>
      <c r="K464"/>
      <c r="L464" t="inlineStr">
        <is>
          <t>Aurated鎏金珍珠珠宝店的店</t>
        </is>
      </c>
      <c r="M464">
        <v>7851</v>
      </c>
      <c r="N464">
        <v>4.67</v>
      </c>
      <c r="O464">
        <v>49000</v>
      </c>
      <c r="P464" t="inlineStr">
        <is>
          <t>6645917a50a08c000192b24a</t>
        </is>
      </c>
      <c r="Q464" t="inlineStr">
        <is>
          <t>🚫重复</t>
        </is>
      </c>
      <c r="R464" t="inlineStr">
        <is>
          <t>14周</t>
        </is>
      </c>
      <c r="S464" t="inlineStr">
        <is>
          <t>1.53</t>
        </is>
      </c>
      <c r="T464" t="inlineStr">
        <is>
          <t>服饰穿搭</t>
        </is>
      </c>
      <c r="U464" t="inlineStr">
        <is>
          <t>配饰</t>
        </is>
      </c>
      <c r="V464" s="3">
        <v>46112.78107638889</v>
      </c>
      <c r="W464" t="inlineStr">
        <is>
          <t>2026-Q1</t>
        </is>
      </c>
    </row>
    <row r="465" ht="25.5" customHeight="1">
      <c r="A465" t="inlineStr">
        <is>
          <t>原创反光星星雨伞女晴雨两用自动超好看防风防晒紫外线太阳伞ins · 反光星星 自动款</t>
        </is>
      </c>
      <c r="B465" t="inlineStr">
        <is>
          <t>recveTJWJNKAaH.jpg</t>
        </is>
      </c>
      <c r="C465" s="2" t="str">
        <f>=HYPERLINK("https://www.xiaohongshu.com/goods-detail/68776add64e96a00011af13a", "https://www.xiaohongshu.com/goods-detail/68776add64e96a00011af13a")</f>
        <v>https://www.xiaohongshu.com/goods-detail/68776add64e96a00011af13a</v>
      </c>
      <c r="D465"/>
      <c r="E465">
        <v>3537</v>
      </c>
      <c r="F465">
        <v>45.9</v>
      </c>
      <c r="G465">
        <v>40.39</v>
      </c>
      <c r="H465">
        <v>600</v>
      </c>
      <c r="I465" t="inlineStr">
        <is>
          <t>伞</t>
        </is>
      </c>
      <c r="J465" t="inlineStr">
        <is>
          <t>0.17</t>
        </is>
      </c>
      <c r="K465"/>
      <c r="L465" t="inlineStr">
        <is>
          <t>卖伞的阿渔。的店</t>
        </is>
      </c>
      <c r="M465">
        <v>2310</v>
      </c>
      <c r="N465">
        <v>4.63</v>
      </c>
      <c r="O465">
        <v>17000</v>
      </c>
      <c r="P465" t="inlineStr">
        <is>
          <t>68776add64e96a00011af13a</t>
        </is>
      </c>
      <c r="Q465" t="inlineStr">
        <is>
          <t>🚫重复</t>
        </is>
      </c>
      <c r="R465" t="inlineStr">
        <is>
          <t>14周</t>
        </is>
      </c>
      <c r="S465" t="inlineStr">
        <is>
          <t>1.53</t>
        </is>
      </c>
      <c r="T465" t="inlineStr">
        <is>
          <t>家居生活</t>
        </is>
      </c>
      <c r="U465" t="inlineStr">
        <is>
          <t>家居日用</t>
        </is>
      </c>
      <c r="V465" s="3">
        <v>46112.78107638889</v>
      </c>
      <c r="W465" t="inlineStr">
        <is>
          <t>2026-Q1</t>
        </is>
      </c>
    </row>
    <row r="466" ht="25.5" customHeight="1">
      <c r="A466" t="inlineStr">
        <is>
          <t>工装裤女美式复古百搭速干阔腿裤春夏新款垂感宽松显瘦休闲运动裤</t>
        </is>
      </c>
      <c r="B466" t="inlineStr">
        <is>
          <t>recvf5pAkIxbjW.jpg</t>
        </is>
      </c>
      <c r="C466" s="2" t="str">
        <f>=HYPERLINK("https://xhslink.com/m/4iorsy9yjME", "https://xhslink.com/m/4iorsy9yjME")</f>
        <v>https://xhslink.com/m/4iorsy9yjME</v>
      </c>
      <c r="D466"/>
      <c r="E466">
        <v>190000</v>
      </c>
      <c r="F466">
        <v>69.9</v>
      </c>
      <c r="G466"/>
      <c r="H466">
        <v>600</v>
      </c>
      <c r="I466" t="inlineStr">
        <is>
          <t>休闲裤</t>
        </is>
      </c>
      <c r="J466" t="inlineStr">
        <is>
          <t>0.00</t>
        </is>
      </c>
      <c r="K466"/>
      <c r="L466" t="inlineStr">
        <is>
          <t>小鹅学姐穿搭的店的店</t>
        </is>
      </c>
      <c r="M466">
        <v>229000</v>
      </c>
      <c r="N466">
        <v>4.4</v>
      </c>
      <c r="O466">
        <v>1497000</v>
      </c>
      <c r="P466" t="inlineStr">
        <is>
          <t>67b43af5d684d70015c570bb</t>
        </is>
      </c>
      <c r="Q466" t="inlineStr">
        <is>
          <t>🚫重复</t>
        </is>
      </c>
      <c r="R466" t="inlineStr">
        <is>
          <t>14周</t>
        </is>
      </c>
      <c r="S466" t="inlineStr">
        <is>
          <t>0.83</t>
        </is>
      </c>
      <c r="T466" t="inlineStr">
        <is>
          <t>服饰穿搭</t>
        </is>
      </c>
      <c r="U466" t="inlineStr">
        <is>
          <t>女装</t>
        </is>
      </c>
      <c r="V466" s="3">
        <v>46112.78107638889</v>
      </c>
      <c r="W466" t="inlineStr">
        <is>
          <t>2026-Q1</t>
        </is>
      </c>
    </row>
    <row r="467" ht="25.5" customHeight="1">
      <c r="A467" t="inlineStr">
        <is>
          <t>Lesacha澜石！25新款运动百搭宽松直筒格子休闲裤（24249/24349）</t>
        </is>
      </c>
      <c r="B467" t="inlineStr">
        <is>
          <t>recvf5pAkI6ofl.jpg</t>
        </is>
      </c>
      <c r="C467" s="2" t="str">
        <f>=HYPERLINK("https://xhslink.com/m/Arg8ci6qyQ9", "https://xhslink.com/m/Arg8ci6qyQ9")</f>
        <v>https://xhslink.com/m/Arg8ci6qyQ9</v>
      </c>
      <c r="D467"/>
      <c r="E467">
        <v>5861</v>
      </c>
      <c r="F467">
        <v>99.99</v>
      </c>
      <c r="G467"/>
      <c r="H467">
        <v>600</v>
      </c>
      <c r="I467" t="inlineStr">
        <is>
          <t>运动裤</t>
        </is>
      </c>
      <c r="J467" t="inlineStr">
        <is>
          <t>0.10</t>
        </is>
      </c>
      <c r="K467" t="inlineStr">
        <is>
          <t>🔥低粉爆款</t>
        </is>
      </c>
      <c r="L467" t="inlineStr">
        <is>
          <t>澜石服装的店</t>
        </is>
      </c>
      <c r="M467">
        <v>481</v>
      </c>
      <c r="N467">
        <v>4.63</v>
      </c>
      <c r="O467">
        <v>57000</v>
      </c>
      <c r="P467" t="inlineStr">
        <is>
          <t>68aced71403edf00153adf42</t>
        </is>
      </c>
      <c r="Q467"/>
      <c r="R467" t="inlineStr">
        <is>
          <t>14周</t>
        </is>
      </c>
      <c r="S467" t="inlineStr">
        <is>
          <t>12.19</t>
        </is>
      </c>
      <c r="T467" t="inlineStr">
        <is>
          <t>服饰穿搭</t>
        </is>
      </c>
      <c r="U467" t="inlineStr">
        <is>
          <t>女装</t>
        </is>
      </c>
      <c r="V467" s="3">
        <v>46112.78107638889</v>
      </c>
      <c r="W467" t="inlineStr">
        <is>
          <t>2026-Q1</t>
        </is>
      </c>
    </row>
    <row r="468" ht="25.5" customHeight="1">
      <c r="A468" t="inlineStr">
        <is>
          <t>Cocooo苹果红薄底赛车鞋2026年春季款百搭拼色休闲软底德训鞋2207</t>
        </is>
      </c>
      <c r="B468" t="inlineStr">
        <is>
          <t>recvfenb18Y7D9.jpg</t>
        </is>
      </c>
      <c r="C468" s="2" t="str">
        <f>=HYPERLINK("https://xhslink.com/m/8tcwm7SFXQq", "https://xhslink.com/m/8tcwm7SFXQq")</f>
        <v>https://xhslink.com/m/8tcwm7SFXQq</v>
      </c>
      <c r="D468"/>
      <c r="E468">
        <v>10000</v>
      </c>
      <c r="F468">
        <v>79.9</v>
      </c>
      <c r="G468">
        <v>69.9</v>
      </c>
      <c r="H468">
        <v>600</v>
      </c>
      <c r="I468" t="inlineStr">
        <is>
          <t>德训鞋</t>
        </is>
      </c>
      <c r="J468" t="inlineStr">
        <is>
          <t>0.06</t>
        </is>
      </c>
      <c r="K468"/>
      <c r="L468" t="inlineStr">
        <is>
          <t>Cocooo的鞋柜的店</t>
        </is>
      </c>
      <c r="M468">
        <v>57000</v>
      </c>
      <c r="N468">
        <v>4.44</v>
      </c>
      <c r="O468">
        <v>158000</v>
      </c>
      <c r="P468" t="inlineStr">
        <is>
          <t>67f49329e8f243000112a3f5</t>
        </is>
      </c>
      <c r="Q468" t="inlineStr">
        <is>
          <t>🚫重复</t>
        </is>
      </c>
      <c r="R468" t="inlineStr">
        <is>
          <t>14周</t>
        </is>
      </c>
      <c r="S468" t="inlineStr">
        <is>
          <t>0.18</t>
        </is>
      </c>
      <c r="T468" t="inlineStr">
        <is>
          <t>服饰穿搭</t>
        </is>
      </c>
      <c r="U468" t="inlineStr">
        <is>
          <t>鞋靴箱包</t>
        </is>
      </c>
      <c r="V468" s="3">
        <v>46112.78107638889</v>
      </c>
      <c r="W468" t="inlineStr">
        <is>
          <t>2026-Q1</t>
        </is>
      </c>
    </row>
    <row r="469" ht="25.5" customHeight="1">
      <c r="A469" t="inlineStr">
        <is>
          <t>晚阳 · 醋泡黑豆古方长寿之乡蒸熟开盖即食黑豆绿芯黑豆养生滋补｜230克</t>
        </is>
      </c>
      <c r="B469" t="inlineStr">
        <is>
          <t>recvfenb18aCkK.jpg</t>
        </is>
      </c>
      <c r="C469" s="2" t="str">
        <f>=HYPERLINK("https://xhslink.com/m/4cX9ZHMY2dI", "https://xhslink.com/m/4cX9ZHMY2dI")</f>
        <v>https://xhslink.com/m/4cX9ZHMY2dI</v>
      </c>
      <c r="D469"/>
      <c r="E469">
        <v>57000</v>
      </c>
      <c r="F469">
        <v>89.8</v>
      </c>
      <c r="G469">
        <v>64.8</v>
      </c>
      <c r="H469">
        <v>600</v>
      </c>
      <c r="I469" t="inlineStr">
        <is>
          <t>养生茶</t>
        </is>
      </c>
      <c r="J469" t="inlineStr">
        <is>
          <t>0.01</t>
        </is>
      </c>
      <c r="K469" t="inlineStr">
        <is>
          <t>🔥低粉爆款</t>
        </is>
      </c>
      <c r="L469" t="inlineStr">
        <is>
          <t>晚阳旗舰店</t>
        </is>
      </c>
      <c r="M469">
        <v>12000</v>
      </c>
      <c r="N469">
        <v>4.8</v>
      </c>
      <c r="O469">
        <v>70000</v>
      </c>
      <c r="P469" t="inlineStr">
        <is>
          <t>678c8ccd29b9f70001d630cf</t>
        </is>
      </c>
      <c r="Q469" t="inlineStr">
        <is>
          <t>🚫重复</t>
        </is>
      </c>
      <c r="R469" t="inlineStr">
        <is>
          <t>14周</t>
        </is>
      </c>
      <c r="S469" t="inlineStr">
        <is>
          <t>4.75</t>
        </is>
      </c>
      <c r="T469" t="inlineStr">
        <is>
          <t>美食滋补</t>
        </is>
      </c>
      <c r="U469" t="inlineStr">
        <is>
          <t>酒水冲饮</t>
        </is>
      </c>
      <c r="V469" s="3">
        <v>46112.78107638889</v>
      </c>
      <c r="W469" t="inlineStr">
        <is>
          <t>2026-Q1</t>
        </is>
      </c>
    </row>
    <row r="470" ht="25.5" customHeight="1">
      <c r="A470" t="inlineStr">
        <is>
          <t>基础款圆领正肩短袖t恤纯棉打底体恤显瘦修身气质大码上衣女</t>
        </is>
      </c>
      <c r="B470" t="inlineStr">
        <is>
          <t>recvfenb18Cbuu.jpg</t>
        </is>
      </c>
      <c r="C470" s="2" t="str">
        <f>=HYPERLINK("https://xhslink.com/m/2D5hcnWp2ws", "https://xhslink.com/m/2D5hcnWp2ws")</f>
        <v>https://xhslink.com/m/2D5hcnWp2ws</v>
      </c>
      <c r="D470"/>
      <c r="E470">
        <v>118000</v>
      </c>
      <c r="F470">
        <v>69</v>
      </c>
      <c r="G470"/>
      <c r="H470">
        <v>600</v>
      </c>
      <c r="I470" t="inlineStr">
        <is>
          <t>T恤</t>
        </is>
      </c>
      <c r="J470" t="inlineStr">
        <is>
          <t>0.01</t>
        </is>
      </c>
      <c r="K470"/>
      <c r="L470" t="inlineStr">
        <is>
          <t>夕文的店</t>
        </is>
      </c>
      <c r="M470">
        <v>56000</v>
      </c>
      <c r="N470">
        <v>4.64</v>
      </c>
      <c r="O470">
        <v>273000</v>
      </c>
      <c r="P470" t="inlineStr">
        <is>
          <t>663ef932fa6f29000113bd6b</t>
        </is>
      </c>
      <c r="Q470" t="inlineStr">
        <is>
          <t>🚫重复</t>
        </is>
      </c>
      <c r="R470" t="inlineStr">
        <is>
          <t>14周</t>
        </is>
      </c>
      <c r="S470" t="inlineStr">
        <is>
          <t>2.11</t>
        </is>
      </c>
      <c r="T470" t="inlineStr">
        <is>
          <t>服饰穿搭</t>
        </is>
      </c>
      <c r="U470" t="inlineStr">
        <is>
          <t>女装</t>
        </is>
      </c>
      <c r="V470" s="3">
        <v>46112.78107638889</v>
      </c>
      <c r="W470" t="inlineStr">
        <is>
          <t>2026-Q1</t>
        </is>
      </c>
    </row>
    <row r="471" ht="25.5" customHeight="1">
      <c r="A471" t="inlineStr">
        <is>
          <t>【顺丰特快/空运】云南蓝莓抚仙湖蓝莓高山蓝莓25号花香蓝莓</t>
        </is>
      </c>
      <c r="B471" t="inlineStr">
        <is>
          <t>recvfenb18vzQ3.jpg</t>
        </is>
      </c>
      <c r="C471" s="2" t="str">
        <f>=HYPERLINK("https://xhslink.com/m/8k7Kb5yZ1Ub", "https://xhslink.com/m/8k7Kb5yZ1Ub")</f>
        <v>https://xhslink.com/m/8k7Kb5yZ1Ub</v>
      </c>
      <c r="D471"/>
      <c r="E471">
        <v>433000</v>
      </c>
      <c r="F471">
        <v>81.8</v>
      </c>
      <c r="G471"/>
      <c r="H471">
        <v>600</v>
      </c>
      <c r="I471" t="inlineStr">
        <is>
          <t>时令水果</t>
        </is>
      </c>
      <c r="J471" t="inlineStr">
        <is>
          <t>0.00</t>
        </is>
      </c>
      <c r="K471"/>
      <c r="L471" t="inlineStr">
        <is>
          <t>洋洋乡村生活~的店</t>
        </is>
      </c>
      <c r="M471">
        <v>147000</v>
      </c>
      <c r="N471">
        <v>4.62</v>
      </c>
      <c r="O471">
        <v>1792000</v>
      </c>
      <c r="P471" t="inlineStr">
        <is>
          <t>67d9157b5fc3f7000134f524</t>
        </is>
      </c>
      <c r="Q471" t="inlineStr">
        <is>
          <t>🚫重复</t>
        </is>
      </c>
      <c r="R471" t="inlineStr">
        <is>
          <t>14周</t>
        </is>
      </c>
      <c r="S471" t="inlineStr">
        <is>
          <t>2.95</t>
        </is>
      </c>
      <c r="T471" t="inlineStr">
        <is>
          <t>美食滋补</t>
        </is>
      </c>
      <c r="U471" t="inlineStr">
        <is>
          <t>生鲜特产</t>
        </is>
      </c>
      <c r="V471" s="3">
        <v>46112.78107638889</v>
      </c>
      <c r="W471" t="inlineStr">
        <is>
          <t>2026-Q1</t>
        </is>
      </c>
    </row>
    <row r="472" ht="25.5" customHeight="1">
      <c r="A472" t="inlineStr">
        <is>
          <t>光和手感 · 【39.5任选5款——加入购物车结算自动改价】手作代餐欧包面包</t>
        </is>
      </c>
      <c r="B472" t="inlineStr">
        <is>
          <t>recvfjOYGLaq1P.jpg</t>
        </is>
      </c>
      <c r="C472" s="2" t="str">
        <f>=HYPERLINK("https://xhslink.com/m/194sSR2qTvZ", "https://xhslink.com/m/194sSR2qTvZ")</f>
        <v>https://xhslink.com/m/194sSR2qTvZ</v>
      </c>
      <c r="D472"/>
      <c r="E472">
        <v>358000</v>
      </c>
      <c r="F472">
        <v>16.8</v>
      </c>
      <c r="G472">
        <v>6.1</v>
      </c>
      <c r="H472">
        <v>600</v>
      </c>
      <c r="I472" t="inlineStr">
        <is>
          <t>面包早餐</t>
        </is>
      </c>
      <c r="J472" t="inlineStr">
        <is>
          <t>0.00</t>
        </is>
      </c>
      <c r="K472"/>
      <c r="L472" t="inlineStr">
        <is>
          <t>光和手感的店</t>
        </is>
      </c>
      <c r="M472">
        <v>233000</v>
      </c>
      <c r="N472">
        <v>4.38</v>
      </c>
      <c r="O472">
        <v>2198000</v>
      </c>
      <c r="P472" t="inlineStr">
        <is>
          <t>64f84370f9915d00017c9327</t>
        </is>
      </c>
      <c r="Q472" t="inlineStr">
        <is>
          <t>🚫重复</t>
        </is>
      </c>
      <c r="R472" t="inlineStr">
        <is>
          <t>14周</t>
        </is>
      </c>
      <c r="S472" t="inlineStr">
        <is>
          <t>1.54</t>
        </is>
      </c>
      <c r="T472" t="inlineStr">
        <is>
          <t>美食滋补</t>
        </is>
      </c>
      <c r="U472" t="inlineStr">
        <is>
          <t>休闲零食</t>
        </is>
      </c>
      <c r="V472" s="3">
        <v>46112.78107638889</v>
      </c>
      <c r="W472" t="inlineStr">
        <is>
          <t>2026-Q1</t>
        </is>
      </c>
    </row>
    <row r="473" ht="25.5" customHeight="1">
      <c r="A473" t="inlineStr">
        <is>
          <t>『红心牛奶木瓜』新鲜自然成熟热带水果现摘现发新鲜孕妇下奶</t>
        </is>
      </c>
      <c r="B473" t="inlineStr">
        <is>
          <t>recvfjOYGLh25G.jpg</t>
        </is>
      </c>
      <c r="C473" s="2" t="str">
        <f>=HYPERLINK("https://xhslink.com/m/7O97vtE9Ciq", "https://xhslink.com/m/7O97vtE9Ciq")</f>
        <v>https://xhslink.com/m/7O97vtE9Ciq</v>
      </c>
      <c r="D473"/>
      <c r="E473">
        <v>23000</v>
      </c>
      <c r="F473">
        <v>43.8</v>
      </c>
      <c r="G473">
        <v>29.8</v>
      </c>
      <c r="H473">
        <v>600</v>
      </c>
      <c r="I473" t="inlineStr">
        <is>
          <t>水果</t>
        </is>
      </c>
      <c r="J473" t="inlineStr">
        <is>
          <t>0.03</t>
        </is>
      </c>
      <c r="K473" t="inlineStr">
        <is>
          <t>🔥低粉爆款</t>
        </is>
      </c>
      <c r="L473" t="inlineStr">
        <is>
          <t>贝塔果铺的店</t>
        </is>
      </c>
      <c r="M473">
        <v>31</v>
      </c>
      <c r="N473">
        <v>4.56</v>
      </c>
      <c r="O473">
        <v>5265</v>
      </c>
      <c r="P473" t="inlineStr">
        <is>
          <t>699ea15987daa000015ff5a1</t>
        </is>
      </c>
      <c r="Q473"/>
      <c r="R473" t="inlineStr">
        <is>
          <t>14周</t>
        </is>
      </c>
      <c r="S473" t="inlineStr">
        <is>
          <t>741.94</t>
        </is>
      </c>
      <c r="T473" t="inlineStr">
        <is>
          <t>美食滋补</t>
        </is>
      </c>
      <c r="U473" t="inlineStr">
        <is>
          <t>酒水冲饮</t>
        </is>
      </c>
      <c r="V473" s="3">
        <v>46112.78107638889</v>
      </c>
      <c r="W473" t="inlineStr">
        <is>
          <t>2026-Q1</t>
        </is>
      </c>
    </row>
    <row r="474" ht="25.5" customHeight="1">
      <c r="A474" t="inlineStr">
        <is>
          <t>安踏 · 云感软底舒适跑步鞋女子夏季轻质透气运动鞋缓震跳绳鞋922525537</t>
        </is>
      </c>
      <c r="B474" t="inlineStr">
        <is>
          <t>recvfjOYGLiBaC.jpg</t>
        </is>
      </c>
      <c r="C474" s="2" t="str">
        <f>=HYPERLINK("https://xhslink.com/m/7ie7B3l08fQ", "https://xhslink.com/m/7ie7B3l08fQ")</f>
        <v>https://xhslink.com/m/7ie7B3l08fQ</v>
      </c>
      <c r="D474"/>
      <c r="E474">
        <v>1698</v>
      </c>
      <c r="F474">
        <v>399</v>
      </c>
      <c r="G474">
        <v>186</v>
      </c>
      <c r="H474">
        <v>600</v>
      </c>
      <c r="I474" t="inlineStr">
        <is>
          <t>跑步</t>
        </is>
      </c>
      <c r="J474" t="inlineStr">
        <is>
          <t>0.35</t>
        </is>
      </c>
      <c r="K474"/>
      <c r="L474" t="inlineStr">
        <is>
          <t>安踏旗舰店</t>
        </is>
      </c>
      <c r="M474">
        <v>242000</v>
      </c>
      <c r="N474">
        <v>4.61</v>
      </c>
      <c r="O474">
        <v>157000</v>
      </c>
      <c r="P474" t="inlineStr">
        <is>
          <t>67e3d3d415a1180015569bea</t>
        </is>
      </c>
      <c r="Q474" t="inlineStr">
        <is>
          <t>🚫重复</t>
        </is>
      </c>
      <c r="R474" t="inlineStr">
        <is>
          <t>14周</t>
        </is>
      </c>
      <c r="S474" t="inlineStr">
        <is>
          <t>0.01</t>
        </is>
      </c>
      <c r="T474" t="inlineStr">
        <is>
          <t>运动潮玩</t>
        </is>
      </c>
      <c r="U474" t="inlineStr">
        <is>
          <t>运动户外装备</t>
        </is>
      </c>
      <c r="V474" s="3">
        <v>46112.78107638889</v>
      </c>
      <c r="W474" t="inlineStr">
        <is>
          <t>2026-Q1</t>
        </is>
      </c>
    </row>
    <row r="475" ht="25.5" customHeight="1">
      <c r="A475" t="inlineStr">
        <is>
          <t>【48小时发】美式黑蓝牛仔裤显瘦宽松阔腿拖地裤【掉色介意慎拍】</t>
        </is>
      </c>
      <c r="B475" t="inlineStr">
        <is>
          <t>recvfqmLqZhZWj.jpg</t>
        </is>
      </c>
      <c r="C475" s="2" t="str">
        <f>=HYPERLINK("https://xhslink.com/m/5dEWlclvrjL", "https://xhslink.com/m/5dEWlclvrjL")</f>
        <v>https://xhslink.com/m/5dEWlclvrjL</v>
      </c>
      <c r="D475"/>
      <c r="E475">
        <v>39000</v>
      </c>
      <c r="F475">
        <v>199</v>
      </c>
      <c r="G475">
        <v>89.99</v>
      </c>
      <c r="H475">
        <v>600</v>
      </c>
      <c r="I475" t="inlineStr">
        <is>
          <t>牛仔裤</t>
        </is>
      </c>
      <c r="J475" t="inlineStr">
        <is>
          <t>0.02</t>
        </is>
      </c>
      <c r="K475" t="inlineStr">
        <is>
          <t>🔥低粉爆款</t>
        </is>
      </c>
      <c r="L475" t="inlineStr">
        <is>
          <t>一只雯的店</t>
        </is>
      </c>
      <c r="M475">
        <v>12000</v>
      </c>
      <c r="N475">
        <v>4.58</v>
      </c>
      <c r="O475">
        <v>253000</v>
      </c>
      <c r="P475" t="inlineStr">
        <is>
          <t>67c682197198db0001860175</t>
        </is>
      </c>
      <c r="Q475" t="inlineStr">
        <is>
          <t>🚫重复</t>
        </is>
      </c>
      <c r="R475" t="inlineStr">
        <is>
          <t>14周</t>
        </is>
      </c>
      <c r="S475" t="inlineStr">
        <is>
          <t>3.25</t>
        </is>
      </c>
      <c r="T475" t="inlineStr">
        <is>
          <t>服饰穿搭</t>
        </is>
      </c>
      <c r="U475" t="inlineStr">
        <is>
          <t>女装</t>
        </is>
      </c>
      <c r="V475" s="3">
        <v>46112.78107638889</v>
      </c>
      <c r="W475" t="inlineStr">
        <is>
          <t>2026-Q1</t>
        </is>
      </c>
    </row>
    <row r="476" ht="25.5" customHeight="1">
      <c r="A476" t="inlineStr">
        <is>
          <t>小个子梨形身材美式复古宽松阔腿裤设计感口袋百搭显瘦弯刀牛仔裤</t>
        </is>
      </c>
      <c r="B476" t="inlineStr">
        <is>
          <t>recvfqmLqZY5uy.jpg</t>
        </is>
      </c>
      <c r="C476" s="2" t="str">
        <f>=HYPERLINK("https://xhslink.com/m/9drz2ojMNgl", "https://xhslink.com/m/9drz2ojMNgl")</f>
        <v>https://xhslink.com/m/9drz2ojMNgl</v>
      </c>
      <c r="D476"/>
      <c r="E476">
        <v>35000</v>
      </c>
      <c r="F476">
        <v>218</v>
      </c>
      <c r="G476">
        <v>98</v>
      </c>
      <c r="H476">
        <v>600</v>
      </c>
      <c r="I476" t="inlineStr">
        <is>
          <t>牛仔裤</t>
        </is>
      </c>
      <c r="J476" t="inlineStr">
        <is>
          <t>0.02</t>
        </is>
      </c>
      <c r="K476" t="inlineStr">
        <is>
          <t>🔥低粉爆款</t>
        </is>
      </c>
      <c r="L476" t="inlineStr">
        <is>
          <t>郑源源的店</t>
        </is>
      </c>
      <c r="M476">
        <v>775</v>
      </c>
      <c r="N476">
        <v>4.61</v>
      </c>
      <c r="O476">
        <v>43000</v>
      </c>
      <c r="P476" t="inlineStr">
        <is>
          <t>68d93b30d3eed20001e963d1</t>
        </is>
      </c>
      <c r="Q476" t="inlineStr">
        <is>
          <t>🚫重复</t>
        </is>
      </c>
      <c r="R476" t="inlineStr">
        <is>
          <t>14周</t>
        </is>
      </c>
      <c r="S476" t="inlineStr">
        <is>
          <t>45.16</t>
        </is>
      </c>
      <c r="T476" t="inlineStr">
        <is>
          <t>服饰穿搭</t>
        </is>
      </c>
      <c r="U476" t="inlineStr">
        <is>
          <t>女装</t>
        </is>
      </c>
      <c r="V476" s="3">
        <v>46112.78107638889</v>
      </c>
      <c r="W476" t="inlineStr">
        <is>
          <t>2026-Q1</t>
        </is>
      </c>
    </row>
    <row r="477" ht="25.5" customHeight="1">
      <c r="A477" t="inlineStr">
        <is>
          <t>铭创优趣长脖子动物毛绒玩具邪恶挂件可爱治愈挂饰装饰玩偶送礼物</t>
        </is>
      </c>
      <c r="B477" t="inlineStr">
        <is>
          <t>recvfqmLqZXxlt.jpg</t>
        </is>
      </c>
      <c r="C477" s="2" t="str">
        <f>=HYPERLINK("https://xhslink.com/m/5nwhu0U9BF6", "https://xhslink.com/m/5nwhu0U9BF6")</f>
        <v>https://xhslink.com/m/5nwhu0U9BF6</v>
      </c>
      <c r="D477"/>
      <c r="E477">
        <v>2726</v>
      </c>
      <c r="F477">
        <v>19.8</v>
      </c>
      <c r="G477"/>
      <c r="H477">
        <v>600</v>
      </c>
      <c r="I477" t="inlineStr">
        <is>
          <t>毛绒玩偶</t>
        </is>
      </c>
      <c r="J477" t="inlineStr">
        <is>
          <t>0.22</t>
        </is>
      </c>
      <c r="K477"/>
      <c r="L477" t="inlineStr">
        <is>
          <t>铭创优趣的店</t>
        </is>
      </c>
      <c r="M477">
        <v>123000</v>
      </c>
      <c r="N477">
        <v>4.53</v>
      </c>
      <c r="O477">
        <v>112000</v>
      </c>
      <c r="P477" t="inlineStr">
        <is>
          <t>69afedce3250830001b4f5a0</t>
        </is>
      </c>
      <c r="Q477" t="inlineStr">
        <is>
          <t>🚫重复</t>
        </is>
      </c>
      <c r="R477" t="inlineStr">
        <is>
          <t>14周</t>
        </is>
      </c>
      <c r="S477" t="inlineStr">
        <is>
          <t>0.02</t>
        </is>
      </c>
      <c r="T477" t="inlineStr">
        <is>
          <t>母婴亲子</t>
        </is>
      </c>
      <c r="U477" t="inlineStr">
        <is>
          <t>玩具早教</t>
        </is>
      </c>
      <c r="V477" s="3">
        <v>46112.78107638889</v>
      </c>
      <c r="W477" t="inlineStr">
        <is>
          <t>2026-Q1</t>
        </is>
      </c>
    </row>
    <row r="478" ht="25.5" customHeight="1">
      <c r="A478" t="inlineStr">
        <is>
          <t>手作四叶草八音盒手摇亚克力音乐盒</t>
        </is>
      </c>
      <c r="B478" t="inlineStr">
        <is>
          <t>recvfqmLqZXuY5.jpg</t>
        </is>
      </c>
      <c r="C478" s="2" t="str">
        <f>=HYPERLINK("https://xhslink.com/m/9fzRiycgHEA", "https://xhslink.com/m/9fzRiycgHEA")</f>
        <v>https://xhslink.com/m/9fzRiycgHEA</v>
      </c>
      <c r="D478"/>
      <c r="E478">
        <v>1051</v>
      </c>
      <c r="F478">
        <v>19.99</v>
      </c>
      <c r="G478"/>
      <c r="H478">
        <v>600</v>
      </c>
      <c r="I478" t="inlineStr">
        <is>
          <t>小物件</t>
        </is>
      </c>
      <c r="J478" t="inlineStr">
        <is>
          <t>0.57</t>
        </is>
      </c>
      <c r="K478"/>
      <c r="L478" t="inlineStr">
        <is>
          <t>小姜炒蘑菇的店</t>
        </is>
      </c>
      <c r="M478">
        <v>11000</v>
      </c>
      <c r="N478">
        <v>4.47</v>
      </c>
      <c r="O478">
        <v>9944</v>
      </c>
      <c r="P478" t="inlineStr">
        <is>
          <t>694ac3db6a3f3f00016ac441</t>
        </is>
      </c>
      <c r="Q478"/>
      <c r="R478" t="inlineStr">
        <is>
          <t>14周</t>
        </is>
      </c>
      <c r="S478" t="inlineStr">
        <is>
          <t>0.10</t>
        </is>
      </c>
      <c r="T478" t="inlineStr">
        <is>
          <t>运动潮玩</t>
        </is>
      </c>
      <c r="U478" t="inlineStr">
        <is>
          <t>潮玩手办</t>
        </is>
      </c>
      <c r="V478" s="3">
        <v>46112.78107638889</v>
      </c>
      <c r="W478" t="inlineStr">
        <is>
          <t>2026-Q1</t>
        </is>
      </c>
    </row>
    <row r="479" ht="25.5" customHeight="1">
      <c r="A479" t="inlineStr">
        <is>
          <t>星星手提单肩包 水桶包 韩系百搭通勤包包</t>
        </is>
      </c>
      <c r="B479" t="inlineStr">
        <is>
          <t>recvfqmLqZLVC7.jpg</t>
        </is>
      </c>
      <c r="C479" s="2" t="str">
        <f>=HYPERLINK("https://xhslink.com/m/9mpRnqUUY0u", "https://xhslink.com/m/9mpRnqUUY0u")</f>
        <v>https://xhslink.com/m/9mpRnqUUY0u</v>
      </c>
      <c r="D479"/>
      <c r="E479">
        <v>7199</v>
      </c>
      <c r="F479">
        <v>35</v>
      </c>
      <c r="G479">
        <v>25</v>
      </c>
      <c r="H479">
        <v>600</v>
      </c>
      <c r="I479" t="inlineStr">
        <is>
          <t>韩系包包</t>
        </is>
      </c>
      <c r="J479" t="inlineStr">
        <is>
          <t>0.08</t>
        </is>
      </c>
      <c r="K479"/>
      <c r="L479" t="inlineStr">
        <is>
          <t>Ciaaaa_的店</t>
        </is>
      </c>
      <c r="M479">
        <v>2682</v>
      </c>
      <c r="N479">
        <v>4.6</v>
      </c>
      <c r="O479">
        <v>113000</v>
      </c>
      <c r="P479" t="inlineStr">
        <is>
          <t>6901b49804ab190001de4f21</t>
        </is>
      </c>
      <c r="Q479" t="inlineStr">
        <is>
          <t>🚫重复</t>
        </is>
      </c>
      <c r="R479" t="inlineStr">
        <is>
          <t>14周</t>
        </is>
      </c>
      <c r="S479" t="inlineStr">
        <is>
          <t>2.68</t>
        </is>
      </c>
      <c r="T479" t="inlineStr">
        <is>
          <t>服饰穿搭</t>
        </is>
      </c>
      <c r="U479" t="inlineStr">
        <is>
          <t>鞋靴箱包</t>
        </is>
      </c>
      <c r="V479" s="3">
        <v>46112.78107638889</v>
      </c>
      <c r="W479" t="inlineStr">
        <is>
          <t>2026-Q1</t>
        </is>
      </c>
    </row>
    <row r="480" ht="25.5" customHeight="1">
      <c r="A480" t="inlineStr">
        <is>
          <t>随机花材普快基地直发售后无忧</t>
        </is>
      </c>
      <c r="B480" t="inlineStr">
        <is>
          <t>recvfvVmDwKkV5.jpg</t>
        </is>
      </c>
      <c r="C480" s="2" t="str">
        <f>=HYPERLINK("https://xhslink.com/m/3nSGKk7dX3J", "https://xhslink.com/m/3nSGKk7dX3J")</f>
        <v>https://xhslink.com/m/3nSGKk7dX3J</v>
      </c>
      <c r="D480"/>
      <c r="E480">
        <v>192000</v>
      </c>
      <c r="F480">
        <v>19.9</v>
      </c>
      <c r="G480"/>
      <c r="H480">
        <v>600</v>
      </c>
      <c r="I480" t="inlineStr">
        <is>
          <t>鲜花</t>
        </is>
      </c>
      <c r="J480" t="inlineStr">
        <is>
          <t>0.00</t>
        </is>
      </c>
      <c r="K480" t="inlineStr">
        <is>
          <t>🔥低粉爆款</t>
        </is>
      </c>
      <c r="L480" t="inlineStr">
        <is>
          <t>长花原野的店</t>
        </is>
      </c>
      <c r="M480">
        <v>32000</v>
      </c>
      <c r="N480">
        <v>4.04</v>
      </c>
      <c r="O480">
        <v>224000</v>
      </c>
      <c r="P480" t="inlineStr">
        <is>
          <t>69ac32c8dd2f440001179cbb</t>
        </is>
      </c>
      <c r="Q480" t="inlineStr">
        <is>
          <t>🚫重复</t>
        </is>
      </c>
      <c r="R480" t="inlineStr">
        <is>
          <t>14周</t>
        </is>
      </c>
      <c r="S480" t="inlineStr">
        <is>
          <t>6.00</t>
        </is>
      </c>
      <c r="T480" t="inlineStr">
        <is>
          <t>家居生活</t>
        </is>
      </c>
      <c r="U480" t="inlineStr">
        <is>
          <t>家具家装</t>
        </is>
      </c>
      <c r="V480" s="3">
        <v>46113.55826388889</v>
      </c>
      <c r="W480" t="inlineStr">
        <is>
          <t>2026-Q2</t>
        </is>
      </c>
    </row>
    <row r="481" ht="25.5" customHeight="1">
      <c r="A481" t="inlineStr">
        <is>
          <t>不锈钢淘米筛豆浆过滤网果汁芝麻筛家用厨房捞面捞勺超细面粉筛</t>
        </is>
      </c>
      <c r="B481" t="inlineStr">
        <is>
          <t>recvfvVmDwoSld.jpg</t>
        </is>
      </c>
      <c r="C481" s="2" t="str">
        <f>=HYPERLINK("https://xhslink.com/m/y5ruXKfljV", "https://xhslink.com/m/y5ruXKfljV")</f>
        <v>https://xhslink.com/m/y5ruXKfljV</v>
      </c>
      <c r="D481"/>
      <c r="E481">
        <v>32000</v>
      </c>
      <c r="F481">
        <v>24.9</v>
      </c>
      <c r="G481">
        <v>16.9</v>
      </c>
      <c r="H481">
        <v>600</v>
      </c>
      <c r="I481" t="inlineStr">
        <is>
          <t>厨房用品</t>
        </is>
      </c>
      <c r="J481" t="inlineStr">
        <is>
          <t>0.02</t>
        </is>
      </c>
      <c r="K481"/>
      <c r="L481" t="inlineStr">
        <is>
          <t>我是静静吖的店</t>
        </is>
      </c>
      <c r="M481">
        <v>208000</v>
      </c>
      <c r="N481">
        <v>4.71</v>
      </c>
      <c r="O481">
        <v>1049000</v>
      </c>
      <c r="P481" t="inlineStr">
        <is>
          <t>6968dc76c3771c001500ef8c</t>
        </is>
      </c>
      <c r="Q481" t="inlineStr">
        <is>
          <t>🚫重复</t>
        </is>
      </c>
      <c r="R481" t="inlineStr">
        <is>
          <t>14周</t>
        </is>
      </c>
      <c r="S481" t="inlineStr">
        <is>
          <t>0.15</t>
        </is>
      </c>
      <c r="T481" t="inlineStr">
        <is>
          <t>美食滋补</t>
        </is>
      </c>
      <c r="U481" t="inlineStr">
        <is>
          <t>酒水冲饮</t>
        </is>
      </c>
      <c r="V481" s="3">
        <v>46113.55826388889</v>
      </c>
      <c r="W481" t="inlineStr">
        <is>
          <t>2026-Q2</t>
        </is>
      </c>
    </row>
    <row r="482" ht="25.5" customHeight="1">
      <c r="A482" t="inlineStr">
        <is>
          <t>早八伪素颜2.0！！五分袖纸片人软糯羊毛中袖春夏针织打底衫</t>
        </is>
      </c>
      <c r="B482" t="inlineStr">
        <is>
          <t>recvfD7quwNhu3.jpg</t>
        </is>
      </c>
      <c r="C482" s="2" t="str">
        <f>=HYPERLINK("https://xhslink.com/m/3u0ZvWhp3Tl", "https://xhslink.com/m/3u0ZvWhp3Tl")</f>
        <v>https://xhslink.com/m/3u0ZvWhp3Tl</v>
      </c>
      <c r="D482"/>
      <c r="E482">
        <v>4880</v>
      </c>
      <c r="F482">
        <v>119</v>
      </c>
      <c r="G482"/>
      <c r="H482">
        <v>600</v>
      </c>
      <c r="I482" t="inlineStr">
        <is>
          <t>夏天上衣</t>
        </is>
      </c>
      <c r="J482" t="inlineStr">
        <is>
          <t>0.12</t>
        </is>
      </c>
      <c r="K482"/>
      <c r="L482" t="inlineStr">
        <is>
          <t>MOMOPLUS的店</t>
        </is>
      </c>
      <c r="M482">
        <v>126000</v>
      </c>
      <c r="N482">
        <v>4.66</v>
      </c>
      <c r="O482">
        <v>690000</v>
      </c>
      <c r="P482" t="inlineStr">
        <is>
          <t>69a81bc6301443000178a5c5</t>
        </is>
      </c>
      <c r="Q482" t="inlineStr">
        <is>
          <t>🚫重复</t>
        </is>
      </c>
      <c r="R482" t="inlineStr">
        <is>
          <t>14周</t>
        </is>
      </c>
      <c r="S482" t="inlineStr">
        <is>
          <t>0.04</t>
        </is>
      </c>
      <c r="T482" t="inlineStr">
        <is>
          <t>服饰穿搭</t>
        </is>
      </c>
      <c r="U482" t="inlineStr">
        <is>
          <t>女装</t>
        </is>
      </c>
      <c r="V482" s="3">
        <v>46114.78872685185</v>
      </c>
      <c r="W482" t="inlineStr">
        <is>
          <t>2026-Q2</t>
        </is>
      </c>
    </row>
    <row r="483" ht="25.5" customHeight="1">
      <c r="A483" t="inlineStr">
        <is>
          <t>【顺丰特快/空运】云南蓝莓抚仙湖蓝莓高山蓝莓25号花香蓝莓</t>
        </is>
      </c>
      <c r="B483" t="inlineStr">
        <is>
          <t>recvfD7quw1Qzj.jpg</t>
        </is>
      </c>
      <c r="C483" s="2" t="str">
        <f>=HYPERLINK("https://xhslink.com/m/8lhBUUCyeIX", "https://xhslink.com/m/8lhBUUCyeIX")</f>
        <v>https://xhslink.com/m/8lhBUUCyeIX</v>
      </c>
      <c r="D483"/>
      <c r="E483">
        <v>435000</v>
      </c>
      <c r="F483">
        <v>41.8</v>
      </c>
      <c r="G483"/>
      <c r="H483">
        <v>600</v>
      </c>
      <c r="I483" t="inlineStr">
        <is>
          <t>水果</t>
        </is>
      </c>
      <c r="J483" t="inlineStr">
        <is>
          <t>0.00</t>
        </is>
      </c>
      <c r="K483"/>
      <c r="L483" t="inlineStr">
        <is>
          <t>洋洋乡村生活~的店</t>
        </is>
      </c>
      <c r="M483">
        <v>147000</v>
      </c>
      <c r="N483">
        <v>4.62</v>
      </c>
      <c r="O483">
        <v>1798000</v>
      </c>
      <c r="P483" t="inlineStr">
        <is>
          <t>679ce086bac2510001a5fcec</t>
        </is>
      </c>
      <c r="Q483" t="inlineStr">
        <is>
          <t>🚫重复</t>
        </is>
      </c>
      <c r="R483" t="inlineStr">
        <is>
          <t>14周</t>
        </is>
      </c>
      <c r="S483" t="inlineStr">
        <is>
          <t>2.96</t>
        </is>
      </c>
      <c r="T483" t="inlineStr">
        <is>
          <t>美食滋补</t>
        </is>
      </c>
      <c r="U483" t="inlineStr">
        <is>
          <t>生鲜特产</t>
        </is>
      </c>
      <c r="V483" s="3">
        <v>46114.78872685185</v>
      </c>
      <c r="W483" t="inlineStr">
        <is>
          <t>2026-Q2</t>
        </is>
      </c>
    </row>
    <row r="484" ht="25.5" customHeight="1">
      <c r="A484" t="inlineStr">
        <is>
          <t>韩系氛围感碎花裙女自带内衬半身裙</t>
        </is>
      </c>
      <c r="B484" t="inlineStr">
        <is>
          <t>recvfKbRx1wOLb.jpg</t>
        </is>
      </c>
      <c r="C484" s="2" t="str">
        <f>=HYPERLINK("https://xhslink.com/m/7955S04FaAl", "https://xhslink.com/m/7955S04FaAl")</f>
        <v>https://xhslink.com/m/7955S04FaAl</v>
      </c>
      <c r="D484"/>
      <c r="E484">
        <v>49000</v>
      </c>
      <c r="F484">
        <v>89</v>
      </c>
      <c r="G484"/>
      <c r="H484">
        <v>600</v>
      </c>
      <c r="I484" t="inlineStr">
        <is>
          <t>裙子</t>
        </is>
      </c>
      <c r="J484" t="inlineStr">
        <is>
          <t>0.01</t>
        </is>
      </c>
      <c r="K484"/>
      <c r="L484" t="inlineStr">
        <is>
          <t>小小啊le的店</t>
        </is>
      </c>
      <c r="M484">
        <v>220000</v>
      </c>
      <c r="N484">
        <v>4.68</v>
      </c>
      <c r="O484">
        <v>801000</v>
      </c>
      <c r="P484" t="inlineStr">
        <is>
          <t>670bb0731d349a0001679537</t>
        </is>
      </c>
      <c r="Q484" t="inlineStr">
        <is>
          <t>🚫重复</t>
        </is>
      </c>
      <c r="R484" t="inlineStr">
        <is>
          <t>14周</t>
        </is>
      </c>
      <c r="S484" t="inlineStr">
        <is>
          <t>0.22</t>
        </is>
      </c>
      <c r="T484" t="inlineStr">
        <is>
          <t>服饰穿搭</t>
        </is>
      </c>
      <c r="U484" t="inlineStr">
        <is>
          <t>女装</t>
        </is>
      </c>
      <c r="V484" s="3">
        <v>46115.998090277775</v>
      </c>
      <c r="W484" t="inlineStr">
        <is>
          <t>2026-Q2</t>
        </is>
      </c>
    </row>
    <row r="485" ht="25.5" customHeight="1">
      <c r="A485" t="inlineStr">
        <is>
          <t>复古百搭德训鞋女舒适平底阿甘鞋新款小众时尚轻便通勤休闲鞋</t>
        </is>
      </c>
      <c r="B485" t="inlineStr">
        <is>
          <t>recvfP5nJfR6QA.jpg</t>
        </is>
      </c>
      <c r="C485" s="2" t="str">
        <f>=HYPERLINK("https://xhslink.com/m/6pfND7upVcf", "https://xhslink.com/m/6pfND7upVcf")</f>
        <v>https://xhslink.com/m/6pfND7upVcf</v>
      </c>
      <c r="D485"/>
      <c r="E485">
        <v>1159</v>
      </c>
      <c r="F485">
        <v>98</v>
      </c>
      <c r="G485">
        <v>72</v>
      </c>
      <c r="H485">
        <v>600</v>
      </c>
      <c r="I485" t="inlineStr">
        <is>
          <t>休闲鞋</t>
        </is>
      </c>
      <c r="J485" t="inlineStr">
        <is>
          <t>0.52</t>
        </is>
      </c>
      <c r="K485"/>
      <c r="L485" t="inlineStr">
        <is>
          <t>王依依YiYi的店</t>
        </is>
      </c>
      <c r="M485">
        <v>632</v>
      </c>
      <c r="N485">
        <v>4.7</v>
      </c>
      <c r="O485">
        <v>5963</v>
      </c>
      <c r="P485" t="inlineStr">
        <is>
          <t>69affc23f4a5be0001b824e3</t>
        </is>
      </c>
      <c r="Q485" t="inlineStr">
        <is>
          <t>🚫重复</t>
        </is>
      </c>
      <c r="R485" t="inlineStr">
        <is>
          <t>14周</t>
        </is>
      </c>
      <c r="S485" t="inlineStr">
        <is>
          <t>1.83</t>
        </is>
      </c>
      <c r="T485" t="inlineStr">
        <is>
          <t>服饰穿搭</t>
        </is>
      </c>
      <c r="U485" t="inlineStr">
        <is>
          <t>鞋靴箱包</t>
        </is>
      </c>
      <c r="V485" s="3">
        <v>46116.835335648146</v>
      </c>
      <c r="W485" t="inlineStr">
        <is>
          <t>2026-Q2</t>
        </is>
      </c>
    </row>
    <row r="486" ht="25.5" customHeight="1">
      <c r="A486" t="inlineStr">
        <is>
          <t>海南金煌芒甜芒果热带水果当季生熟两吃变黄食用更甜</t>
        </is>
      </c>
      <c r="B486" t="inlineStr">
        <is>
          <t>recvfVt9jWysVr.jpg</t>
        </is>
      </c>
      <c r="C486" s="2" t="str">
        <f>=HYPERLINK("https://xhslink.com/m/6VtFrmv3E3J", "https://xhslink.com/m/6VtFrmv3E3J")</f>
        <v>https://xhslink.com/m/6VtFrmv3E3J</v>
      </c>
      <c r="D486"/>
      <c r="E486">
        <v>250000</v>
      </c>
      <c r="F486">
        <v>83.8</v>
      </c>
      <c r="G486">
        <v>63.8</v>
      </c>
      <c r="H486">
        <v>600</v>
      </c>
      <c r="I486" t="inlineStr">
        <is>
          <t>水果</t>
        </is>
      </c>
      <c r="J486" t="inlineStr">
        <is>
          <t>0.00</t>
        </is>
      </c>
      <c r="K486" t="inlineStr">
        <is>
          <t>🔥低粉爆款</t>
        </is>
      </c>
      <c r="L486" t="inlineStr">
        <is>
          <t>昕昕水果园的店</t>
        </is>
      </c>
      <c r="M486">
        <v>23000</v>
      </c>
      <c r="N486">
        <v>4.52</v>
      </c>
      <c r="O486">
        <v>288000</v>
      </c>
      <c r="P486" t="inlineStr">
        <is>
          <t>67c55374f2389c0001eb402b</t>
        </is>
      </c>
      <c r="Q486" t="inlineStr">
        <is>
          <t>🚫重复</t>
        </is>
      </c>
      <c r="R486" t="inlineStr">
        <is>
          <t>14周</t>
        </is>
      </c>
      <c r="S486" t="inlineStr">
        <is>
          <t>10.87</t>
        </is>
      </c>
      <c r="T486" t="inlineStr">
        <is>
          <t>美食滋补</t>
        </is>
      </c>
      <c r="U486" t="inlineStr">
        <is>
          <t>生鲜特产</t>
        </is>
      </c>
      <c r="V486" s="3">
        <v>46117.927083333336</v>
      </c>
      <c r="W486" t="inlineStr">
        <is>
          <t>2026-Q2</t>
        </is>
      </c>
    </row>
    <row r="487" ht="25.5" customHeight="1">
      <c r="A487" t="inlineStr">
        <is>
          <t>小个子梨形身材美式复古宽松阔腿裤设计感口袋百搭显瘦弯刀牛仔裤</t>
        </is>
      </c>
      <c r="B487" t="inlineStr">
        <is>
          <t>recvfVt9jWPKgF.jpg</t>
        </is>
      </c>
      <c r="C487" s="2" t="str">
        <f>=HYPERLINK("https://xhslink.com/m/3vxmMafTKh0", "https://xhslink.com/m/3vxmMafTKh0")</f>
        <v>https://xhslink.com/m/3vxmMafTKh0</v>
      </c>
      <c r="D487"/>
      <c r="E487">
        <v>36000</v>
      </c>
      <c r="F487">
        <v>218</v>
      </c>
      <c r="G487">
        <v>98</v>
      </c>
      <c r="H487">
        <v>600</v>
      </c>
      <c r="I487" t="inlineStr">
        <is>
          <t>裤子</t>
        </is>
      </c>
      <c r="J487" t="inlineStr">
        <is>
          <t>0.02</t>
        </is>
      </c>
      <c r="K487" t="inlineStr">
        <is>
          <t>🔥低粉爆款</t>
        </is>
      </c>
      <c r="L487" t="inlineStr">
        <is>
          <t>郑源源的店</t>
        </is>
      </c>
      <c r="M487">
        <v>782</v>
      </c>
      <c r="N487">
        <v>4.6</v>
      </c>
      <c r="O487">
        <v>45000</v>
      </c>
      <c r="P487" t="inlineStr">
        <is>
          <t>68d93b30d3eed20001e963d1</t>
        </is>
      </c>
      <c r="Q487" t="inlineStr">
        <is>
          <t>🚫重复</t>
        </is>
      </c>
      <c r="R487" t="inlineStr">
        <is>
          <t>14周</t>
        </is>
      </c>
      <c r="S487" t="inlineStr">
        <is>
          <t>46.04</t>
        </is>
      </c>
      <c r="T487" t="inlineStr">
        <is>
          <t>服饰穿搭</t>
        </is>
      </c>
      <c r="U487" t="inlineStr">
        <is>
          <t>女装</t>
        </is>
      </c>
      <c r="V487" s="3">
        <v>46117.927083333336</v>
      </c>
      <c r="W487" t="inlineStr">
        <is>
          <t>2026-Q2</t>
        </is>
      </c>
    </row>
    <row r="488" ht="25.5" customHeight="1">
      <c r="A488" t="inlineStr">
        <is>
          <t>Brandy BM新款甜美粉色亚麻泡泡袖短袖上衣女bm百搭显瘦减龄T恤夏</t>
        </is>
      </c>
      <c r="B488" t="inlineStr">
        <is>
          <t>recvg1BDH59d3K.jpg</t>
        </is>
      </c>
      <c r="C488" s="2" t="str">
        <f>=HYPERLINK("https://xhslink.com/m/1XiZlBpOXJJ", "https://xhslink.com/m/1XiZlBpOXJJ")</f>
        <v>https://xhslink.com/m/1XiZlBpOXJJ</v>
      </c>
      <c r="D488"/>
      <c r="E488">
        <v>4501</v>
      </c>
      <c r="F488">
        <v>65</v>
      </c>
      <c r="G488"/>
      <c r="H488">
        <v>600</v>
      </c>
      <c r="I488" t="inlineStr">
        <is>
          <t>T恤</t>
        </is>
      </c>
      <c r="J488" t="inlineStr">
        <is>
          <t>0.13</t>
        </is>
      </c>
      <c r="K488"/>
      <c r="L488" t="inlineStr">
        <is>
          <t>浅浅家的BM的店</t>
        </is>
      </c>
      <c r="M488">
        <v>48000</v>
      </c>
      <c r="N488">
        <v>4.67</v>
      </c>
      <c r="O488">
        <v>166000</v>
      </c>
      <c r="P488" t="inlineStr">
        <is>
          <t>680b28f0c33c0800015895cf</t>
        </is>
      </c>
      <c r="Q488" t="inlineStr">
        <is>
          <t>🚫重复</t>
        </is>
      </c>
      <c r="R488" t="inlineStr">
        <is>
          <t>15周</t>
        </is>
      </c>
      <c r="S488" t="inlineStr">
        <is>
          <t>0.09</t>
        </is>
      </c>
      <c r="T488" t="inlineStr">
        <is>
          <t>服饰穿搭</t>
        </is>
      </c>
      <c r="U488" t="inlineStr">
        <is>
          <t>女装</t>
        </is>
      </c>
      <c r="V488" s="3">
        <v>46118.97659722222</v>
      </c>
      <c r="W488" t="inlineStr">
        <is>
          <t>2026-Q2</t>
        </is>
      </c>
    </row>
    <row r="489" ht="25.5" customHeight="1">
      <c r="A489" t="inlineStr">
        <is>
          <t>维特丝 · 美白沐浴露全身祛痘持久留香提亮保湿滋润女男士洗护套装品牌正品</t>
        </is>
      </c>
      <c r="B489" t="inlineStr">
        <is>
          <t>recvg1BDH5oVMq.jpg</t>
        </is>
      </c>
      <c r="C489" s="2" t="str">
        <f>=HYPERLINK("https://xhslink.com/m/zA0wl95Jmn", "https://xhslink.com/m/zA0wl95Jmn")</f>
        <v>https://xhslink.com/m/zA0wl95Jmn</v>
      </c>
      <c r="D489"/>
      <c r="E489">
        <v>57000</v>
      </c>
      <c r="F489">
        <v>109.99</v>
      </c>
      <c r="G489">
        <v>79</v>
      </c>
      <c r="H489">
        <v>600</v>
      </c>
      <c r="I489" t="inlineStr">
        <is>
          <t>美白</t>
        </is>
      </c>
      <c r="J489" t="inlineStr">
        <is>
          <t>0.01</t>
        </is>
      </c>
      <c r="K489"/>
      <c r="L489" t="inlineStr">
        <is>
          <t>维特丝个护旗舰店</t>
        </is>
      </c>
      <c r="M489">
        <v>65000</v>
      </c>
      <c r="N489">
        <v>4.52</v>
      </c>
      <c r="O489">
        <v>162000</v>
      </c>
      <c r="P489" t="inlineStr">
        <is>
          <t>68006f9ef369b20001b7ee14</t>
        </is>
      </c>
      <c r="Q489"/>
      <c r="R489" t="inlineStr">
        <is>
          <t>15周</t>
        </is>
      </c>
      <c r="S489" t="inlineStr">
        <is>
          <t>0.88</t>
        </is>
      </c>
      <c r="T489" t="inlineStr">
        <is>
          <t>美妆个护</t>
        </is>
      </c>
      <c r="U489" t="inlineStr">
        <is>
          <t>个人护理</t>
        </is>
      </c>
      <c r="V489" s="3">
        <v>46118.97659722222</v>
      </c>
      <c r="W489" t="inlineStr">
        <is>
          <t>2026-Q2</t>
        </is>
      </c>
    </row>
    <row r="490" ht="25.5" customHeight="1">
      <c r="A490" t="inlineStr">
        <is>
          <t>瑶池妙庐 · 广西金秀非遗25味瑶浴包足浴泡脚包泡澡包</t>
        </is>
      </c>
      <c r="B490" t="inlineStr">
        <is>
          <t>recvg1BDH5iuMY.jpg</t>
        </is>
      </c>
      <c r="C490" s="2" t="str">
        <f>=HYPERLINK("https://xhslink.com/m/AEycjMpuzwR", "https://xhslink.com/m/AEycjMpuzwR")</f>
        <v>https://xhslink.com/m/AEycjMpuzwR</v>
      </c>
      <c r="D490"/>
      <c r="E490">
        <v>3415</v>
      </c>
      <c r="F490">
        <v>148</v>
      </c>
      <c r="G490">
        <v>128</v>
      </c>
      <c r="H490">
        <v>600</v>
      </c>
      <c r="I490" t="inlineStr">
        <is>
          <t>浴室用品</t>
        </is>
      </c>
      <c r="J490" t="inlineStr">
        <is>
          <t>0.18</t>
        </is>
      </c>
      <c r="K490" t="inlineStr">
        <is>
          <t>🔥低粉爆款</t>
        </is>
      </c>
      <c r="L490" t="inlineStr">
        <is>
          <t>大有匠造的店</t>
        </is>
      </c>
      <c r="M490">
        <v>898</v>
      </c>
      <c r="N490">
        <v>4.6</v>
      </c>
      <c r="O490">
        <v>3422</v>
      </c>
      <c r="P490" t="inlineStr">
        <is>
          <t>698ad6c47db7d20001997ea8</t>
        </is>
      </c>
      <c r="Q490"/>
      <c r="R490" t="inlineStr">
        <is>
          <t>15周</t>
        </is>
      </c>
      <c r="S490" t="inlineStr">
        <is>
          <t>3.80</t>
        </is>
      </c>
      <c r="T490" t="inlineStr">
        <is>
          <t>家居生活</t>
        </is>
      </c>
      <c r="U490" t="inlineStr">
        <is>
          <t>家居日用</t>
        </is>
      </c>
      <c r="V490" s="3">
        <v>46118.97659722222</v>
      </c>
      <c r="W490" t="inlineStr">
        <is>
          <t>2026-Q2</t>
        </is>
      </c>
    </row>
    <row r="491" ht="25.5" customHeight="1">
      <c r="A491" t="inlineStr">
        <is>
          <t>基础款圆领正肩短袖t恤纯棉打底体恤显瘦修身气质大码上衣女</t>
        </is>
      </c>
      <c r="B491" t="inlineStr">
        <is>
          <t>recvgd5oYIeycu.jpg</t>
        </is>
      </c>
      <c r="C491" s="2" t="str">
        <f>=HYPERLINK("https://xhslink.com/m/2Qoa4EOi4VY", "https://xhslink.com/m/2Qoa4EOi4VY")</f>
        <v>https://xhslink.com/m/2Qoa4EOi4VY</v>
      </c>
      <c r="D491"/>
      <c r="E491">
        <v>120000</v>
      </c>
      <c r="F491">
        <v>69</v>
      </c>
      <c r="G491"/>
      <c r="H491">
        <v>600</v>
      </c>
      <c r="I491" t="inlineStr">
        <is>
          <t>T恤</t>
        </is>
      </c>
      <c r="J491" t="inlineStr">
        <is>
          <t>0.01</t>
        </is>
      </c>
      <c r="K491"/>
      <c r="L491" t="inlineStr">
        <is>
          <t>夕文的店</t>
        </is>
      </c>
      <c r="M491">
        <v>57000</v>
      </c>
      <c r="N491">
        <v>4.64</v>
      </c>
      <c r="O491">
        <v>284000</v>
      </c>
      <c r="P491" t="inlineStr">
        <is>
          <t>65f31b855563ee000117cc15</t>
        </is>
      </c>
      <c r="Q491" t="inlineStr">
        <is>
          <t>🚫重复</t>
        </is>
      </c>
      <c r="R491" t="inlineStr">
        <is>
          <t>15周</t>
        </is>
      </c>
      <c r="S491" t="inlineStr">
        <is>
          <t>2.11</t>
        </is>
      </c>
      <c r="T491" t="inlineStr">
        <is>
          <t>服饰穿搭</t>
        </is>
      </c>
      <c r="U491" t="inlineStr">
        <is>
          <t>女装</t>
        </is>
      </c>
      <c r="V491" s="3">
        <v>46120.939930555556</v>
      </c>
      <c r="W491" t="inlineStr">
        <is>
          <t>2026-Q2</t>
        </is>
      </c>
    </row>
    <row r="492" ht="25.5" customHeight="1">
      <c r="A492" t="inlineStr">
        <is>
          <t>优调·负跟鞋前高后低足弓训练鞋拉伸腿部夏季防臭防滑拖鞋1</t>
        </is>
      </c>
      <c r="B492" t="inlineStr">
        <is>
          <t>recvgd5oYIaLFm.jpg</t>
        </is>
      </c>
      <c r="C492" s="2" t="str">
        <f>=HYPERLINK("https://xhslink.com/m/9cEiHWUh2Zp", "https://xhslink.com/m/9cEiHWUh2Zp")</f>
        <v>https://xhslink.com/m/9cEiHWUh2Zp</v>
      </c>
      <c r="D492"/>
      <c r="E492">
        <v>26000</v>
      </c>
      <c r="F492">
        <v>49.8</v>
      </c>
      <c r="G492">
        <v>29.9</v>
      </c>
      <c r="H492">
        <v>600</v>
      </c>
      <c r="I492" t="inlineStr">
        <is>
          <t>凉鞋</t>
        </is>
      </c>
      <c r="J492" t="inlineStr">
        <is>
          <t>0.02</t>
        </is>
      </c>
      <c r="K492" t="inlineStr">
        <is>
          <t>🔥低粉爆款</t>
        </is>
      </c>
      <c r="L492" t="inlineStr">
        <is>
          <t>大荷麻麻的店</t>
        </is>
      </c>
      <c r="M492">
        <v>335</v>
      </c>
      <c r="N492">
        <v>4.68</v>
      </c>
      <c r="O492">
        <v>36000</v>
      </c>
      <c r="P492" t="inlineStr">
        <is>
          <t>6886c3edb1b9df0001e1ea5c</t>
        </is>
      </c>
      <c r="Q492" t="inlineStr">
        <is>
          <t>🚫重复</t>
        </is>
      </c>
      <c r="R492" t="inlineStr">
        <is>
          <t>15周</t>
        </is>
      </c>
      <c r="S492" t="inlineStr">
        <is>
          <t>77.61</t>
        </is>
      </c>
      <c r="T492" t="inlineStr">
        <is>
          <t>服饰穿搭</t>
        </is>
      </c>
      <c r="U492" t="inlineStr">
        <is>
          <t>鞋靴箱包</t>
        </is>
      </c>
      <c r="V492" s="3">
        <v>46120.939930555556</v>
      </c>
      <c r="W492" t="inlineStr">
        <is>
          <t>2026-Q2</t>
        </is>
      </c>
    </row>
    <row r="493" ht="25.5" customHeight="1">
      <c r="A493" t="inlineStr">
        <is>
          <t>青涩色彩 · 日期27年2月后～特价产品，发货后仅退款扣3.5打包费</t>
        </is>
      </c>
      <c r="B493" t="inlineStr">
        <is>
          <t>recvgjaKncWm7t.jpg</t>
        </is>
      </c>
      <c r="C493" s="2" t="str">
        <f>=HYPERLINK("https://xhslink.com/m/3LYZJc8ENNo", "https://xhslink.com/m/3LYZJc8ENNo")</f>
        <v>https://xhslink.com/m/3LYZJc8ENNo</v>
      </c>
      <c r="D493"/>
      <c r="E493">
        <v>8464</v>
      </c>
      <c r="F493">
        <v>19.9</v>
      </c>
      <c r="G493"/>
      <c r="H493">
        <v>600</v>
      </c>
      <c r="I493" t="inlineStr">
        <is>
          <t>美妆</t>
        </is>
      </c>
      <c r="J493" t="inlineStr">
        <is>
          <t>0.07</t>
        </is>
      </c>
      <c r="K493"/>
      <c r="L493" t="inlineStr">
        <is>
          <t>青涩色彩的店</t>
        </is>
      </c>
      <c r="M493">
        <v>125000</v>
      </c>
      <c r="N493">
        <v>4.61</v>
      </c>
      <c r="O493">
        <v>462000</v>
      </c>
      <c r="P493" t="inlineStr">
        <is>
          <t>69ccbc54ca15480001e4b2eb</t>
        </is>
      </c>
      <c r="Q493" t="inlineStr">
        <is>
          <t>🚫重复</t>
        </is>
      </c>
      <c r="R493" t="inlineStr">
        <is>
          <t>15周</t>
        </is>
      </c>
      <c r="S493" t="inlineStr">
        <is>
          <t>0.07</t>
        </is>
      </c>
      <c r="T493" t="inlineStr">
        <is>
          <t>美妆个护</t>
        </is>
      </c>
      <c r="U493" t="inlineStr">
        <is>
          <t>护肤彩妆</t>
        </is>
      </c>
      <c r="V493" s="3">
        <v>46121.98079861111</v>
      </c>
      <c r="W493" t="inlineStr">
        <is>
          <t>2026-Q2</t>
        </is>
      </c>
    </row>
    <row r="494" ht="25.5" customHeight="1">
      <c r="A494" t="inlineStr">
        <is>
          <t>【秘鲁哈斯牛油果】当季新鲜进口水果鳄梨孕妈妈宝宝辅食首选</t>
        </is>
      </c>
      <c r="B494" t="inlineStr">
        <is>
          <t>recvgjaKnc4L44.jpg</t>
        </is>
      </c>
      <c r="C494" s="2" t="str">
        <f>=HYPERLINK("https://xhslink.com/m/6vCU80CCnDO", "https://xhslink.com/m/6vCU80CCnDO")</f>
        <v>https://xhslink.com/m/6vCU80CCnDO</v>
      </c>
      <c r="D494"/>
      <c r="E494">
        <v>12000</v>
      </c>
      <c r="F494">
        <v>30.9</v>
      </c>
      <c r="G494">
        <v>10.9</v>
      </c>
      <c r="H494">
        <v>600</v>
      </c>
      <c r="I494" t="inlineStr">
        <is>
          <t>水果</t>
        </is>
      </c>
      <c r="J494" t="inlineStr">
        <is>
          <t>0.05</t>
        </is>
      </c>
      <c r="K494" t="inlineStr">
        <is>
          <t>🔥低粉爆款</t>
        </is>
      </c>
      <c r="L494" t="inlineStr">
        <is>
          <t>果鲜生汇有果的店</t>
        </is>
      </c>
      <c r="M494">
        <v>2775</v>
      </c>
      <c r="N494">
        <v>4.64</v>
      </c>
      <c r="O494">
        <v>12000</v>
      </c>
      <c r="P494" t="inlineStr">
        <is>
          <t>69ae71d714149e0001c269e3</t>
        </is>
      </c>
      <c r="Q494"/>
      <c r="R494" t="inlineStr">
        <is>
          <t>15周</t>
        </is>
      </c>
      <c r="S494" t="inlineStr">
        <is>
          <t>4.32</t>
        </is>
      </c>
      <c r="T494" t="inlineStr">
        <is>
          <t>美食滋补</t>
        </is>
      </c>
      <c r="U494" t="inlineStr">
        <is>
          <t>生鲜特产</t>
        </is>
      </c>
      <c r="V494" s="3">
        <v>46121.98079861111</v>
      </c>
      <c r="W494" t="inlineStr">
        <is>
          <t>2026-Q2</t>
        </is>
      </c>
    </row>
    <row r="495" ht="25.5" customHeight="1">
      <c r="A495" t="inlineStr">
        <is>
          <t>whizzer · 【有线】OS1BEAT入耳式有线带麦高解析fps电竞电脑游戏HiFi耳机</t>
        </is>
      </c>
      <c r="B495" t="inlineStr">
        <is>
          <t>recvgjaKncpI3Q.jpg</t>
        </is>
      </c>
      <c r="C495" s="2" t="str">
        <f>=HYPERLINK("https://xhslink.com/m/2tunI7h1dxx", "https://xhslink.com/m/2tunI7h1dxx")</f>
        <v>https://xhslink.com/m/2tunI7h1dxx</v>
      </c>
      <c r="D495"/>
      <c r="E495">
        <v>4111</v>
      </c>
      <c r="F495">
        <v>229</v>
      </c>
      <c r="G495">
        <v>199</v>
      </c>
      <c r="H495">
        <v>600</v>
      </c>
      <c r="I495" t="inlineStr">
        <is>
          <t>带线耳机</t>
        </is>
      </c>
      <c r="J495" t="inlineStr">
        <is>
          <t>0.15</t>
        </is>
      </c>
      <c r="K495"/>
      <c r="L495" t="inlineStr">
        <is>
          <t>威泽whizzer旗舰店</t>
        </is>
      </c>
      <c r="M495">
        <v>13000</v>
      </c>
      <c r="N495">
        <v>4.58</v>
      </c>
      <c r="O495">
        <v>7092</v>
      </c>
      <c r="P495" t="inlineStr">
        <is>
          <t>697acf28621e6f0001ba6517</t>
        </is>
      </c>
      <c r="Q495"/>
      <c r="R495" t="inlineStr">
        <is>
          <t>15周</t>
        </is>
      </c>
      <c r="S495" t="inlineStr">
        <is>
          <t>0.32</t>
        </is>
      </c>
      <c r="T495" t="inlineStr">
        <is>
          <t>数码家电</t>
        </is>
      </c>
      <c r="U495" t="inlineStr">
        <is>
          <t>数码配件</t>
        </is>
      </c>
      <c r="V495" s="3">
        <v>46121.98079861111</v>
      </c>
      <c r="W495" t="inlineStr">
        <is>
          <t>2026-Q2</t>
        </is>
      </c>
    </row>
    <row r="496" ht="25.5" customHeight="1">
      <c r="A496" t="inlineStr">
        <is>
          <t>2026新款小三角标休闲裤直筒宽松薄款裤子</t>
        </is>
      </c>
      <c r="B496" t="inlineStr">
        <is>
          <t>recvgjaKnczZJe.jpg</t>
        </is>
      </c>
      <c r="C496" s="2" t="str">
        <f>=HYPERLINK("https://xhslink.com/m/1cxnL7o1nWg", "https://xhslink.com/m/1cxnL7o1nWg")</f>
        <v>https://xhslink.com/m/1cxnL7o1nWg</v>
      </c>
      <c r="D496"/>
      <c r="E496">
        <v>3253</v>
      </c>
      <c r="F496">
        <v>59.9</v>
      </c>
      <c r="G496">
        <v>39.9</v>
      </c>
      <c r="H496">
        <v>600</v>
      </c>
      <c r="I496" t="inlineStr">
        <is>
          <t>裤子</t>
        </is>
      </c>
      <c r="J496" t="inlineStr">
        <is>
          <t>0.18</t>
        </is>
      </c>
      <c r="K496"/>
      <c r="L496" t="inlineStr">
        <is>
          <t>小一鸣的店</t>
        </is>
      </c>
      <c r="M496">
        <v>3260</v>
      </c>
      <c r="N496">
        <v>4.29</v>
      </c>
      <c r="O496">
        <v>23000</v>
      </c>
      <c r="P496" t="inlineStr">
        <is>
          <t>69c21f7d58e963000109072c</t>
        </is>
      </c>
      <c r="Q496"/>
      <c r="R496" t="inlineStr">
        <is>
          <t>15周</t>
        </is>
      </c>
      <c r="S496" t="inlineStr">
        <is>
          <t>1.00</t>
        </is>
      </c>
      <c r="T496" t="inlineStr">
        <is>
          <t>服饰穿搭</t>
        </is>
      </c>
      <c r="U496" t="inlineStr">
        <is>
          <t>女装</t>
        </is>
      </c>
      <c r="V496" s="3">
        <v>46121.98079861111</v>
      </c>
      <c r="W496" t="inlineStr">
        <is>
          <t>2026-Q2</t>
        </is>
      </c>
    </row>
    <row r="497" ht="25.5" customHeight="1">
      <c r="A497" t="inlineStr">
        <is>
          <t>【发光人生盲盒】情绪摆件/礼物推荐/创意摆件/桌面装饰/解压玩具</t>
        </is>
      </c>
      <c r="B497" t="inlineStr">
        <is>
          <t>recvguTbC11Zwb.jpg</t>
        </is>
      </c>
      <c r="C497" s="2" t="str">
        <f>=HYPERLINK("https://xhslink.com/m/6X9hIAxRhYG", "https://xhslink.com/m/6X9hIAxRhYG")</f>
        <v>https://xhslink.com/m/6X9hIAxRhYG</v>
      </c>
      <c r="D497"/>
      <c r="E497">
        <v>3065</v>
      </c>
      <c r="F497">
        <v>29.9</v>
      </c>
      <c r="G497">
        <v>19.9</v>
      </c>
      <c r="H497">
        <v>600</v>
      </c>
      <c r="I497" t="inlineStr">
        <is>
          <t>解压玩具</t>
        </is>
      </c>
      <c r="J497" t="inlineStr">
        <is>
          <t>0.20</t>
        </is>
      </c>
      <c r="K497" t="inlineStr">
        <is>
          <t>🔥低粉爆款</t>
        </is>
      </c>
      <c r="L497" t="inlineStr">
        <is>
          <t>一颗青苹果OvO的店</t>
        </is>
      </c>
      <c r="M497">
        <v>406</v>
      </c>
      <c r="N497">
        <v>4.63</v>
      </c>
      <c r="O497">
        <v>3089</v>
      </c>
      <c r="P497" t="inlineStr">
        <is>
          <t>69bb2378fe4ff500156574fb</t>
        </is>
      </c>
      <c r="Q497" t="inlineStr">
        <is>
          <t>🚫重复</t>
        </is>
      </c>
      <c r="R497" t="inlineStr">
        <is>
          <t>15周</t>
        </is>
      </c>
      <c r="S497" t="inlineStr">
        <is>
          <t>7.55</t>
        </is>
      </c>
      <c r="T497" t="inlineStr">
        <is>
          <t>家居生活</t>
        </is>
      </c>
      <c r="U497" t="inlineStr">
        <is>
          <t>家具家装</t>
        </is>
      </c>
      <c r="V497" s="3">
        <v>46123.98462962963</v>
      </c>
      <c r="W497" t="inlineStr">
        <is>
          <t>2026-Q2</t>
        </is>
      </c>
    </row>
    <row r="498" ht="25.5" customHeight="1">
      <c r="A498" t="inlineStr">
        <is>
          <t>春夏款袜子春夏款薄款棉袜好看的小袜子</t>
        </is>
      </c>
      <c r="B498" t="inlineStr">
        <is>
          <t>recvguTbC1PS6C.jpg</t>
        </is>
      </c>
      <c r="C498" s="2" t="str">
        <f>=HYPERLINK("https://xhslink.com/m/4C2swvFFfVo", "https://xhslink.com/m/4C2swvFFfVo")</f>
        <v>https://xhslink.com/m/4C2swvFFfVo</v>
      </c>
      <c r="D498"/>
      <c r="E498">
        <v>3614</v>
      </c>
      <c r="F498">
        <v>12.9</v>
      </c>
      <c r="G498"/>
      <c r="H498">
        <v>600</v>
      </c>
      <c r="I498" t="inlineStr">
        <is>
          <t>袜子</t>
        </is>
      </c>
      <c r="J498" t="inlineStr">
        <is>
          <t>0.17</t>
        </is>
      </c>
      <c r="K498"/>
      <c r="L498" t="inlineStr">
        <is>
          <t>1.79一双纯棉袜子的店</t>
        </is>
      </c>
      <c r="M498">
        <v>3009</v>
      </c>
      <c r="N498">
        <v>4.57</v>
      </c>
      <c r="O498">
        <v>16000</v>
      </c>
      <c r="P498" t="inlineStr">
        <is>
          <t>69b122c89b4aae0001ef7b72</t>
        </is>
      </c>
      <c r="Q498" t="inlineStr">
        <is>
          <t>🚫重复</t>
        </is>
      </c>
      <c r="R498" t="inlineStr">
        <is>
          <t>15周</t>
        </is>
      </c>
      <c r="S498" t="inlineStr">
        <is>
          <t>1.20</t>
        </is>
      </c>
      <c r="T498" t="inlineStr">
        <is>
          <t>服饰穿搭</t>
        </is>
      </c>
      <c r="U498" t="inlineStr">
        <is>
          <t>鞋靴箱包</t>
        </is>
      </c>
      <c r="V498" s="3">
        <v>46123.98462962963</v>
      </c>
      <c r="W498" t="inlineStr">
        <is>
          <t>2026-Q2</t>
        </is>
      </c>
    </row>
    <row r="499" ht="25.5" customHeight="1">
      <c r="A499" t="inlineStr">
        <is>
          <t>专业运动瑜伽小腿袜子跑步透气吸汗夏户外健身徒步跳绳压力运动袜</t>
        </is>
      </c>
      <c r="B499" t="inlineStr">
        <is>
          <t>recvguTbC1Fucx.jpg</t>
        </is>
      </c>
      <c r="C499" s="2" t="str">
        <f>=HYPERLINK("https://xhslink.com/m/1sW3C6JBzCx", "https://xhslink.com/m/1sW3C6JBzCx")</f>
        <v>https://xhslink.com/m/1sW3C6JBzCx</v>
      </c>
      <c r="D499"/>
      <c r="E499">
        <v>2872</v>
      </c>
      <c r="F499">
        <v>36</v>
      </c>
      <c r="G499">
        <v>19.2</v>
      </c>
      <c r="H499">
        <v>600</v>
      </c>
      <c r="I499" t="inlineStr">
        <is>
          <t>运动</t>
        </is>
      </c>
      <c r="J499" t="inlineStr">
        <is>
          <t>0.21</t>
        </is>
      </c>
      <c r="K499" t="inlineStr">
        <is>
          <t>🔥低粉爆款</t>
        </is>
      </c>
      <c r="L499" t="inlineStr">
        <is>
          <t>晴语时光的店</t>
        </is>
      </c>
      <c r="M499">
        <v>170</v>
      </c>
      <c r="N499">
        <v>4.69</v>
      </c>
      <c r="O499">
        <v>3891</v>
      </c>
      <c r="P499" t="inlineStr">
        <is>
          <t>68a72eb6fba54400019044e7</t>
        </is>
      </c>
      <c r="Q499" t="inlineStr">
        <is>
          <t>🚫重复</t>
        </is>
      </c>
      <c r="R499" t="inlineStr">
        <is>
          <t>15周</t>
        </is>
      </c>
      <c r="S499" t="inlineStr">
        <is>
          <t>16.89</t>
        </is>
      </c>
      <c r="T499" t="inlineStr">
        <is>
          <t>运动潮玩</t>
        </is>
      </c>
      <c r="U499" t="inlineStr">
        <is>
          <t>运动户外装备</t>
        </is>
      </c>
      <c r="V499" s="3">
        <v>46123.98462962963</v>
      </c>
      <c r="W499" t="inlineStr">
        <is>
          <t>2026-Q2</t>
        </is>
      </c>
    </row>
    <row r="500" ht="25.5" customHeight="1">
      <c r="A500" t="inlineStr">
        <is>
          <t>圆圆呀aaa__｛现货48小时内发｝3厘米绸缎高级高跟气质女鞋</t>
        </is>
      </c>
      <c r="B500" t="inlineStr">
        <is>
          <t>recvguTbC1oHQv.jpg</t>
        </is>
      </c>
      <c r="C500" s="2" t="str">
        <f>=HYPERLINK("https://xhslink.com/m/5ne2jE6C3X8", "https://xhslink.com/m/5ne2jE6C3X8")</f>
        <v>https://xhslink.com/m/5ne2jE6C3X8</v>
      </c>
      <c r="D500"/>
      <c r="E500">
        <v>15000</v>
      </c>
      <c r="F500">
        <v>180</v>
      </c>
      <c r="G500">
        <v>147</v>
      </c>
      <c r="H500">
        <v>600</v>
      </c>
      <c r="I500" t="inlineStr">
        <is>
          <t>鞋靴</t>
        </is>
      </c>
      <c r="J500" t="inlineStr">
        <is>
          <t>0.04</t>
        </is>
      </c>
      <c r="K500"/>
      <c r="L500" t="inlineStr">
        <is>
          <t>圆圆呀aaa__的店</t>
        </is>
      </c>
      <c r="M500">
        <v>12000</v>
      </c>
      <c r="N500">
        <v>4.59</v>
      </c>
      <c r="O500">
        <v>57000</v>
      </c>
      <c r="P500" t="inlineStr">
        <is>
          <t>692301e1fb6e0d00013b1813</t>
        </is>
      </c>
      <c r="Q500" t="inlineStr">
        <is>
          <t>🚫重复</t>
        </is>
      </c>
      <c r="R500" t="inlineStr">
        <is>
          <t>15周</t>
        </is>
      </c>
      <c r="S500" t="inlineStr">
        <is>
          <t>1.25</t>
        </is>
      </c>
      <c r="T500" t="inlineStr">
        <is>
          <t>服饰穿搭</t>
        </is>
      </c>
      <c r="U500" t="inlineStr">
        <is>
          <t>鞋靴箱包</t>
        </is>
      </c>
      <c r="V500" s="3">
        <v>46123.98462962963</v>
      </c>
      <c r="W500" t="inlineStr">
        <is>
          <t>2026-Q2</t>
        </is>
      </c>
    </row>
    <row r="501" ht="25.5" customHeight="1">
      <c r="A501" t="inlineStr">
        <is>
          <t>【新店】包邮28元选8个多口味手作碱水棒贝果代餐零食健身</t>
        </is>
      </c>
      <c r="B501" t="inlineStr">
        <is>
          <t>recvguTbC1cRdw.jpg</t>
        </is>
      </c>
      <c r="C501" s="2" t="str">
        <f>=HYPERLINK("https://xhslink.com/m/iBOMcFW464", "https://xhslink.com/m/iBOMcFW464")</f>
        <v>https://xhslink.com/m/iBOMcFW464</v>
      </c>
      <c r="D501"/>
      <c r="E501">
        <v>107000</v>
      </c>
      <c r="F501">
        <v>20</v>
      </c>
      <c r="G501">
        <v>11</v>
      </c>
      <c r="H501">
        <v>600</v>
      </c>
      <c r="I501" t="inlineStr">
        <is>
          <t>碱水面包</t>
        </is>
      </c>
      <c r="J501" t="inlineStr">
        <is>
          <t>0.01</t>
        </is>
      </c>
      <c r="K501" t="inlineStr">
        <is>
          <t>🔥低粉爆款</t>
        </is>
      </c>
      <c r="L501" t="inlineStr">
        <is>
          <t>臻焙手作的店</t>
        </is>
      </c>
      <c r="M501">
        <v>656</v>
      </c>
      <c r="N501">
        <v>4.28</v>
      </c>
      <c r="O501">
        <v>118000</v>
      </c>
      <c r="P501" t="inlineStr">
        <is>
          <t>693b91b8266b9500012e1e45</t>
        </is>
      </c>
      <c r="Q501" t="inlineStr">
        <is>
          <t>🚫重复</t>
        </is>
      </c>
      <c r="R501" t="inlineStr">
        <is>
          <t>15周</t>
        </is>
      </c>
      <c r="S501" t="inlineStr">
        <is>
          <t>163.11</t>
        </is>
      </c>
      <c r="T501" t="inlineStr">
        <is>
          <t>美食滋补</t>
        </is>
      </c>
      <c r="U501" t="inlineStr">
        <is>
          <t>休闲零食</t>
        </is>
      </c>
      <c r="V501" s="3">
        <v>46123.98462962963</v>
      </c>
      <c r="W501" t="inlineStr">
        <is>
          <t>2026-Q2</t>
        </is>
      </c>
    </row>
    <row r="502" ht="25.5" customHeight="1">
      <c r="A502" t="inlineStr">
        <is>
          <t>【新店】包邮28元选8个多口味手作碱水棒贝果代餐零食健身</t>
        </is>
      </c>
      <c r="B502" t="inlineStr">
        <is>
          <t>__upload_recvgAET7xz3eW.jpg</t>
        </is>
      </c>
      <c r="C502" s="2" t="str">
        <f>=HYPERLINK("https://xhslink.com/m/4zyWxMctLNg", "https://xhslink.com/m/4zyWxMctLNg")</f>
        <v>https://xhslink.com/m/4zyWxMctLNg</v>
      </c>
      <c r="D502"/>
      <c r="E502">
        <v>110000</v>
      </c>
      <c r="F502">
        <v>20</v>
      </c>
      <c r="G502">
        <v>11</v>
      </c>
      <c r="H502">
        <v>600</v>
      </c>
      <c r="I502" t="inlineStr">
        <is>
          <t>零食</t>
        </is>
      </c>
      <c r="J502" t="inlineStr">
        <is>
          <t>0.01</t>
        </is>
      </c>
      <c r="K502" t="inlineStr">
        <is>
          <t>🔥低粉爆款</t>
        </is>
      </c>
      <c r="L502" t="inlineStr">
        <is>
          <t>臻焙手作的店</t>
        </is>
      </c>
      <c r="M502">
        <v>662</v>
      </c>
      <c r="N502">
        <v>4.28</v>
      </c>
      <c r="O502">
        <v>120000</v>
      </c>
      <c r="P502" t="inlineStr">
        <is>
          <t>693b91b8266b9500012e1e30</t>
        </is>
      </c>
      <c r="Q502" t="inlineStr">
        <is>
          <t>🚫重复</t>
        </is>
      </c>
      <c r="R502" t="inlineStr">
        <is>
          <t>15周</t>
        </is>
      </c>
      <c r="S502" t="inlineStr">
        <is>
          <t>166.16</t>
        </is>
      </c>
      <c r="T502" t="inlineStr">
        <is>
          <t>美食滋补</t>
        </is>
      </c>
      <c r="U502" t="inlineStr">
        <is>
          <t>休闲零食</t>
        </is>
      </c>
      <c r="V502" s="3">
        <v>46124.971342592595</v>
      </c>
      <c r="W502" t="inlineStr">
        <is>
          <t>2026-Q2</t>
        </is>
      </c>
    </row>
    <row r="503" ht="25.5" customHeight="1">
      <c r="A503" t="inlineStr">
        <is>
          <t>【前100单18.9】手机支架铝合金高铁飞机旅行必备随 ·</t>
        </is>
      </c>
      <c r="B503" t="inlineStr">
        <is>
          <t>__upload_recvgAET7xgUVS.jpg</t>
        </is>
      </c>
      <c r="C503" s="2" t="str">
        <f>=HYPERLINK("https://xhslink.com/m/4opcZ4p8j9q", "https://xhslink.com/m/4opcZ4p8j9q")</f>
        <v>https://xhslink.com/m/4opcZ4p8j9q</v>
      </c>
      <c r="D503"/>
      <c r="E503">
        <v>29000</v>
      </c>
      <c r="F503">
        <v>45.9</v>
      </c>
      <c r="G503">
        <v>27.9</v>
      </c>
      <c r="H503">
        <v>600</v>
      </c>
      <c r="I503" t="inlineStr">
        <is>
          <t>手机支架</t>
        </is>
      </c>
      <c r="J503" t="inlineStr">
        <is>
          <t>0.02</t>
        </is>
      </c>
      <c r="K503" t="inlineStr">
        <is>
          <t>🔥低粉爆款</t>
        </is>
      </c>
      <c r="L503" t="inlineStr">
        <is>
          <t>花儿种草的店</t>
        </is>
      </c>
      <c r="M503">
        <v>437</v>
      </c>
      <c r="N503">
        <v>4.64</v>
      </c>
      <c r="O503">
        <v>30000</v>
      </c>
      <c r="P503" t="inlineStr">
        <is>
          <t>68cf8e6e581ea20015ab253a</t>
        </is>
      </c>
      <c r="Q503"/>
      <c r="R503" t="inlineStr">
        <is>
          <t>15周</t>
        </is>
      </c>
      <c r="S503" t="inlineStr">
        <is>
          <t>66.36</t>
        </is>
      </c>
      <c r="T503" t="inlineStr">
        <is>
          <t>数码家电</t>
        </is>
      </c>
      <c r="U503" t="inlineStr">
        <is>
          <t>数码配件</t>
        </is>
      </c>
      <c r="V503" s="3">
        <v>46124.971342592595</v>
      </c>
      <c r="W503" t="inlineStr">
        <is>
          <t>2026-Q2</t>
        </is>
      </c>
    </row>
    <row r="504" ht="25.5" customHeight="1">
      <c r="A504" t="inlineStr">
        <is>
          <t>爱物极物 · 双面植绒粉扑柔软短绒不卡粉不掉绒抓粉力强</t>
        </is>
      </c>
      <c r="B504" t="inlineStr">
        <is>
          <t>__upload_recvgAET7xcdNa.jpg</t>
        </is>
      </c>
      <c r="C504" s="2" t="str">
        <f>=HYPERLINK("https://xhslink.com/m/2GteZ5BBiDG", "https://xhslink.com/m/2GteZ5BBiDG")</f>
        <v>https://xhslink.com/m/2GteZ5BBiDG</v>
      </c>
      <c r="D504"/>
      <c r="E504">
        <v>339000</v>
      </c>
      <c r="F504">
        <v>13.8</v>
      </c>
      <c r="G504"/>
      <c r="H504">
        <v>600</v>
      </c>
      <c r="I504" t="inlineStr">
        <is>
          <t>美妆</t>
        </is>
      </c>
      <c r="J504" t="inlineStr">
        <is>
          <t>0.00</t>
        </is>
      </c>
      <c r="K504" t="inlineStr">
        <is>
          <t>🔥低粉爆款</t>
        </is>
      </c>
      <c r="L504" t="inlineStr">
        <is>
          <t>爱物极物旗舰店</t>
        </is>
      </c>
      <c r="M504">
        <v>56000</v>
      </c>
      <c r="N504">
        <v>4.82</v>
      </c>
      <c r="O504">
        <v>2156000</v>
      </c>
      <c r="P504" t="inlineStr">
        <is>
          <t>658bc9609c77800001a04224</t>
        </is>
      </c>
      <c r="Q504" t="inlineStr">
        <is>
          <t>🚫重复</t>
        </is>
      </c>
      <c r="R504" t="inlineStr">
        <is>
          <t>15周</t>
        </is>
      </c>
      <c r="S504" t="inlineStr">
        <is>
          <t>6.05</t>
        </is>
      </c>
      <c r="T504" t="inlineStr">
        <is>
          <t>美妆个护</t>
        </is>
      </c>
      <c r="U504" t="inlineStr">
        <is>
          <t>护肤彩妆</t>
        </is>
      </c>
      <c r="V504" s="3">
        <v>46124.971342592595</v>
      </c>
      <c r="W504" t="inlineStr">
        <is>
          <t>2026-Q2</t>
        </is>
      </c>
    </row>
    <row r="505" ht="25.5" customHeight="1">
      <c r="A505" t="inlineStr">
        <is>
          <t>日单wpc清新晴雨伞</t>
        </is>
      </c>
      <c r="B505" t="inlineStr">
        <is>
          <t>recvgGy5hQvDt0.jpg</t>
        </is>
      </c>
      <c r="C505" s="2" t="str">
        <f>=HYPERLINK("https://xhslink.com/m/Ad9VbLfGeFU", "https://xhslink.com/m/Ad9VbLfGeFU")</f>
        <v>https://xhslink.com/m/Ad9VbLfGeFU</v>
      </c>
      <c r="D505"/>
      <c r="E505">
        <v>1411</v>
      </c>
      <c r="F505">
        <v>58</v>
      </c>
      <c r="G505"/>
      <c r="H505">
        <v>600</v>
      </c>
      <c r="I505" t="inlineStr">
        <is>
          <t>伞</t>
        </is>
      </c>
      <c r="J505" t="inlineStr">
        <is>
          <t>0.43</t>
        </is>
      </c>
      <c r="K505"/>
      <c r="L505" t="inlineStr">
        <is>
          <t>LULU的店</t>
        </is>
      </c>
      <c r="M505">
        <v>18000</v>
      </c>
      <c r="N505">
        <v>4.51</v>
      </c>
      <c r="O505">
        <v>61000</v>
      </c>
      <c r="P505" t="inlineStr">
        <is>
          <t>69c8f799d4e1ce00010e4be8</t>
        </is>
      </c>
      <c r="Q505"/>
      <c r="R505" t="inlineStr">
        <is>
          <t>16周</t>
        </is>
      </c>
      <c r="S505" t="inlineStr">
        <is>
          <t>0.08</t>
        </is>
      </c>
      <c r="T505" t="inlineStr">
        <is>
          <t>家居生活</t>
        </is>
      </c>
      <c r="U505" t="inlineStr">
        <is>
          <t>家居日用</t>
        </is>
      </c>
      <c r="V505" s="3">
        <v>46125.978738425925</v>
      </c>
      <c r="W505" t="inlineStr">
        <is>
          <t>2026-Q2</t>
        </is>
      </c>
    </row>
    <row r="506" ht="25.5" customHeight="1">
      <c r="A506" t="inlineStr">
        <is>
          <t>知伞 · 【花叙】16骨抗风长柄雨伞自动双人加大加固结实抗风碰击布纯雨伞</t>
        </is>
      </c>
      <c r="B506" t="inlineStr">
        <is>
          <t>recvgGy5hQxn9v.jpg</t>
        </is>
      </c>
      <c r="C506" s="2" t="str">
        <f>=HYPERLINK("https://xhslink.com/m/9R8eQgo550B", "https://xhslink.com/m/9R8eQgo550B")</f>
        <v>https://xhslink.com/m/9R8eQgo550B</v>
      </c>
      <c r="D506"/>
      <c r="E506">
        <v>533</v>
      </c>
      <c r="F506">
        <v>45.8</v>
      </c>
      <c r="G506"/>
      <c r="H506">
        <v>600</v>
      </c>
      <c r="I506" t="inlineStr">
        <is>
          <t>伞</t>
        </is>
      </c>
      <c r="J506" t="inlineStr">
        <is>
          <t>1.13</t>
        </is>
      </c>
      <c r="K506"/>
      <c r="L506" t="inlineStr">
        <is>
          <t>知伞-烟雨的店</t>
        </is>
      </c>
      <c r="M506">
        <v>2521</v>
      </c>
      <c r="N506">
        <v>4.58</v>
      </c>
      <c r="O506">
        <v>22000</v>
      </c>
      <c r="P506" t="inlineStr">
        <is>
          <t>69c2586d46fe2a000103f6ce</t>
        </is>
      </c>
      <c r="Q506" t="inlineStr">
        <is>
          <t>🚫重复</t>
        </is>
      </c>
      <c r="R506" t="inlineStr">
        <is>
          <t>16周</t>
        </is>
      </c>
      <c r="S506" t="inlineStr">
        <is>
          <t>0.21</t>
        </is>
      </c>
      <c r="T506" t="inlineStr">
        <is>
          <t>家居生活</t>
        </is>
      </c>
      <c r="U506" t="inlineStr">
        <is>
          <t>家居日用</t>
        </is>
      </c>
      <c r="V506" s="3">
        <v>46125.978738425925</v>
      </c>
      <c r="W506" t="inlineStr">
        <is>
          <t>2026-Q2</t>
        </is>
      </c>
    </row>
    <row r="507" ht="25.5" customHeight="1">
      <c r="A507" t="inlineStr">
        <is>
          <t>【RUA软岛·原创】咪猴桃毛绒挂件玩偶创意包包书包钥匙扣</t>
        </is>
      </c>
      <c r="B507" t="inlineStr">
        <is>
          <t>recvgGy5hQpxNl.jpg</t>
        </is>
      </c>
      <c r="C507" s="2" t="str">
        <f>=HYPERLINK("https://xhslink.com/m/8KKX3gQn1DG", "https://xhslink.com/m/8KKX3gQn1DG")</f>
        <v>https://xhslink.com/m/8KKX3gQn1DG</v>
      </c>
      <c r="D507"/>
      <c r="E507">
        <v>2119</v>
      </c>
      <c r="F507">
        <v>33.9</v>
      </c>
      <c r="G507">
        <v>28.9</v>
      </c>
      <c r="H507">
        <v>600</v>
      </c>
      <c r="I507" t="inlineStr">
        <is>
          <t>毛绒玩具</t>
        </is>
      </c>
      <c r="J507" t="inlineStr">
        <is>
          <t>0.28</t>
        </is>
      </c>
      <c r="K507"/>
      <c r="L507" t="inlineStr">
        <is>
          <t>RUA软岛的店</t>
        </is>
      </c>
      <c r="M507">
        <v>20000</v>
      </c>
      <c r="N507">
        <v>4.66</v>
      </c>
      <c r="O507">
        <v>2406</v>
      </c>
      <c r="P507" t="inlineStr">
        <is>
          <t>69b693e1cdd36c000157c2a4</t>
        </is>
      </c>
      <c r="Q507"/>
      <c r="R507" t="inlineStr">
        <is>
          <t>16周</t>
        </is>
      </c>
      <c r="S507" t="inlineStr">
        <is>
          <t>0.11</t>
        </is>
      </c>
      <c r="T507" t="inlineStr">
        <is>
          <t>服饰穿搭</t>
        </is>
      </c>
      <c r="U507" t="inlineStr">
        <is>
          <t>鞋靴箱包</t>
        </is>
      </c>
      <c r="V507" s="3">
        <v>46125.978738425925</v>
      </c>
      <c r="W507" t="inlineStr">
        <is>
          <t>2026-Q2</t>
        </is>
      </c>
    </row>
    <row r="508" ht="25.5" customHeight="1">
      <c r="A508" t="inlineStr">
        <is>
          <t>【顺丰包邮】正宗潮汕牛肉丸牛筋丸无添加手工制作汕头特产</t>
        </is>
      </c>
      <c r="B508" t="inlineStr">
        <is>
          <t>recvgGy5hQCUlB.jpg</t>
        </is>
      </c>
      <c r="C508" s="2" t="str">
        <f>=HYPERLINK("https://xhslink.com/m/75aMHluUIr9", "https://xhslink.com/m/75aMHluUIr9")</f>
        <v>https://xhslink.com/m/75aMHluUIr9</v>
      </c>
      <c r="D508"/>
      <c r="E508">
        <v>169000</v>
      </c>
      <c r="F508">
        <v>58</v>
      </c>
      <c r="G508">
        <v>38</v>
      </c>
      <c r="H508">
        <v>600</v>
      </c>
      <c r="I508" t="inlineStr">
        <is>
          <t>牛肉丸子</t>
        </is>
      </c>
      <c r="J508" t="inlineStr">
        <is>
          <t>0.00</t>
        </is>
      </c>
      <c r="K508" t="inlineStr">
        <is>
          <t>🔥低粉爆款</t>
        </is>
      </c>
      <c r="L508" t="inlineStr">
        <is>
          <t>汕头档口牛肉丸的店</t>
        </is>
      </c>
      <c r="M508">
        <v>12000</v>
      </c>
      <c r="N508">
        <v>4.87</v>
      </c>
      <c r="O508">
        <v>169000</v>
      </c>
      <c r="P508" t="inlineStr">
        <is>
          <t>676d7e33ca77f500017fd8a2</t>
        </is>
      </c>
      <c r="Q508" t="inlineStr">
        <is>
          <t>🚫重复</t>
        </is>
      </c>
      <c r="R508" t="inlineStr">
        <is>
          <t>16周</t>
        </is>
      </c>
      <c r="S508" t="inlineStr">
        <is>
          <t>14.08</t>
        </is>
      </c>
      <c r="T508" t="inlineStr">
        <is>
          <t>美食滋补</t>
        </is>
      </c>
      <c r="U508" t="inlineStr">
        <is>
          <t>生鲜特产</t>
        </is>
      </c>
      <c r="V508" s="3">
        <v>46125.978738425925</v>
      </c>
      <c r="W508" t="inlineStr">
        <is>
          <t>2026-Q2</t>
        </is>
      </c>
    </row>
    <row r="509" ht="25.5" customHeight="1">
      <c r="A509" t="inlineStr">
        <is>
          <t>30姆米22姆米真丝立体发圈柔雾纱支撑好看又有型</t>
        </is>
      </c>
      <c r="B509" t="inlineStr">
        <is>
          <t>__upload_recvgMo2ZYirJv.jpg</t>
        </is>
      </c>
      <c r="C509" s="2" t="str">
        <f>=HYPERLINK("https://xhslink.com/m/4iB667wZZkg", "https://xhslink.com/m/4iB667wZZkg")</f>
        <v>https://xhslink.com/m/4iB667wZZkg</v>
      </c>
      <c r="D509"/>
      <c r="E509">
        <v>116000</v>
      </c>
      <c r="F509">
        <v>30.9</v>
      </c>
      <c r="G509">
        <v>18.54</v>
      </c>
      <c r="H509">
        <v>600</v>
      </c>
      <c r="I509" t="inlineStr">
        <is>
          <t>头饰</t>
        </is>
      </c>
      <c r="J509" t="inlineStr">
        <is>
          <t>0.01</t>
        </is>
      </c>
      <c r="K509" t="inlineStr">
        <is>
          <t>🔥低粉爆款</t>
        </is>
      </c>
      <c r="L509" t="inlineStr">
        <is>
          <t>Alvin silk的店</t>
        </is>
      </c>
      <c r="M509">
        <v>11000</v>
      </c>
      <c r="N509">
        <v>4.53</v>
      </c>
      <c r="O509">
        <v>158000</v>
      </c>
      <c r="P509" t="inlineStr">
        <is>
          <t>69baa8c6ca64b30001181e75</t>
        </is>
      </c>
      <c r="Q509" t="inlineStr">
        <is>
          <t>🚫重复</t>
        </is>
      </c>
      <c r="R509" t="inlineStr">
        <is>
          <t>16周</t>
        </is>
      </c>
      <c r="S509" t="inlineStr">
        <is>
          <t>10.55</t>
        </is>
      </c>
      <c r="T509" t="inlineStr">
        <is>
          <t>服饰穿搭</t>
        </is>
      </c>
      <c r="U509" t="inlineStr">
        <is>
          <t>配饰</t>
        </is>
      </c>
      <c r="V509" s="3">
        <v>46126.97719907408</v>
      </c>
      <c r="W509" t="inlineStr">
        <is>
          <t>2026-Q2</t>
        </is>
      </c>
    </row>
    <row r="510" ht="25.5" customHeight="1">
      <c r="A510" t="inlineStr">
        <is>
          <t>抹茶南瓜巧饼独立小包装即食现做早餐速食老式糕点</t>
        </is>
      </c>
      <c r="B510" t="inlineStr">
        <is>
          <t>__upload_recvgSimhWoUhG.jpg</t>
        </is>
      </c>
      <c r="C510" s="2" t="str">
        <f>=HYPERLINK("https://xhslink.com/m/5p4R3h2XT9I", "https://xhslink.com/m/5p4R3h2XT9I")</f>
        <v>https://xhslink.com/m/5p4R3h2XT9I</v>
      </c>
      <c r="D510"/>
      <c r="E510">
        <v>16000</v>
      </c>
      <c r="F510">
        <v>18.81</v>
      </c>
      <c r="G510">
        <v>15.98</v>
      </c>
      <c r="H510">
        <v>600</v>
      </c>
      <c r="I510" t="inlineStr">
        <is>
          <t>减脂零食</t>
        </is>
      </c>
      <c r="J510" t="inlineStr">
        <is>
          <t>0.04</t>
        </is>
      </c>
      <c r="K510" t="inlineStr">
        <is>
          <t>🔥低粉爆款</t>
        </is>
      </c>
      <c r="L510" t="inlineStr">
        <is>
          <t>寻味记食品的店</t>
        </is>
      </c>
      <c r="M510">
        <v>3022</v>
      </c>
      <c r="N510">
        <v>4.6</v>
      </c>
      <c r="O510">
        <v>52000</v>
      </c>
      <c r="P510" t="inlineStr">
        <is>
          <t>69195343e78d9900016da3cd</t>
        </is>
      </c>
      <c r="Q510" t="inlineStr">
        <is>
          <t>🚫重复</t>
        </is>
      </c>
      <c r="R510" t="inlineStr">
        <is>
          <t>16周</t>
        </is>
      </c>
      <c r="S510" t="inlineStr">
        <is>
          <t>5.29</t>
        </is>
      </c>
      <c r="T510" t="inlineStr">
        <is>
          <t>美食滋补</t>
        </is>
      </c>
      <c r="U510" t="inlineStr">
        <is>
          <t>休闲零食</t>
        </is>
      </c>
      <c r="V510" s="3">
        <v>46127.98767361111</v>
      </c>
      <c r="W510" t="inlineStr">
        <is>
          <t>2026-Q2</t>
        </is>
      </c>
    </row>
    <row r="511" ht="25.5" customHeight="1">
      <c r="A511" t="inlineStr">
        <is>
          <t>小玫瑰·夏季雪花棉短袖宽松T恤慵懒感上衣显瘦百搭清爽透气夏天</t>
        </is>
      </c>
      <c r="B511" t="inlineStr">
        <is>
          <t>__upload_recvgSimhWySq8.jpg</t>
        </is>
      </c>
      <c r="C511" s="2" t="str">
        <f>=HYPERLINK("https://xhslink.com/m/1RSY6vLyP1O", "https://xhslink.com/m/1RSY6vLyP1O")</f>
        <v>https://xhslink.com/m/1RSY6vLyP1O</v>
      </c>
      <c r="D511"/>
      <c r="E511">
        <v>1130</v>
      </c>
      <c r="F511">
        <v>69</v>
      </c>
      <c r="G511">
        <v>55</v>
      </c>
      <c r="H511">
        <v>600</v>
      </c>
      <c r="I511" t="inlineStr">
        <is>
          <t>短袖</t>
        </is>
      </c>
      <c r="J511" t="inlineStr">
        <is>
          <t>0.53</t>
        </is>
      </c>
      <c r="K511"/>
      <c r="L511" t="inlineStr">
        <is>
          <t>小周超有钱的店</t>
        </is>
      </c>
      <c r="M511">
        <v>6098</v>
      </c>
      <c r="N511">
        <v>4.8</v>
      </c>
      <c r="O511">
        <v>30000</v>
      </c>
      <c r="P511" t="inlineStr">
        <is>
          <t>69da35368ca4f400013793f9</t>
        </is>
      </c>
      <c r="Q511" t="inlineStr">
        <is>
          <t>🚫重复</t>
        </is>
      </c>
      <c r="R511" t="inlineStr">
        <is>
          <t>16周</t>
        </is>
      </c>
      <c r="S511" t="inlineStr">
        <is>
          <t>0.19</t>
        </is>
      </c>
      <c r="T511" t="inlineStr">
        <is>
          <t>服饰穿搭</t>
        </is>
      </c>
      <c r="U511" t="inlineStr">
        <is>
          <t>女装</t>
        </is>
      </c>
      <c r="V511" s="3">
        <v>46127.98767361111</v>
      </c>
      <c r="W511" t="inlineStr">
        <is>
          <t>2026-Q2</t>
        </is>
      </c>
    </row>
    <row r="512" ht="25.5" customHeight="1">
      <c r="A512" t="inlineStr">
        <is>
          <t>COOLPLAN · 【只想睡觉】创意趣味时钟小众设计松弛感文艺重磅男女短袖T恤夏</t>
        </is>
      </c>
      <c r="B512" t="inlineStr">
        <is>
          <t>__upload_recvgSimhWecuR.jpg</t>
        </is>
      </c>
      <c r="C512" s="2" t="str">
        <f>=HYPERLINK("https://xhslink.com/m/6RYFkk3YRN0", "https://xhslink.com/m/6RYFkk3YRN0")</f>
        <v>https://xhslink.com/m/6RYFkk3YRN0</v>
      </c>
      <c r="D512"/>
      <c r="E512">
        <v>7341</v>
      </c>
      <c r="F512">
        <v>49.8</v>
      </c>
      <c r="G512">
        <v>43.8</v>
      </c>
      <c r="H512">
        <v>600</v>
      </c>
      <c r="I512" t="inlineStr">
        <is>
          <t>短袖</t>
        </is>
      </c>
      <c r="J512" t="inlineStr">
        <is>
          <t>0.08</t>
        </is>
      </c>
      <c r="K512"/>
      <c r="L512" t="inlineStr">
        <is>
          <t>COOL PLAN的店</t>
        </is>
      </c>
      <c r="M512">
        <v>14000</v>
      </c>
      <c r="N512">
        <v>4.71</v>
      </c>
      <c r="O512">
        <v>58000</v>
      </c>
      <c r="P512" t="inlineStr">
        <is>
          <t>69ac084d19f8df00158064e7</t>
        </is>
      </c>
      <c r="Q512" t="inlineStr">
        <is>
          <t>🚫重复</t>
        </is>
      </c>
      <c r="R512" t="inlineStr">
        <is>
          <t>16周</t>
        </is>
      </c>
      <c r="S512" t="inlineStr">
        <is>
          <t>0.52</t>
        </is>
      </c>
      <c r="T512" t="inlineStr">
        <is>
          <t>服饰穿搭</t>
        </is>
      </c>
      <c r="U512" t="inlineStr">
        <is>
          <t>女装</t>
        </is>
      </c>
      <c r="V512" s="3">
        <v>46127.98767361111</v>
      </c>
      <c r="W512" t="inlineStr">
        <is>
          <t>2026-Q2</t>
        </is>
      </c>
    </row>
    <row r="513" ht="25.5" customHeight="1">
      <c r="A513" t="inlineStr">
        <is>
          <t>纯棉U领圆领收腰正肩基础款短袖T恤女夏季新款修身显瘦</t>
        </is>
      </c>
      <c r="B513" t="inlineStr">
        <is>
          <t>__upload_recvgSimhWBZS6.jpg</t>
        </is>
      </c>
      <c r="C513" s="2" t="str">
        <f>=HYPERLINK("https://xhslink.com/m/Av9jkQjocY2", "https://xhslink.com/m/Av9jkQjocY2")</f>
        <v>https://xhslink.com/m/Av9jkQjocY2</v>
      </c>
      <c r="D513"/>
      <c r="E513">
        <v>280000</v>
      </c>
      <c r="F513">
        <v>29.9</v>
      </c>
      <c r="G513"/>
      <c r="H513">
        <v>600</v>
      </c>
      <c r="I513" t="inlineStr">
        <is>
          <t>短袖</t>
        </is>
      </c>
      <c r="J513" t="inlineStr">
        <is>
          <t>0.00</t>
        </is>
      </c>
      <c r="K513" t="inlineStr">
        <is>
          <t>🔥低粉爆款</t>
        </is>
      </c>
      <c r="L513" t="inlineStr">
        <is>
          <t>卷心菜儿的店</t>
        </is>
      </c>
      <c r="M513">
        <v>23000</v>
      </c>
      <c r="N513">
        <v>4.71</v>
      </c>
      <c r="O513">
        <v>393000</v>
      </c>
      <c r="P513" t="inlineStr">
        <is>
          <t>69b536a0ca64b3000112de0d</t>
        </is>
      </c>
      <c r="Q513" t="inlineStr">
        <is>
          <t>🚫重复</t>
        </is>
      </c>
      <c r="R513" t="inlineStr">
        <is>
          <t>16周</t>
        </is>
      </c>
      <c r="S513" t="inlineStr">
        <is>
          <t>12.17</t>
        </is>
      </c>
      <c r="T513" t="inlineStr">
        <is>
          <t>服饰穿搭</t>
        </is>
      </c>
      <c r="U513" t="inlineStr">
        <is>
          <t>女装</t>
        </is>
      </c>
      <c r="V513" s="3">
        <v>46127.98767361111</v>
      </c>
      <c r="W513" t="inlineStr">
        <is>
          <t>2026-Q2</t>
        </is>
      </c>
    </row>
    <row r="514" ht="25.5" customHeight="1">
      <c r="A514" t="inlineStr">
        <is>
          <t>新款V领竹节棉纯棉t恤女春夏上衣显瘦慵懒感平价短袖</t>
        </is>
      </c>
      <c r="B514" t="inlineStr">
        <is>
          <t>__upload_recvgSimhWFqco.jpg</t>
        </is>
      </c>
      <c r="C514" s="2" t="str">
        <f>=HYPERLINK("https://xhslink.com/m/94SeNQKq3mX", "https://xhslink.com/m/94SeNQKq3mX")</f>
        <v>https://xhslink.com/m/94SeNQKq3mX</v>
      </c>
      <c r="D514"/>
      <c r="E514">
        <v>38000</v>
      </c>
      <c r="F514">
        <v>59.9</v>
      </c>
      <c r="G514">
        <v>49.9</v>
      </c>
      <c r="H514">
        <v>600</v>
      </c>
      <c r="I514" t="inlineStr">
        <is>
          <t>短袖</t>
        </is>
      </c>
      <c r="J514" t="inlineStr">
        <is>
          <t>0.02</t>
        </is>
      </c>
      <c r="K514" t="inlineStr">
        <is>
          <t>🔥低粉爆款</t>
        </is>
      </c>
      <c r="L514" t="inlineStr">
        <is>
          <t>小夏爱穿搭studio的店</t>
        </is>
      </c>
      <c r="M514">
        <v>12000</v>
      </c>
      <c r="N514">
        <v>4.57</v>
      </c>
      <c r="O514">
        <v>111000</v>
      </c>
      <c r="P514" t="inlineStr">
        <is>
          <t>65e819e2761e60000163c6f6</t>
        </is>
      </c>
      <c r="Q514" t="inlineStr">
        <is>
          <t>🚫重复</t>
        </is>
      </c>
      <c r="R514" t="inlineStr">
        <is>
          <t>16周</t>
        </is>
      </c>
      <c r="S514" t="inlineStr">
        <is>
          <t>3.17</t>
        </is>
      </c>
      <c r="T514" t="inlineStr">
        <is>
          <t>服饰穿搭</t>
        </is>
      </c>
      <c r="U514" t="inlineStr">
        <is>
          <t>女装</t>
        </is>
      </c>
      <c r="V514" s="3">
        <v>46127.98767361111</v>
      </c>
      <c r="W514" t="inlineStr">
        <is>
          <t>2026-Q2</t>
        </is>
      </c>
    </row>
    <row r="515" ht="25.5" customHeight="1">
      <c r="A515" t="inlineStr">
        <is>
          <t>【小飞袖𝟮.𝟬版】新升级!!韩系粉色短袖正肩T恤v领上衣女夏</t>
        </is>
      </c>
      <c r="B515" t="inlineStr">
        <is>
          <t>__upload_recvgSimhW6Cyh.jpg</t>
        </is>
      </c>
      <c r="C515" s="2" t="str">
        <f>=HYPERLINK("https://xhslink.com/m/A3TY7hLhbFu", "https://xhslink.com/m/A3TY7hLhbFu")</f>
        <v>https://xhslink.com/m/A3TY7hLhbFu</v>
      </c>
      <c r="D515"/>
      <c r="E515">
        <v>74000</v>
      </c>
      <c r="F515">
        <v>39.9</v>
      </c>
      <c r="G515"/>
      <c r="H515">
        <v>600</v>
      </c>
      <c r="I515" t="inlineStr">
        <is>
          <t>短袖</t>
        </is>
      </c>
      <c r="J515" t="inlineStr">
        <is>
          <t>0.01</t>
        </is>
      </c>
      <c r="K515"/>
      <c r="L515" t="inlineStr">
        <is>
          <t>海鸥服装厂的店</t>
        </is>
      </c>
      <c r="M515">
        <v>93000</v>
      </c>
      <c r="N515">
        <v>4.47</v>
      </c>
      <c r="O515">
        <v>1120000</v>
      </c>
      <c r="P515" t="inlineStr">
        <is>
          <t>67e2af0f93132e0001e4549e</t>
        </is>
      </c>
      <c r="Q515" t="inlineStr">
        <is>
          <t>🚫重复</t>
        </is>
      </c>
      <c r="R515" t="inlineStr">
        <is>
          <t>16周</t>
        </is>
      </c>
      <c r="S515" t="inlineStr">
        <is>
          <t>0.80</t>
        </is>
      </c>
      <c r="T515" t="inlineStr">
        <is>
          <t>服饰穿搭</t>
        </is>
      </c>
      <c r="U515" t="inlineStr">
        <is>
          <t>女装</t>
        </is>
      </c>
      <c r="V515" s="3">
        <v>46127.98767361111</v>
      </c>
      <c r="W515" t="inlineStr">
        <is>
          <t>2026-Q2</t>
        </is>
      </c>
    </row>
    <row r="516" ht="25.5" customHeight="1">
      <c r="A516" t="inlineStr">
        <is>
          <t>原创自制y2k辣妹春夏薄款可爱骨头别针猫耳贝雷帽显脸小八角帽子</t>
        </is>
      </c>
      <c r="B516" t="inlineStr">
        <is>
          <t>__upload_recvgSimhWChw2.jpg</t>
        </is>
      </c>
      <c r="C516" s="2" t="str">
        <f>=HYPERLINK("https://xhslink.com/m/3Wak7hwWgIK", "https://xhslink.com/m/3Wak7hwWgIK")</f>
        <v>https://xhslink.com/m/3Wak7hwWgIK</v>
      </c>
      <c r="D516"/>
      <c r="E516">
        <v>7799</v>
      </c>
      <c r="F516">
        <v>59</v>
      </c>
      <c r="G516">
        <v>39</v>
      </c>
      <c r="H516">
        <v>600</v>
      </c>
      <c r="I516" t="inlineStr">
        <is>
          <t>遮阳帽</t>
        </is>
      </c>
      <c r="J516" t="inlineStr">
        <is>
          <t>0.08</t>
        </is>
      </c>
      <c r="K516"/>
      <c r="L516" t="inlineStr">
        <is>
          <t>我要赚1000万的店</t>
        </is>
      </c>
      <c r="M516">
        <v>23000</v>
      </c>
      <c r="N516">
        <v>4.61</v>
      </c>
      <c r="O516">
        <v>38000</v>
      </c>
      <c r="P516" t="inlineStr">
        <is>
          <t>67e7687cc90d830001b65c79</t>
        </is>
      </c>
      <c r="Q516"/>
      <c r="R516" t="inlineStr">
        <is>
          <t>16周</t>
        </is>
      </c>
      <c r="S516" t="inlineStr">
        <is>
          <t>0.34</t>
        </is>
      </c>
      <c r="T516" t="inlineStr">
        <is>
          <t>服饰穿搭</t>
        </is>
      </c>
      <c r="U516" t="inlineStr">
        <is>
          <t>配饰</t>
        </is>
      </c>
      <c r="V516" s="3">
        <v>46127.98767361111</v>
      </c>
      <c r="W516" t="inlineStr">
        <is>
          <t>2026-Q2</t>
        </is>
      </c>
    </row>
    <row r="517" ht="25.5" customHeight="1">
      <c r="A517" t="inlineStr">
        <is>
          <t>【新款无痕一体遮阳】草帽空顶帽女夏防晒防紫外线骑行百搭太阳帽</t>
        </is>
      </c>
      <c r="B517" t="inlineStr">
        <is>
          <t>__upload_recvgSimhWzw6T.jpg</t>
        </is>
      </c>
      <c r="C517" s="2" t="str">
        <f>=HYPERLINK("https://xhslink.com/m/4O6kDOPty59", "https://xhslink.com/m/4O6kDOPty59")</f>
        <v>https://xhslink.com/m/4O6kDOPty59</v>
      </c>
      <c r="D517"/>
      <c r="E517">
        <v>1153</v>
      </c>
      <c r="F517">
        <v>69</v>
      </c>
      <c r="G517">
        <v>39.9</v>
      </c>
      <c r="H517">
        <v>600</v>
      </c>
      <c r="I517" t="inlineStr">
        <is>
          <t>遮阳帽</t>
        </is>
      </c>
      <c r="J517" t="inlineStr">
        <is>
          <t>0.52</t>
        </is>
      </c>
      <c r="K517"/>
      <c r="L517" t="inlineStr">
        <is>
          <t>是琪琪的店</t>
        </is>
      </c>
      <c r="M517">
        <v>29000</v>
      </c>
      <c r="N517">
        <v>4.87</v>
      </c>
      <c r="O517">
        <v>135000</v>
      </c>
      <c r="P517" t="inlineStr">
        <is>
          <t>69cb7fc5450d060001985581</t>
        </is>
      </c>
      <c r="Q517" t="inlineStr">
        <is>
          <t>🚫重复</t>
        </is>
      </c>
      <c r="R517" t="inlineStr">
        <is>
          <t>16周</t>
        </is>
      </c>
      <c r="S517" t="inlineStr">
        <is>
          <t>0.04</t>
        </is>
      </c>
      <c r="T517" t="inlineStr">
        <is>
          <t>运动潮玩</t>
        </is>
      </c>
      <c r="U517" t="inlineStr">
        <is>
          <t>运动户外装备</t>
        </is>
      </c>
      <c r="V517" s="3">
        <v>46127.98767361111</v>
      </c>
      <c r="W517" t="inlineStr">
        <is>
          <t>2026-Q2</t>
        </is>
      </c>
    </row>
    <row r="518" ht="25.5" customHeight="1">
      <c r="A518" t="inlineStr">
        <is>
          <t>在吃一口 · 卡其色低腰牛仔裤女春夏新款小个子不贴腿微喇叭裤子</t>
        </is>
      </c>
      <c r="B518" t="inlineStr">
        <is>
          <t>__upload_recvgY7N5zAdIf.jpg</t>
        </is>
      </c>
      <c r="C518" s="2" t="str">
        <f>=HYPERLINK("https://xhslink.com/m/3aso5jjjBb7", "https://xhslink.com/m/3aso5jjjBb7")</f>
        <v>https://xhslink.com/m/3aso5jjjBb7</v>
      </c>
      <c r="D518"/>
      <c r="E518">
        <v>5185</v>
      </c>
      <c r="F518">
        <v>99.98</v>
      </c>
      <c r="G518">
        <v>89.98</v>
      </c>
      <c r="H518">
        <v>600</v>
      </c>
      <c r="I518" t="inlineStr">
        <is>
          <t>裤子</t>
        </is>
      </c>
      <c r="J518" t="inlineStr">
        <is>
          <t>0.12</t>
        </is>
      </c>
      <c r="K518"/>
      <c r="L518" t="inlineStr">
        <is>
          <t>在吃一口就不吃了的店</t>
        </is>
      </c>
      <c r="M518">
        <v>6493</v>
      </c>
      <c r="N518">
        <v>4.63</v>
      </c>
      <c r="O518">
        <v>23000</v>
      </c>
      <c r="P518" t="inlineStr">
        <is>
          <t>68b1788954c0f3000195b975</t>
        </is>
      </c>
      <c r="Q518" t="inlineStr">
        <is>
          <t>🚫重复</t>
        </is>
      </c>
      <c r="R518" t="inlineStr">
        <is>
          <t>16周</t>
        </is>
      </c>
      <c r="S518" t="inlineStr">
        <is>
          <t>0.80</t>
        </is>
      </c>
      <c r="T518" t="inlineStr">
        <is>
          <t>服饰穿搭</t>
        </is>
      </c>
      <c r="U518" t="inlineStr">
        <is>
          <t>女装</t>
        </is>
      </c>
      <c r="V518" s="3">
        <v>46128.98467592592</v>
      </c>
      <c r="W518" t="inlineStr">
        <is>
          <t>2026-Q2</t>
        </is>
      </c>
    </row>
    <row r="519" ht="25.5" customHeight="1">
      <c r="A519" t="inlineStr">
        <is>
          <t>【亏本冲量！】全麦恰巴塔面包无油无蔗糖碱水管理期粗粮欧包早餐</t>
        </is>
      </c>
      <c r="B519" t="inlineStr">
        <is>
          <t>__upload_recvgY7N5zkWNu.jpg</t>
        </is>
      </c>
      <c r="C519" s="2" t="str">
        <f>=HYPERLINK("https://xhslink.com/m/48rLJ9HlKuC", "https://xhslink.com/m/48rLJ9HlKuC")</f>
        <v>https://xhslink.com/m/48rLJ9HlKuC</v>
      </c>
      <c r="D519"/>
      <c r="E519">
        <v>3762</v>
      </c>
      <c r="F519">
        <v>21.9</v>
      </c>
      <c r="G519">
        <v>16.9</v>
      </c>
      <c r="H519">
        <v>600</v>
      </c>
      <c r="I519" t="inlineStr">
        <is>
          <t>早餐面包</t>
        </is>
      </c>
      <c r="J519" t="inlineStr">
        <is>
          <t>0.16</t>
        </is>
      </c>
      <c r="K519"/>
      <c r="L519" t="inlineStr">
        <is>
          <t>比耶茄子酱✌的店</t>
        </is>
      </c>
      <c r="M519">
        <v>17000</v>
      </c>
      <c r="N519">
        <v>4.46</v>
      </c>
      <c r="O519">
        <v>160000</v>
      </c>
      <c r="P519" t="inlineStr">
        <is>
          <t>69b6738099f8fe00019674fd</t>
        </is>
      </c>
      <c r="Q519"/>
      <c r="R519" t="inlineStr">
        <is>
          <t>16周</t>
        </is>
      </c>
      <c r="S519" t="inlineStr">
        <is>
          <t>0.22</t>
        </is>
      </c>
      <c r="T519" t="inlineStr">
        <is>
          <t>美食滋补</t>
        </is>
      </c>
      <c r="U519" t="inlineStr">
        <is>
          <t>休闲零食</t>
        </is>
      </c>
      <c r="V519" s="3">
        <v>46128.98467592592</v>
      </c>
      <c r="W519" t="inlineStr">
        <is>
          <t>2026-Q2</t>
        </is>
      </c>
    </row>
    <row r="520" ht="25.5" customHeight="1">
      <c r="A520" t="inlineStr">
        <is>
          <t>【亏本冲量9.6包邮】必吃榜！办公室零食果肉脯追剧解馋短保</t>
        </is>
      </c>
      <c r="B520" t="inlineStr">
        <is>
          <t>__upload_recvh40CU0gu2L.jpg</t>
        </is>
      </c>
      <c r="C520" s="2" t="str">
        <f>=HYPERLINK("https://xhslink.com/m/1KjT5FG9kdb", "https://xhslink.com/m/1KjT5FG9kdb")</f>
        <v>https://xhslink.com/m/1KjT5FG9kdb</v>
      </c>
      <c r="D520"/>
      <c r="E520">
        <v>20000</v>
      </c>
      <c r="F520">
        <v>43.8</v>
      </c>
      <c r="G520">
        <v>28.8</v>
      </c>
      <c r="H520">
        <v>600</v>
      </c>
      <c r="I520" t="inlineStr">
        <is>
          <t>宿舍零食</t>
        </is>
      </c>
      <c r="J520" t="inlineStr">
        <is>
          <t>0.03</t>
        </is>
      </c>
      <c r="K520" t="inlineStr">
        <is>
          <t>🔥低粉爆款</t>
        </is>
      </c>
      <c r="L520" t="inlineStr">
        <is>
          <t>友喜柿發笙的店</t>
        </is>
      </c>
      <c r="M520">
        <v>129</v>
      </c>
      <c r="N520">
        <v>4.63</v>
      </c>
      <c r="O520">
        <v>20000</v>
      </c>
      <c r="P520" t="inlineStr">
        <is>
          <t>6909792ec6a9770001ee1bce</t>
        </is>
      </c>
      <c r="Q520" t="inlineStr">
        <is>
          <t>🚫重复</t>
        </is>
      </c>
      <c r="R520" t="inlineStr">
        <is>
          <t>16周</t>
        </is>
      </c>
      <c r="S520" t="inlineStr">
        <is>
          <t>155.04</t>
        </is>
      </c>
      <c r="T520" t="inlineStr">
        <is>
          <t>美食滋补</t>
        </is>
      </c>
      <c r="U520" t="inlineStr">
        <is>
          <t>休闲零食</t>
        </is>
      </c>
      <c r="V520" s="3">
        <v>46129.991064814814</v>
      </c>
      <c r="W520" t="inlineStr">
        <is>
          <t>2026-Q2</t>
        </is>
      </c>
    </row>
    <row r="521" ht="25.5" customHeight="1">
      <c r="A521" t="inlineStr">
        <is>
          <t>CASETIFY · 波漾 白色/砾石白 适用于iPhone17/16 波漾手机壳 可磁吸</t>
        </is>
      </c>
      <c r="B521" t="inlineStr">
        <is>
          <t>__upload_recvh40CU0NB56.jpg</t>
        </is>
      </c>
      <c r="C521" s="2" t="str">
        <f>=HYPERLINK("https://xhslink.com/m/A7a36HiZ6CX", "https://xhslink.com/m/A7a36HiZ6CX")</f>
        <v>https://xhslink.com/m/A7a36HiZ6CX</v>
      </c>
      <c r="D521"/>
      <c r="E521">
        <v>17000</v>
      </c>
      <c r="F521">
        <v>299</v>
      </c>
      <c r="G521"/>
      <c r="H521">
        <v>600</v>
      </c>
      <c r="I521" t="inlineStr">
        <is>
          <t>苹果手机壳</t>
        </is>
      </c>
      <c r="J521" t="inlineStr">
        <is>
          <t>0.04</t>
        </is>
      </c>
      <c r="K521"/>
      <c r="L521" t="inlineStr">
        <is>
          <t>CASETiFY旗舰店</t>
        </is>
      </c>
      <c r="M521">
        <v>333000</v>
      </c>
      <c r="N521">
        <v>4.71</v>
      </c>
      <c r="O521">
        <v>176000</v>
      </c>
      <c r="P521" t="inlineStr">
        <is>
          <t>65fd409370fc9b00012d3e67</t>
        </is>
      </c>
      <c r="Q521"/>
      <c r="R521" t="inlineStr">
        <is>
          <t>16周</t>
        </is>
      </c>
      <c r="S521" t="inlineStr">
        <is>
          <t>0.05</t>
        </is>
      </c>
      <c r="T521" t="inlineStr">
        <is>
          <t>数码家电</t>
        </is>
      </c>
      <c r="U521" t="inlineStr">
        <is>
          <t>数码配件</t>
        </is>
      </c>
      <c r="V521" s="3">
        <v>46129.991064814814</v>
      </c>
      <c r="W521" t="inlineStr">
        <is>
          <t>2026-Q2</t>
        </is>
      </c>
    </row>
    <row r="522" ht="25.5" customHeight="1">
      <c r="A522" t="inlineStr">
        <is>
          <t>6cm厚底拖鞋女推荐一字凉拖鞋EVA女拖鞋夏季外穿海边沙滩三亚穿搭</t>
        </is>
      </c>
      <c r="B522" t="inlineStr">
        <is>
          <t>__upload_recvh9P0bmvboN.jpg</t>
        </is>
      </c>
      <c r="C522" s="2" t="str">
        <f>=HYPERLINK("https://xhslink.com/m/jAy4bwBUwq", "https://xhslink.com/m/jAy4bwBUwq")</f>
        <v>https://xhslink.com/m/jAy4bwBUwq</v>
      </c>
      <c r="D522"/>
      <c r="E522">
        <v>5366</v>
      </c>
      <c r="F522">
        <v>33.8</v>
      </c>
      <c r="G522">
        <v>28.8</v>
      </c>
      <c r="H522">
        <v>600</v>
      </c>
      <c r="I522" t="inlineStr">
        <is>
          <t>海边穿搭</t>
        </is>
      </c>
      <c r="J522" t="inlineStr">
        <is>
          <t>0.11</t>
        </is>
      </c>
      <c r="K522"/>
      <c r="L522" t="inlineStr">
        <is>
          <t>金橘不酸的店</t>
        </is>
      </c>
      <c r="M522">
        <v>3183</v>
      </c>
      <c r="N522">
        <v>4.67</v>
      </c>
      <c r="O522">
        <v>481000</v>
      </c>
      <c r="P522" t="inlineStr">
        <is>
          <t>69a4f875be1ced0015a9b9ea</t>
        </is>
      </c>
      <c r="Q522" t="inlineStr">
        <is>
          <t>🚫重复</t>
        </is>
      </c>
      <c r="R522" t="inlineStr">
        <is>
          <t>16周</t>
        </is>
      </c>
      <c r="S522" t="inlineStr">
        <is>
          <t>1.69</t>
        </is>
      </c>
      <c r="T522" t="inlineStr">
        <is>
          <t>服饰穿搭</t>
        </is>
      </c>
      <c r="U522" t="inlineStr">
        <is>
          <t>鞋靴箱包</t>
        </is>
      </c>
      <c r="V522" s="3">
        <v>46130.98501157408</v>
      </c>
      <c r="W522" t="inlineStr">
        <is>
          <t>2026-Q2</t>
        </is>
      </c>
    </row>
    <row r="523" ht="25.5" customHeight="1">
      <c r="A523" t="inlineStr">
        <is>
          <t>优碧丝 · 焕颜3％烟酰胺+2％熊果苷滋润改善皮肤暗沉粗糙光滑透亮保湿精华</t>
        </is>
      </c>
      <c r="B523" t="inlineStr">
        <is>
          <t>__upload_recvh9P0bmpBgF.jpg</t>
        </is>
      </c>
      <c r="C523" s="2" t="str">
        <f>=HYPERLINK("https://xhslink.com/m/1jEbsKRiipo", "https://xhslink.com/m/1jEbsKRiipo")</f>
        <v>https://xhslink.com/m/1jEbsKRiipo</v>
      </c>
      <c r="D523"/>
      <c r="E523">
        <v>102000</v>
      </c>
      <c r="F523">
        <v>60</v>
      </c>
      <c r="G523">
        <v>29.8</v>
      </c>
      <c r="H523">
        <v>600</v>
      </c>
      <c r="I523" t="inlineStr">
        <is>
          <t>美妆</t>
        </is>
      </c>
      <c r="J523" t="inlineStr">
        <is>
          <t>0.01</t>
        </is>
      </c>
      <c r="K523" t="inlineStr">
        <is>
          <t>🔥低粉爆款</t>
        </is>
      </c>
      <c r="L523" t="inlineStr">
        <is>
          <t>优碧丝旗舰店</t>
        </is>
      </c>
      <c r="M523">
        <v>27000</v>
      </c>
      <c r="N523">
        <v>4.43</v>
      </c>
      <c r="O523">
        <v>144000</v>
      </c>
      <c r="P523" t="inlineStr">
        <is>
          <t>672326e21f5d4f00013e27b8</t>
        </is>
      </c>
      <c r="Q523" t="inlineStr">
        <is>
          <t>🚫重复</t>
        </is>
      </c>
      <c r="R523" t="inlineStr">
        <is>
          <t>16周</t>
        </is>
      </c>
      <c r="S523" t="inlineStr">
        <is>
          <t>3.78</t>
        </is>
      </c>
      <c r="T523" t="inlineStr">
        <is>
          <t>美妆个护</t>
        </is>
      </c>
      <c r="U523" t="inlineStr">
        <is>
          <t>护肤彩妆</t>
        </is>
      </c>
      <c r="V523" s="3">
        <v>46130.98501157408</v>
      </c>
      <c r="W523" t="inlineStr">
        <is>
          <t>2026-Q2</t>
        </is>
      </c>
    </row>
    <row r="524" ht="25.5" customHeight="1">
      <c r="A524" t="inlineStr">
        <is>
          <t>LFLF · 丸吉白白体膜烟酰胺白皮全身滋润身体乳</t>
        </is>
      </c>
      <c r="B524" t="inlineStr">
        <is>
          <t>__upload_recvh9P0bmyGvA.jpg</t>
        </is>
      </c>
      <c r="C524" s="2" t="str">
        <f>=HYPERLINK("https://xhslink.com/m/hMmcqoqTIW", "https://xhslink.com/m/hMmcqoqTIW")</f>
        <v>https://xhslink.com/m/hMmcqoqTIW</v>
      </c>
      <c r="D524"/>
      <c r="E524">
        <v>10000</v>
      </c>
      <c r="F524">
        <v>109.9</v>
      </c>
      <c r="G524">
        <v>49.9</v>
      </c>
      <c r="H524">
        <v>600</v>
      </c>
      <c r="I524" t="inlineStr">
        <is>
          <t>美妆</t>
        </is>
      </c>
      <c r="J524" t="inlineStr">
        <is>
          <t>0.06</t>
        </is>
      </c>
      <c r="K524"/>
      <c r="L524" t="inlineStr">
        <is>
          <t>七七国货铺的店</t>
        </is>
      </c>
      <c r="M524">
        <v>40000</v>
      </c>
      <c r="N524">
        <v>4.53</v>
      </c>
      <c r="O524">
        <v>77000</v>
      </c>
      <c r="P524" t="inlineStr">
        <is>
          <t>681771a6605b3a0001a9b0d3</t>
        </is>
      </c>
      <c r="Q524" t="inlineStr">
        <is>
          <t>🚫重复</t>
        </is>
      </c>
      <c r="R524" t="inlineStr">
        <is>
          <t>16周</t>
        </is>
      </c>
      <c r="S524" t="inlineStr">
        <is>
          <t>0.25</t>
        </is>
      </c>
      <c r="T524" t="inlineStr">
        <is>
          <t>美妆个护</t>
        </is>
      </c>
      <c r="U524" t="inlineStr">
        <is>
          <t>个人护理</t>
        </is>
      </c>
      <c r="V524" s="3">
        <v>46130.98501157408</v>
      </c>
      <c r="W524" t="inlineStr">
        <is>
          <t>2026-Q2</t>
        </is>
      </c>
    </row>
    <row r="525" ht="25.5" customHeight="1">
      <c r="A525" t="inlineStr">
        <is>
          <t>低脂鸡肉薄皮肉燕小馄饨轻食健身鸡胸肉扁食云吞早餐半成品低卡</t>
        </is>
      </c>
      <c r="B525" t="inlineStr">
        <is>
          <t>__upload_recvh9P0bmc52x.jpg</t>
        </is>
      </c>
      <c r="C525" s="2" t="str">
        <f>=HYPERLINK("https://xhslink.com/m/1ACZ1RYjN5J", "https://xhslink.com/m/1ACZ1RYjN5J")</f>
        <v>https://xhslink.com/m/1ACZ1RYjN5J</v>
      </c>
      <c r="D525"/>
      <c r="E525">
        <v>29000</v>
      </c>
      <c r="F525">
        <v>99.9</v>
      </c>
      <c r="G525"/>
      <c r="H525">
        <v>600</v>
      </c>
      <c r="I525" t="inlineStr">
        <is>
          <t>低热量零食</t>
        </is>
      </c>
      <c r="J525" t="inlineStr">
        <is>
          <t>0.02</t>
        </is>
      </c>
      <c r="K525" t="inlineStr">
        <is>
          <t>🔥低粉爆款</t>
        </is>
      </c>
      <c r="L525" t="inlineStr">
        <is>
          <t>开心饼干（低卡轻食版）的店</t>
        </is>
      </c>
      <c r="M525">
        <v>1478</v>
      </c>
      <c r="N525">
        <v>4.59</v>
      </c>
      <c r="O525">
        <v>30000</v>
      </c>
      <c r="P525" t="inlineStr">
        <is>
          <t>67e3e783a2a5110001eb846b</t>
        </is>
      </c>
      <c r="Q525" t="inlineStr">
        <is>
          <t>🚫重复</t>
        </is>
      </c>
      <c r="R525" t="inlineStr">
        <is>
          <t>16周</t>
        </is>
      </c>
      <c r="S525" t="inlineStr">
        <is>
          <t>19.62</t>
        </is>
      </c>
      <c r="T525" t="inlineStr">
        <is>
          <t>美食滋补</t>
        </is>
      </c>
      <c r="U525" t="inlineStr">
        <is>
          <t>休闲零食</t>
        </is>
      </c>
      <c r="V525" s="3">
        <v>46130.98501157408</v>
      </c>
      <c r="W525" t="inlineStr">
        <is>
          <t>2026-Q2</t>
        </is>
      </c>
    </row>
    <row r="526" ht="25.5" customHeight="1">
      <c r="A526" t="inlineStr">
        <is>
          <t>【五个大鸭腿】南京味道盐水鸭腿熟食包装开袋即食咸香味美</t>
        </is>
      </c>
      <c r="B526" t="inlineStr">
        <is>
          <t>__upload_recvh9P0bmvwQi.jpg</t>
        </is>
      </c>
      <c r="C526" s="2" t="str">
        <f>=HYPERLINK("https://xhslink.com/m/8JS9uVBBwXT", "https://xhslink.com/m/8JS9uVBBwXT")</f>
        <v>https://xhslink.com/m/8JS9uVBBwXT</v>
      </c>
      <c r="D526"/>
      <c r="E526">
        <v>82000</v>
      </c>
      <c r="F526">
        <v>19.9</v>
      </c>
      <c r="G526">
        <v>14.9</v>
      </c>
      <c r="H526">
        <v>600</v>
      </c>
      <c r="I526" t="inlineStr">
        <is>
          <t>低热量零食</t>
        </is>
      </c>
      <c r="J526" t="inlineStr">
        <is>
          <t>0.01</t>
        </is>
      </c>
      <c r="K526" t="inlineStr">
        <is>
          <t>🔥低粉爆款</t>
        </is>
      </c>
      <c r="L526" t="inlineStr">
        <is>
          <t>嬛嬛的低卡轻食日记的店</t>
        </is>
      </c>
      <c r="M526">
        <v>7979</v>
      </c>
      <c r="N526">
        <v>4.57</v>
      </c>
      <c r="O526">
        <v>288000</v>
      </c>
      <c r="P526" t="inlineStr">
        <is>
          <t>68f49f8e956aac001581b87f</t>
        </is>
      </c>
      <c r="Q526" t="inlineStr">
        <is>
          <t>🚫重复</t>
        </is>
      </c>
      <c r="R526" t="inlineStr">
        <is>
          <t>16周</t>
        </is>
      </c>
      <c r="S526" t="inlineStr">
        <is>
          <t>10.28</t>
        </is>
      </c>
      <c r="T526" t="inlineStr">
        <is>
          <t>美食滋补</t>
        </is>
      </c>
      <c r="U526" t="inlineStr">
        <is>
          <t>休闲零食</t>
        </is>
      </c>
      <c r="V526" s="3">
        <v>46130.98501157408</v>
      </c>
      <c r="W526" t="inlineStr">
        <is>
          <t>2026-Q2</t>
        </is>
      </c>
    </row>
    <row r="527" ht="25.5" customHeight="1">
      <c r="A527" t="inlineStr">
        <is>
          <t>一盒甜甜·春夏款组合装韩系棉中筒袜子女可爱甜美堆堆袜</t>
        </is>
      </c>
      <c r="B527" t="inlineStr">
        <is>
          <t>__upload_recvh9P0bm9GVY.jpg</t>
        </is>
      </c>
      <c r="C527" s="2" t="str">
        <f>=HYPERLINK("https://xhslink.com/m/6hMy69iaOnt", "https://xhslink.com/m/6hMy69iaOnt")</f>
        <v>https://xhslink.com/m/6hMy69iaOnt</v>
      </c>
      <c r="D527"/>
      <c r="E527">
        <v>15000</v>
      </c>
      <c r="F527">
        <v>35.8</v>
      </c>
      <c r="G527">
        <v>25.8</v>
      </c>
      <c r="H527">
        <v>600</v>
      </c>
      <c r="I527" t="inlineStr">
        <is>
          <t>袜子</t>
        </is>
      </c>
      <c r="J527" t="inlineStr">
        <is>
          <t>0.04</t>
        </is>
      </c>
      <c r="K527"/>
      <c r="L527" t="inlineStr">
        <is>
          <t>一盒甜甜的店</t>
        </is>
      </c>
      <c r="M527">
        <v>273000</v>
      </c>
      <c r="N527">
        <v>4.72</v>
      </c>
      <c r="O527">
        <v>461000</v>
      </c>
      <c r="P527" t="inlineStr">
        <is>
          <t>69c092465e5f050001c16bd6</t>
        </is>
      </c>
      <c r="Q527" t="inlineStr">
        <is>
          <t>🚫重复</t>
        </is>
      </c>
      <c r="R527" t="inlineStr">
        <is>
          <t>16周</t>
        </is>
      </c>
      <c r="S527" t="inlineStr">
        <is>
          <t>0.05</t>
        </is>
      </c>
      <c r="T527" t="inlineStr">
        <is>
          <t>服饰穿搭</t>
        </is>
      </c>
      <c r="U527" t="inlineStr">
        <is>
          <t>鞋靴箱包</t>
        </is>
      </c>
      <c r="V527" s="3">
        <v>46130.98501157408</v>
      </c>
      <c r="W527" t="inlineStr">
        <is>
          <t>2026-Q2</t>
        </is>
      </c>
    </row>
    <row r="528" ht="25.5" customHeight="1">
      <c r="A528" t="inlineStr">
        <is>
          <t>正宗奶油苹果山东烟台奶油富士新鲜水果现摘产地直发</t>
        </is>
      </c>
      <c r="B528" t="inlineStr">
        <is>
          <t>__upload_recvhfQmhqSYTE.jpg</t>
        </is>
      </c>
      <c r="C528" s="2" t="str">
        <f>=HYPERLINK("https://xhslink.com/m/4x0pzJBCitB", "https://xhslink.com/m/4x0pzJBCitB")</f>
        <v>https://xhslink.com/m/4x0pzJBCitB</v>
      </c>
      <c r="D528"/>
      <c r="E528">
        <v>31000</v>
      </c>
      <c r="F528">
        <v>54.9</v>
      </c>
      <c r="G528">
        <v>49.9</v>
      </c>
      <c r="H528">
        <v>600</v>
      </c>
      <c r="I528" t="inlineStr">
        <is>
          <t>水果</t>
        </is>
      </c>
      <c r="J528" t="inlineStr">
        <is>
          <t>0.02</t>
        </is>
      </c>
      <c r="K528" t="inlineStr">
        <is>
          <t>🔥低粉爆款</t>
        </is>
      </c>
      <c r="L528" t="inlineStr">
        <is>
          <t>嘉启小店的店</t>
        </is>
      </c>
      <c r="M528">
        <v>67</v>
      </c>
      <c r="N528">
        <v>4.61</v>
      </c>
      <c r="O528">
        <v>6812</v>
      </c>
      <c r="P528" t="inlineStr">
        <is>
          <t>680891e6a548d00015e0fd40</t>
        </is>
      </c>
      <c r="Q528" t="inlineStr">
        <is>
          <t>🚫重复</t>
        </is>
      </c>
      <c r="R528" t="inlineStr">
        <is>
          <t>17周</t>
        </is>
      </c>
      <c r="S528" t="inlineStr">
        <is>
          <t>462.69</t>
        </is>
      </c>
      <c r="T528" t="inlineStr">
        <is>
          <t>美食滋补</t>
        </is>
      </c>
      <c r="U528" t="inlineStr">
        <is>
          <t>生鲜特产</t>
        </is>
      </c>
      <c r="V528" s="3">
        <v>46132.014918981484</v>
      </c>
      <c r="W528" t="inlineStr">
        <is>
          <t>2026-Q2</t>
        </is>
      </c>
    </row>
    <row r="529" ht="25.5" customHeight="1">
      <c r="A529" t="inlineStr">
        <is>
          <t>大皮卡Pika白色温柔风半身裙高腰显瘦气质百搭长款a字三层蛋糕裙</t>
        </is>
      </c>
      <c r="B529" t="inlineStr">
        <is>
          <t>__upload_recvhfQmhqRIEk.jpg</t>
        </is>
      </c>
      <c r="C529" s="2" t="str">
        <f>=HYPERLINK("https://xhslink.com/m/41VEg5Jc7T4", "https://xhslink.com/m/41VEg5Jc7T4")</f>
        <v>https://xhslink.com/m/41VEg5Jc7T4</v>
      </c>
      <c r="D529"/>
      <c r="E529">
        <v>57000</v>
      </c>
      <c r="F529">
        <v>79</v>
      </c>
      <c r="G529"/>
      <c r="H529">
        <v>600</v>
      </c>
      <c r="I529" t="inlineStr">
        <is>
          <t>半身裙</t>
        </is>
      </c>
      <c r="J529" t="inlineStr">
        <is>
          <t>0.01</t>
        </is>
      </c>
      <c r="K529"/>
      <c r="L529" t="inlineStr">
        <is>
          <t>皮老板生意兴隆哦的店</t>
        </is>
      </c>
      <c r="M529">
        <v>64000</v>
      </c>
      <c r="N529">
        <v>4.69</v>
      </c>
      <c r="O529">
        <v>426000</v>
      </c>
      <c r="P529" t="inlineStr">
        <is>
          <t>67c45013f2389c0001e30ce9</t>
        </is>
      </c>
      <c r="Q529" t="inlineStr">
        <is>
          <t>🚫重复</t>
        </is>
      </c>
      <c r="R529" t="inlineStr">
        <is>
          <t>17周</t>
        </is>
      </c>
      <c r="S529" t="inlineStr">
        <is>
          <t>0.89</t>
        </is>
      </c>
      <c r="T529" t="inlineStr">
        <is>
          <t>服饰穿搭</t>
        </is>
      </c>
      <c r="U529" t="inlineStr">
        <is>
          <t>女装</t>
        </is>
      </c>
      <c r="V529" s="3">
        <v>46132.014918981484</v>
      </c>
      <c r="W529" t="inlineStr">
        <is>
          <t>2026-Q2</t>
        </is>
      </c>
    </row>
    <row r="530" ht="25.5" customHeight="1">
      <c r="A530" t="inlineStr">
        <is>
          <t>素月亮｜手作清冷感白蝶贝月亮吊坠项链S925银链</t>
        </is>
      </c>
      <c r="B530" t="inlineStr">
        <is>
          <t>__upload_recvhfQmhqWjYJ.jpg</t>
        </is>
      </c>
      <c r="C530" s="2" t="str">
        <f>=HYPERLINK("https://xhslink.com/m/6LMvPOA2J5T", "https://xhslink.com/m/6LMvPOA2J5T")</f>
        <v>https://xhslink.com/m/6LMvPOA2J5T</v>
      </c>
      <c r="D530"/>
      <c r="E530">
        <v>1582</v>
      </c>
      <c r="F530">
        <v>166.5</v>
      </c>
      <c r="G530">
        <v>146.5</v>
      </c>
      <c r="H530">
        <v>600</v>
      </c>
      <c r="I530" t="inlineStr">
        <is>
          <t>手链项链</t>
        </is>
      </c>
      <c r="J530" t="inlineStr">
        <is>
          <t>0.38</t>
        </is>
      </c>
      <c r="K530"/>
      <c r="L530" t="inlineStr">
        <is>
          <t>-Litsea Studio的店</t>
        </is>
      </c>
      <c r="M530">
        <v>3750</v>
      </c>
      <c r="N530">
        <v>4.57</v>
      </c>
      <c r="O530">
        <v>7688</v>
      </c>
      <c r="P530" t="inlineStr">
        <is>
          <t>69be71c1180bf40001278afe</t>
        </is>
      </c>
      <c r="Q530"/>
      <c r="R530" t="inlineStr">
        <is>
          <t>17周</t>
        </is>
      </c>
      <c r="S530" t="inlineStr">
        <is>
          <t>0.42</t>
        </is>
      </c>
      <c r="T530" t="inlineStr">
        <is>
          <t>服饰穿搭</t>
        </is>
      </c>
      <c r="U530" t="inlineStr">
        <is>
          <t>配饰</t>
        </is>
      </c>
      <c r="V530" s="3">
        <v>46132.014918981484</v>
      </c>
      <c r="W530" t="inlineStr">
        <is>
          <t>2026-Q2</t>
        </is>
      </c>
    </row>
    <row r="531" ht="25.5" customHeight="1">
      <c r="A531" t="inlineStr">
        <is>
          <t>【到手4袋】香美客苏打饼干火爆鱿鱼香葱海盐芝士黑松露混合口味</t>
        </is>
      </c>
      <c r="B531" t="inlineStr">
        <is>
          <t>recvcMzZj8e5qa.jpg</t>
        </is>
      </c>
      <c r="C531" s="2" t="str">
        <f>=HYPERLINK("https://xhslink.com/m/29P2mBJQ5EJ", "https://xhslink.com/m/29P2mBJQ5EJ")</f>
        <v>https://xhslink.com/m/29P2mBJQ5EJ</v>
      </c>
      <c r="D531"/>
      <c r="E531">
        <v>189000</v>
      </c>
      <c r="F531">
        <v>10.85</v>
      </c>
      <c r="G531"/>
      <c r="H531">
        <v>500</v>
      </c>
      <c r="I531" t="inlineStr">
        <is>
          <t>零食小吃</t>
        </is>
      </c>
      <c r="J531" t="inlineStr">
        <is>
          <t>0.00</t>
        </is>
      </c>
      <c r="K531" t="inlineStr">
        <is>
          <t>🔥低粉爆款</t>
        </is>
      </c>
      <c r="L531" t="inlineStr">
        <is>
          <t>好品食品的店</t>
        </is>
      </c>
      <c r="M531">
        <v>58000</v>
      </c>
      <c r="N531">
        <v>4.44</v>
      </c>
      <c r="O531">
        <v>333000</v>
      </c>
      <c r="P531" t="inlineStr">
        <is>
          <t>67ee2760f0efe5000182521e</t>
        </is>
      </c>
      <c r="Q531"/>
      <c r="R531" t="inlineStr">
        <is>
          <t>14周</t>
        </is>
      </c>
      <c r="S531" t="inlineStr">
        <is>
          <t>3.26</t>
        </is>
      </c>
      <c r="T531" t="inlineStr">
        <is>
          <t>美食滋补</t>
        </is>
      </c>
      <c r="U531" t="inlineStr">
        <is>
          <t>休闲零食</t>
        </is>
      </c>
      <c r="V531" s="3">
        <v>46112.78107638889</v>
      </c>
      <c r="W531" t="inlineStr">
        <is>
          <t>2026-Q1</t>
        </is>
      </c>
    </row>
    <row r="532" ht="25.5" customHeight="1">
      <c r="A532" t="inlineStr">
        <is>
          <t>【顺丰】牛胸口脆！脆片形式牛胸口！微微加热激活超香</t>
        </is>
      </c>
      <c r="B532" t="inlineStr">
        <is>
          <t>recvcMzZj8aFqT.jpg</t>
        </is>
      </c>
      <c r="C532" s="2" t="str">
        <f>=HYPERLINK("https://xhslink.com/m/4OhFHfkvHHW", "https://xhslink.com/m/4OhFHfkvHHW")</f>
        <v>https://xhslink.com/m/4OhFHfkvHHW</v>
      </c>
      <c r="D532"/>
      <c r="E532">
        <v>62000</v>
      </c>
      <c r="F532">
        <v>68</v>
      </c>
      <c r="G532"/>
      <c r="H532">
        <v>500</v>
      </c>
      <c r="I532" t="inlineStr">
        <is>
          <t>辣零食</t>
        </is>
      </c>
      <c r="J532" t="inlineStr">
        <is>
          <t>0.01</t>
        </is>
      </c>
      <c r="K532"/>
      <c r="L532" t="inlineStr">
        <is>
          <t>内蒙老赵的店</t>
        </is>
      </c>
      <c r="M532">
        <v>111000</v>
      </c>
      <c r="N532">
        <v>4.67</v>
      </c>
      <c r="O532">
        <v>509000</v>
      </c>
      <c r="P532" t="inlineStr">
        <is>
          <t>68a08d9e16b0c80001725851</t>
        </is>
      </c>
      <c r="Q532" t="inlineStr">
        <is>
          <t>🚫重复</t>
        </is>
      </c>
      <c r="R532" t="inlineStr">
        <is>
          <t>14周</t>
        </is>
      </c>
      <c r="S532" t="inlineStr">
        <is>
          <t>0.56</t>
        </is>
      </c>
      <c r="T532" t="inlineStr">
        <is>
          <t>美食滋补</t>
        </is>
      </c>
      <c r="U532" t="inlineStr">
        <is>
          <t>休闲零食</t>
        </is>
      </c>
      <c r="V532" s="3">
        <v>46112.78107638889</v>
      </c>
      <c r="W532" t="inlineStr">
        <is>
          <t>2026-Q1</t>
        </is>
      </c>
    </row>
    <row r="533" ht="25.5" customHeight="1">
      <c r="A533" t="inlineStr">
        <is>
          <t>KAZOO · 【陈妍希同款】冻干眼膜贴轻龄凝时抗皱眼纹去黑眼圈紧致贵妇套盒</t>
        </is>
      </c>
      <c r="B533" t="inlineStr">
        <is>
          <t>recvdDBukxT4P5.jpg</t>
        </is>
      </c>
      <c r="C533" s="2" t="str">
        <f>=HYPERLINK("https://xhslink.com/m/7YwGJoK1bVk", "https://xhslink.com/m/7YwGJoK1bVk")</f>
        <v>https://xhslink.com/m/7YwGJoK1bVk</v>
      </c>
      <c r="D533"/>
      <c r="E533">
        <v>124000</v>
      </c>
      <c r="F533">
        <v>549</v>
      </c>
      <c r="G533"/>
      <c r="H533">
        <v>500</v>
      </c>
      <c r="I533" t="inlineStr">
        <is>
          <t>眼膜</t>
        </is>
      </c>
      <c r="J533" t="inlineStr">
        <is>
          <t>0.00</t>
        </is>
      </c>
      <c r="K533"/>
      <c r="L533" t="inlineStr">
        <is>
          <t>kazoo可逐美妆旗舰店</t>
        </is>
      </c>
      <c r="M533">
        <v>101000</v>
      </c>
      <c r="N533">
        <v>4.57</v>
      </c>
      <c r="O533">
        <v>187000</v>
      </c>
      <c r="P533" t="inlineStr">
        <is>
          <t>68874c649e8374000161b73e</t>
        </is>
      </c>
      <c r="Q533" t="inlineStr">
        <is>
          <t>🚫重复</t>
        </is>
      </c>
      <c r="R533" t="inlineStr">
        <is>
          <t>14周</t>
        </is>
      </c>
      <c r="S533" t="inlineStr">
        <is>
          <t>1.23</t>
        </is>
      </c>
      <c r="T533" t="inlineStr">
        <is>
          <t>美妆个护</t>
        </is>
      </c>
      <c r="U533" t="inlineStr">
        <is>
          <t>护肤彩妆</t>
        </is>
      </c>
      <c r="V533" s="3">
        <v>46112.78107638889</v>
      </c>
      <c r="W533" t="inlineStr">
        <is>
          <t>2026-Q1</t>
        </is>
      </c>
    </row>
    <row r="534" ht="25.5" customHeight="1">
      <c r="A534" t="inlineStr">
        <is>
          <t>嗨山姆先森 · 手工厚切黄油吐司新鲜早餐奶香烘焙优选原味浓郁面包早八人儿童</t>
        </is>
      </c>
      <c r="B534" t="inlineStr">
        <is>
          <t>recvdOJ3S2sexO.jpg</t>
        </is>
      </c>
      <c r="C534" s="2" t="str">
        <f>=HYPERLINK("https://xhslink.com/m/8qjTJr2ahs", "https://xhslink.com/m/8qjTJr2ahs")</f>
        <v>https://xhslink.com/m/8qjTJr2ahs</v>
      </c>
      <c r="D534"/>
      <c r="E534">
        <v>89000</v>
      </c>
      <c r="F534">
        <v>19.9</v>
      </c>
      <c r="G534"/>
      <c r="H534">
        <v>500</v>
      </c>
      <c r="I534" t="inlineStr">
        <is>
          <t>面包</t>
        </is>
      </c>
      <c r="J534" t="inlineStr">
        <is>
          <t>0.01</t>
        </is>
      </c>
      <c r="K534" t="inlineStr">
        <is>
          <t>🔥低粉爆款</t>
        </is>
      </c>
      <c r="L534" t="inlineStr">
        <is>
          <t>嗨山姆先森食品旗舰店</t>
        </is>
      </c>
      <c r="M534">
        <v>6823</v>
      </c>
      <c r="N534">
        <v>4.65</v>
      </c>
      <c r="O534">
        <v>108000</v>
      </c>
      <c r="P534" t="inlineStr">
        <is>
          <t>6960a5048510c00001eac6e1</t>
        </is>
      </c>
      <c r="Q534" t="inlineStr">
        <is>
          <t>🚫重复</t>
        </is>
      </c>
      <c r="R534" t="inlineStr">
        <is>
          <t>14周</t>
        </is>
      </c>
      <c r="S534" t="inlineStr">
        <is>
          <t>13.04</t>
        </is>
      </c>
      <c r="T534" t="inlineStr">
        <is>
          <t>美食滋补</t>
        </is>
      </c>
      <c r="U534" t="inlineStr">
        <is>
          <t>休闲零食</t>
        </is>
      </c>
      <c r="V534" s="3">
        <v>46112.78107638889</v>
      </c>
      <c r="W534" t="inlineStr">
        <is>
          <t>2026-Q1</t>
        </is>
      </c>
    </row>
    <row r="535" ht="25.5" customHeight="1">
      <c r="A535" t="inlineStr">
        <is>
          <t>碳烤八风干纯瘦牛肉干（无添加、非油炸）</t>
        </is>
      </c>
      <c r="B535" t="inlineStr">
        <is>
          <t>recvdOJ3S2hehi.jpg</t>
        </is>
      </c>
      <c r="C535" s="2" t="str">
        <f>=HYPERLINK("https://xhslink.com/m/2Sf8MwiXcQc", "https://xhslink.com/m/2Sf8MwiXcQc")</f>
        <v>https://xhslink.com/m/2Sf8MwiXcQc</v>
      </c>
      <c r="D535"/>
      <c r="E535">
        <v>124000</v>
      </c>
      <c r="F535">
        <v>9.9</v>
      </c>
      <c r="G535"/>
      <c r="H535">
        <v>500</v>
      </c>
      <c r="I535" t="inlineStr">
        <is>
          <t>肉干</t>
        </is>
      </c>
      <c r="J535" t="inlineStr">
        <is>
          <t>0.00</t>
        </is>
      </c>
      <c r="K535" t="inlineStr">
        <is>
          <t>🔥低粉爆款</t>
        </is>
      </c>
      <c r="L535" t="inlineStr">
        <is>
          <t>97只做现烤牛肉干的店</t>
        </is>
      </c>
      <c r="M535">
        <v>11000</v>
      </c>
      <c r="N535">
        <v>4.64</v>
      </c>
      <c r="O535">
        <v>164000</v>
      </c>
      <c r="P535" t="inlineStr">
        <is>
          <t>664980bf533bfa0001858fe2</t>
        </is>
      </c>
      <c r="Q535" t="inlineStr">
        <is>
          <t>🚫重复</t>
        </is>
      </c>
      <c r="R535" t="inlineStr">
        <is>
          <t>14周</t>
        </is>
      </c>
      <c r="S535" t="inlineStr">
        <is>
          <t>11.27</t>
        </is>
      </c>
      <c r="T535" t="inlineStr">
        <is>
          <t>美食滋补</t>
        </is>
      </c>
      <c r="U535" t="inlineStr">
        <is>
          <t>休闲零食</t>
        </is>
      </c>
      <c r="V535" s="3">
        <v>46112.78107638889</v>
      </c>
      <c r="W535" t="inlineStr">
        <is>
          <t>2026-Q1</t>
        </is>
      </c>
    </row>
    <row r="536" ht="25.5" customHeight="1">
      <c r="A536" t="inlineStr">
        <is>
          <t>高小琴家·真皮5cm厚底英伦风黑色圆头系带小皮鞋乐福马丁鞋</t>
        </is>
      </c>
      <c r="B536" t="inlineStr">
        <is>
          <t>recvdOJ3S2zORc.jpg</t>
        </is>
      </c>
      <c r="C536" s="2" t="str">
        <f>=HYPERLINK("https://xhslink.com/m/Uv5VXgigOx", "https://xhslink.com/m/Uv5VXgigOx")</f>
        <v>https://xhslink.com/m/Uv5VXgigOx</v>
      </c>
      <c r="D536"/>
      <c r="E536">
        <v>13000</v>
      </c>
      <c r="F536">
        <v>138</v>
      </c>
      <c r="G536"/>
      <c r="H536">
        <v>500</v>
      </c>
      <c r="I536" t="inlineStr">
        <is>
          <t>乐福鞋</t>
        </is>
      </c>
      <c r="J536" t="inlineStr">
        <is>
          <t>0.04</t>
        </is>
      </c>
      <c r="K536" t="inlineStr">
        <is>
          <t>🔥低粉爆款</t>
        </is>
      </c>
      <c r="L536" t="inlineStr">
        <is>
          <t>高小琴家的店</t>
        </is>
      </c>
      <c r="M536">
        <v>670</v>
      </c>
      <c r="N536">
        <v>4.57</v>
      </c>
      <c r="O536">
        <v>16000</v>
      </c>
      <c r="P536" t="inlineStr">
        <is>
          <t>682ffdd46fdc8e0001f761f2</t>
        </is>
      </c>
      <c r="Q536" t="inlineStr">
        <is>
          <t>🚫重复</t>
        </is>
      </c>
      <c r="R536" t="inlineStr">
        <is>
          <t>14周</t>
        </is>
      </c>
      <c r="S536" t="inlineStr">
        <is>
          <t>19.40</t>
        </is>
      </c>
      <c r="T536" t="inlineStr">
        <is>
          <t>服饰穿搭</t>
        </is>
      </c>
      <c r="U536" t="inlineStr">
        <is>
          <t>鞋靴箱包</t>
        </is>
      </c>
      <c r="V536" s="3">
        <v>46112.78107638889</v>
      </c>
      <c r="W536" t="inlineStr">
        <is>
          <t>2026-Q1</t>
        </is>
      </c>
    </row>
    <row r="537" ht="25.5" customHeight="1">
      <c r="A537" t="inlineStr">
        <is>
          <t>其他 · 小气泡去黑头 电动温和清洁 居家清洁 4挡位6吸头 升级显示屏款</t>
        </is>
      </c>
      <c r="B537" t="inlineStr">
        <is>
          <t>recvdUhmdaWMp2.jpg</t>
        </is>
      </c>
      <c r="C537" s="2" t="str">
        <f>=HYPERLINK("https://xhslink.com/m/9pgWtlT8TEB", "https://xhslink.com/m/9pgWtlT8TEB")</f>
        <v>https://xhslink.com/m/9pgWtlT8TEB</v>
      </c>
      <c r="D537"/>
      <c r="E537">
        <v>18000</v>
      </c>
      <c r="F537">
        <v>39.9</v>
      </c>
      <c r="G537">
        <v>19.9</v>
      </c>
      <c r="H537">
        <v>500</v>
      </c>
      <c r="I537" t="inlineStr">
        <is>
          <t>美容工具</t>
        </is>
      </c>
      <c r="J537" t="inlineStr">
        <is>
          <t>0.03</t>
        </is>
      </c>
      <c r="K537" t="inlineStr">
        <is>
          <t>🔥低粉爆款</t>
        </is>
      </c>
      <c r="L537" t="inlineStr">
        <is>
          <t>纤氧未来梦工坊的店</t>
        </is>
      </c>
      <c r="M537">
        <v>56</v>
      </c>
      <c r="N537">
        <v>4.41</v>
      </c>
      <c r="O537">
        <v>23000</v>
      </c>
      <c r="P537" t="inlineStr">
        <is>
          <t>68daad77409655001552d431</t>
        </is>
      </c>
      <c r="Q537"/>
      <c r="R537" t="inlineStr">
        <is>
          <t>14周</t>
        </is>
      </c>
      <c r="S537" t="inlineStr">
        <is>
          <t>321.43</t>
        </is>
      </c>
      <c r="T537" t="inlineStr">
        <is>
          <t>家居生活</t>
        </is>
      </c>
      <c r="U537" t="inlineStr">
        <is>
          <t>家居日用</t>
        </is>
      </c>
      <c r="V537" s="3">
        <v>46112.78107638889</v>
      </c>
      <c r="W537" t="inlineStr">
        <is>
          <t>2026-Q1</t>
        </is>
      </c>
    </row>
    <row r="538" ht="25.5" customHeight="1">
      <c r="A538" t="inlineStr">
        <is>
          <t>欧盟认证匹马棉！240g高克重纯色极简风短袖T恤女</t>
        </is>
      </c>
      <c r="B538" t="inlineStr">
        <is>
          <t>recvdWIhrwqvHb.jpg</t>
        </is>
      </c>
      <c r="C538" s="2" t="str">
        <f>=HYPERLINK("https://xhslink.com/m/41fANwFaKg3", "https://xhslink.com/m/41fANwFaKg3")</f>
        <v>https://xhslink.com/m/41fANwFaKg3</v>
      </c>
      <c r="D538"/>
      <c r="E538">
        <v>2455</v>
      </c>
      <c r="F538">
        <v>48</v>
      </c>
      <c r="G538"/>
      <c r="H538">
        <v>500</v>
      </c>
      <c r="I538" t="inlineStr">
        <is>
          <t>T恤</t>
        </is>
      </c>
      <c r="J538" t="inlineStr">
        <is>
          <t>0.20</t>
        </is>
      </c>
      <c r="K538"/>
      <c r="L538" t="inlineStr">
        <is>
          <t>小红书范爷的店</t>
        </is>
      </c>
      <c r="M538">
        <v>286000</v>
      </c>
      <c r="N538">
        <v>4.55</v>
      </c>
      <c r="O538">
        <v>3276000</v>
      </c>
      <c r="P538" t="inlineStr">
        <is>
          <t>69a01bff5f567d000185d4f0</t>
        </is>
      </c>
      <c r="Q538" t="inlineStr">
        <is>
          <t>🚫重复</t>
        </is>
      </c>
      <c r="R538" t="inlineStr">
        <is>
          <t>14周</t>
        </is>
      </c>
      <c r="S538" t="inlineStr">
        <is>
          <t>0.01</t>
        </is>
      </c>
      <c r="T538" t="inlineStr">
        <is>
          <t>服饰穿搭</t>
        </is>
      </c>
      <c r="U538" t="inlineStr">
        <is>
          <t>女装</t>
        </is>
      </c>
      <c r="V538" s="3">
        <v>46112.78107638889</v>
      </c>
      <c r="W538" t="inlineStr">
        <is>
          <t>2026-Q1</t>
        </is>
      </c>
    </row>
    <row r="539" ht="25.5" customHeight="1">
      <c r="A539" t="inlineStr">
        <is>
          <t>禾一斯 · 网红爆款马上有钱六色猫眼胶白开水百搭显白罐装美甲油胶</t>
        </is>
      </c>
      <c r="B539" t="inlineStr">
        <is>
          <t>recvdWIhrwMLPW.jpg</t>
        </is>
      </c>
      <c r="C539" s="2" t="str">
        <f>=HYPERLINK("https://xhslink.com/m/7hsZOh0beZo", "https://xhslink.com/m/7hsZOh0beZo")</f>
        <v>https://xhslink.com/m/7hsZOh0beZo</v>
      </c>
      <c r="D539"/>
      <c r="E539">
        <v>4488</v>
      </c>
      <c r="F539">
        <v>29.8</v>
      </c>
      <c r="G539"/>
      <c r="H539">
        <v>500</v>
      </c>
      <c r="I539" t="inlineStr">
        <is>
          <t>美甲美睫</t>
        </is>
      </c>
      <c r="J539" t="inlineStr">
        <is>
          <t>0.11</t>
        </is>
      </c>
      <c r="K539"/>
      <c r="L539" t="inlineStr">
        <is>
          <t>禾一斯美甲旗舰店</t>
        </is>
      </c>
      <c r="M539">
        <v>7760</v>
      </c>
      <c r="N539">
        <v>4.81</v>
      </c>
      <c r="O539">
        <v>148000</v>
      </c>
      <c r="P539" t="inlineStr">
        <is>
          <t>698c876bfb672a00154a6bff</t>
        </is>
      </c>
      <c r="Q539" t="inlineStr">
        <is>
          <t>🚫重复</t>
        </is>
      </c>
      <c r="R539" t="inlineStr">
        <is>
          <t>14周</t>
        </is>
      </c>
      <c r="S539" t="inlineStr">
        <is>
          <t>0.58</t>
        </is>
      </c>
      <c r="T539" t="inlineStr">
        <is>
          <t>美妆个护</t>
        </is>
      </c>
      <c r="U539" t="inlineStr">
        <is>
          <t>护肤彩妆</t>
        </is>
      </c>
      <c r="V539" s="3">
        <v>46112.78107638889</v>
      </c>
      <c r="W539" t="inlineStr">
        <is>
          <t>2026-Q1</t>
        </is>
      </c>
    </row>
    <row r="540" ht="25.5" customHeight="1">
      <c r="A540" t="inlineStr">
        <is>
          <t>工装裤女美式复古百搭速干阔腿裤春夏新款垂感宽松显瘦休闲运动裤</t>
        </is>
      </c>
      <c r="B540" t="inlineStr">
        <is>
          <t>recve0Cd8qerSt.jpg</t>
        </is>
      </c>
      <c r="C540" s="2" t="str">
        <f>=HYPERLINK("https://xhslink.com/m/3xiy481wUK7", "https://xhslink.com/m/3xiy481wUK7")</f>
        <v>https://xhslink.com/m/3xiy481wUK7</v>
      </c>
      <c r="D540"/>
      <c r="E540">
        <v>188000</v>
      </c>
      <c r="F540">
        <v>69.9</v>
      </c>
      <c r="G540"/>
      <c r="H540">
        <v>500</v>
      </c>
      <c r="I540" t="inlineStr">
        <is>
          <t>穿搭</t>
        </is>
      </c>
      <c r="J540" t="inlineStr">
        <is>
          <t>0.00</t>
        </is>
      </c>
      <c r="K540"/>
      <c r="L540" t="inlineStr">
        <is>
          <t>小鹅学姐穿搭的店的店</t>
        </is>
      </c>
      <c r="M540">
        <v>229000</v>
      </c>
      <c r="N540">
        <v>4.39</v>
      </c>
      <c r="O540">
        <v>1474000</v>
      </c>
      <c r="P540" t="inlineStr">
        <is>
          <t>67bef8fc3298ba00013349d6</t>
        </is>
      </c>
      <c r="Q540" t="inlineStr">
        <is>
          <t>🚫重复</t>
        </is>
      </c>
      <c r="R540" t="inlineStr">
        <is>
          <t>14周</t>
        </is>
      </c>
      <c r="S540" t="inlineStr">
        <is>
          <t>0.82</t>
        </is>
      </c>
      <c r="T540" t="inlineStr">
        <is>
          <t>服饰穿搭</t>
        </is>
      </c>
      <c r="U540" t="inlineStr">
        <is>
          <t>女装</t>
        </is>
      </c>
      <c r="V540" s="3">
        <v>46112.78107638889</v>
      </c>
      <c r="W540" t="inlineStr">
        <is>
          <t>2026-Q1</t>
        </is>
      </c>
    </row>
    <row r="541" ht="25.5" customHeight="1">
      <c r="A541" t="inlineStr">
        <is>
          <t>韩版复古圆形遮阳红色墨镜女潮简约夏季度假防紫外线太阳镜20083</t>
        </is>
      </c>
      <c r="B541" t="inlineStr">
        <is>
          <t>recve0Cd8qxoaE.jpg</t>
        </is>
      </c>
      <c r="C541" s="2" t="str">
        <f>=HYPERLINK("https://xhslink.com/m/6oCdU67P8Ui", "https://xhslink.com/m/6oCdU67P8Ui")</f>
        <v>https://xhslink.com/m/6oCdU67P8Ui</v>
      </c>
      <c r="D541"/>
      <c r="E541">
        <v>10000</v>
      </c>
      <c r="F541">
        <v>39.9</v>
      </c>
      <c r="G541">
        <v>37.9</v>
      </c>
      <c r="H541">
        <v>500</v>
      </c>
      <c r="I541" t="inlineStr">
        <is>
          <t>穿搭</t>
        </is>
      </c>
      <c r="J541" t="inlineStr">
        <is>
          <t>0.05</t>
        </is>
      </c>
      <c r="K541" t="inlineStr">
        <is>
          <t>🔥低粉爆款</t>
        </is>
      </c>
      <c r="L541" t="inlineStr">
        <is>
          <t>蓝陌眼镜的店</t>
        </is>
      </c>
      <c r="M541">
        <v>1164</v>
      </c>
      <c r="N541">
        <v>4.61</v>
      </c>
      <c r="O541">
        <v>21000</v>
      </c>
      <c r="P541" t="inlineStr">
        <is>
          <t>6896cff8b1b9df00019bf24d</t>
        </is>
      </c>
      <c r="Q541" t="inlineStr">
        <is>
          <t>🚫重复</t>
        </is>
      </c>
      <c r="R541" t="inlineStr">
        <is>
          <t>14周</t>
        </is>
      </c>
      <c r="S541" t="inlineStr">
        <is>
          <t>8.59</t>
        </is>
      </c>
      <c r="T541" t="inlineStr">
        <is>
          <t>服饰穿搭</t>
        </is>
      </c>
      <c r="U541" t="inlineStr">
        <is>
          <t>配饰</t>
        </is>
      </c>
      <c r="V541" s="3">
        <v>46112.78107638889</v>
      </c>
      <c r="W541" t="inlineStr">
        <is>
          <t>2026-Q1</t>
        </is>
      </c>
    </row>
    <row r="542" ht="25.5" customHeight="1">
      <c r="A542" t="inlineStr">
        <is>
          <t>低脂鸡肉薄皮肉燕小馄饨轻食健身鸡胸肉扁食云吞早餐半成品低卡</t>
        </is>
      </c>
      <c r="B542" t="inlineStr">
        <is>
          <t>recve60dL6inio.jpg</t>
        </is>
      </c>
      <c r="C542" s="2" t="str">
        <f>=HYPERLINK("https://xhslink.com/m/8oHNBmGGkxP", "https://xhslink.com/m/8oHNBmGGkxP")</f>
        <v>https://xhslink.com/m/8oHNBmGGkxP</v>
      </c>
      <c r="D542"/>
      <c r="E542">
        <v>23000</v>
      </c>
      <c r="F542">
        <v>39.9</v>
      </c>
      <c r="G542"/>
      <c r="H542">
        <v>500</v>
      </c>
      <c r="I542" t="inlineStr">
        <is>
          <t>食品</t>
        </is>
      </c>
      <c r="J542" t="inlineStr">
        <is>
          <t>0.02</t>
        </is>
      </c>
      <c r="K542" t="inlineStr">
        <is>
          <t>🔥低粉爆款</t>
        </is>
      </c>
      <c r="L542" t="inlineStr">
        <is>
          <t>开心饼干（低卡轻食版）的店</t>
        </is>
      </c>
      <c r="M542">
        <v>1335</v>
      </c>
      <c r="N542">
        <v>4.53</v>
      </c>
      <c r="O542">
        <v>24000</v>
      </c>
      <c r="P542" t="inlineStr">
        <is>
          <t>683133a5d6eee700018e311e</t>
        </is>
      </c>
      <c r="Q542" t="inlineStr">
        <is>
          <t>🚫重复</t>
        </is>
      </c>
      <c r="R542" t="inlineStr">
        <is>
          <t>14周</t>
        </is>
      </c>
      <c r="S542" t="inlineStr">
        <is>
          <t>17.23</t>
        </is>
      </c>
      <c r="T542" t="inlineStr">
        <is>
          <t>美食滋补</t>
        </is>
      </c>
      <c r="U542" t="inlineStr">
        <is>
          <t>休闲零食</t>
        </is>
      </c>
      <c r="V542" s="3">
        <v>46112.78107638889</v>
      </c>
      <c r="W542" t="inlineStr">
        <is>
          <t>2026-Q1</t>
        </is>
      </c>
    </row>
    <row r="543" ht="25.5" customHeight="1">
      <c r="A543" t="inlineStr">
        <is>
          <t>双面磁吸手机支架大全合金材质桌面支架赠2个磁吸环</t>
        </is>
      </c>
      <c r="B543" t="inlineStr">
        <is>
          <t>recve60dL6IHFD.jpg</t>
        </is>
      </c>
      <c r="C543" s="2" t="str">
        <f>=HYPERLINK("https://xhslink.com/m/36kRKqpSqE4", "https://xhslink.com/m/36kRKqpSqE4")</f>
        <v>https://xhslink.com/m/36kRKqpSqE4</v>
      </c>
      <c r="D543"/>
      <c r="E543">
        <v>20000</v>
      </c>
      <c r="F543">
        <v>36.3</v>
      </c>
      <c r="G543">
        <v>30.8</v>
      </c>
      <c r="H543">
        <v>500</v>
      </c>
      <c r="I543" t="inlineStr">
        <is>
          <t>手机支架</t>
        </is>
      </c>
      <c r="J543" t="inlineStr">
        <is>
          <t>0.03</t>
        </is>
      </c>
      <c r="K543" t="inlineStr">
        <is>
          <t>🔥低粉爆款</t>
        </is>
      </c>
      <c r="L543" t="inlineStr">
        <is>
          <t>嘟嘟伊娃的店</t>
        </is>
      </c>
      <c r="M543">
        <v>1708</v>
      </c>
      <c r="N543">
        <v>4.41</v>
      </c>
      <c r="O543">
        <v>24000</v>
      </c>
      <c r="P543" t="inlineStr">
        <is>
          <t>68e8e14fed3b2f00012b7893</t>
        </is>
      </c>
      <c r="Q543" t="inlineStr">
        <is>
          <t>🚫重复</t>
        </is>
      </c>
      <c r="R543" t="inlineStr">
        <is>
          <t>14周</t>
        </is>
      </c>
      <c r="S543" t="inlineStr">
        <is>
          <t>11.71</t>
        </is>
      </c>
      <c r="T543" t="inlineStr">
        <is>
          <t>数码家电</t>
        </is>
      </c>
      <c r="U543" t="inlineStr">
        <is>
          <t>数码配件</t>
        </is>
      </c>
      <c r="V543" s="3">
        <v>46112.78107638889</v>
      </c>
      <c r="W543" t="inlineStr">
        <is>
          <t>2026-Q1</t>
        </is>
      </c>
    </row>
    <row r="544" ht="25.5" customHeight="1">
      <c r="A544" t="inlineStr">
        <is>
          <t>【买二送二】新鲜蓝莓甄选当季鲜果孕妇宝宝辅食整箱现摘S9-2</t>
        </is>
      </c>
      <c r="B544" t="inlineStr">
        <is>
          <t>recveckoIE5haV.jpg</t>
        </is>
      </c>
      <c r="C544" s="2" t="str">
        <f>=HYPERLINK("https://xhslink.com/m/AM0u0HNBDo3", "https://xhslink.com/m/AM0u0HNBDo3")</f>
        <v>https://xhslink.com/m/AM0u0HNBDo3</v>
      </c>
      <c r="D544"/>
      <c r="E544">
        <v>12000</v>
      </c>
      <c r="F544">
        <v>48.9</v>
      </c>
      <c r="G544">
        <v>18.9</v>
      </c>
      <c r="H544">
        <v>500</v>
      </c>
      <c r="I544" t="inlineStr">
        <is>
          <t>水果</t>
        </is>
      </c>
      <c r="J544" t="inlineStr">
        <is>
          <t>0.04</t>
        </is>
      </c>
      <c r="K544" t="inlineStr">
        <is>
          <t>🔥低粉爆款</t>
        </is>
      </c>
      <c r="L544" t="inlineStr">
        <is>
          <t>卓速配的店</t>
        </is>
      </c>
      <c r="M544">
        <v>172</v>
      </c>
      <c r="N544">
        <v>4.32</v>
      </c>
      <c r="O544">
        <v>122000</v>
      </c>
      <c r="P544" t="inlineStr">
        <is>
          <t>6988444b7db7d200015f07ab</t>
        </is>
      </c>
      <c r="Q544" t="inlineStr">
        <is>
          <t>🚫重复</t>
        </is>
      </c>
      <c r="R544" t="inlineStr">
        <is>
          <t>14周</t>
        </is>
      </c>
      <c r="S544" t="inlineStr">
        <is>
          <t>69.77</t>
        </is>
      </c>
      <c r="T544" t="inlineStr">
        <is>
          <t>母婴亲子</t>
        </is>
      </c>
      <c r="U544" t="inlineStr">
        <is>
          <t>童装童鞋</t>
        </is>
      </c>
      <c r="V544" s="3">
        <v>46112.78107638889</v>
      </c>
      <c r="W544" t="inlineStr">
        <is>
          <t>2026-Q1</t>
        </is>
      </c>
    </row>
    <row r="545" ht="25.5" customHeight="1">
      <c r="A545" t="inlineStr">
        <is>
          <t>顺丰包邮云南新鲜红皮波姬无花果软糯清甜孕妇应季水果坏果包赔</t>
        </is>
      </c>
      <c r="B545" t="inlineStr">
        <is>
          <t>recveckoIEjhF2.jpg</t>
        </is>
      </c>
      <c r="C545" s="2" t="str">
        <f>=HYPERLINK("https://xhslink.com/m/4BtrwZbsqML", "https://xhslink.com/m/4BtrwZbsqML")</f>
        <v>https://xhslink.com/m/4BtrwZbsqML</v>
      </c>
      <c r="D545"/>
      <c r="E545">
        <v>3883</v>
      </c>
      <c r="F545">
        <v>74.8</v>
      </c>
      <c r="G545">
        <v>61.8</v>
      </c>
      <c r="H545">
        <v>500</v>
      </c>
      <c r="I545" t="inlineStr">
        <is>
          <t>水果</t>
        </is>
      </c>
      <c r="J545" t="inlineStr">
        <is>
          <t>0.13</t>
        </is>
      </c>
      <c r="K545" t="inlineStr">
        <is>
          <t>🔥低粉爆款</t>
        </is>
      </c>
      <c r="L545" t="inlineStr">
        <is>
          <t>宜佳鲜果铺(助农版)的店</t>
        </is>
      </c>
      <c r="M545">
        <v>150</v>
      </c>
      <c r="N545">
        <v>4.55</v>
      </c>
      <c r="O545">
        <v>4524</v>
      </c>
      <c r="P545" t="inlineStr">
        <is>
          <t>6979a709eb0d9a00010257ea</t>
        </is>
      </c>
      <c r="Q545" t="inlineStr">
        <is>
          <t>🚫重复</t>
        </is>
      </c>
      <c r="R545" t="inlineStr">
        <is>
          <t>14周</t>
        </is>
      </c>
      <c r="S545" t="inlineStr">
        <is>
          <t>25.89</t>
        </is>
      </c>
      <c r="T545" t="inlineStr">
        <is>
          <t>美食滋补</t>
        </is>
      </c>
      <c r="U545" t="inlineStr">
        <is>
          <t>生鲜特产</t>
        </is>
      </c>
      <c r="V545" s="3">
        <v>46112.78107638889</v>
      </c>
      <c r="W545" t="inlineStr">
        <is>
          <t>2026-Q1</t>
        </is>
      </c>
    </row>
    <row r="546" ht="25.5" customHeight="1">
      <c r="A546" t="inlineStr">
        <is>
          <t>小巨蛋 · 品牌授权！伊能静推荐口腔排浊精油清洁护理牙齿清新口气亮齿护龈</t>
        </is>
      </c>
      <c r="B546" t="inlineStr">
        <is>
          <t>recveckoIEEhpo.jpg</t>
        </is>
      </c>
      <c r="C546" s="2" t="str">
        <f>=HYPERLINK("https://xhslink.com/m/19YmoHajUJa", "https://xhslink.com/m/19YmoHajUJa")</f>
        <v>https://xhslink.com/m/19YmoHajUJa</v>
      </c>
      <c r="D546"/>
      <c r="E546">
        <v>9659</v>
      </c>
      <c r="F546">
        <v>368</v>
      </c>
      <c r="G546">
        <v>283</v>
      </c>
      <c r="H546">
        <v>500</v>
      </c>
      <c r="I546" t="inlineStr">
        <is>
          <t>口腔护理</t>
        </is>
      </c>
      <c r="J546" t="inlineStr">
        <is>
          <t>0.05</t>
        </is>
      </c>
      <c r="K546" t="inlineStr">
        <is>
          <t>🔥低粉爆款</t>
        </is>
      </c>
      <c r="L546" t="inlineStr">
        <is>
          <t>朵儿美护严选的店</t>
        </is>
      </c>
      <c r="M546">
        <v>1405</v>
      </c>
      <c r="N546">
        <v>4.71</v>
      </c>
      <c r="O546">
        <v>53000</v>
      </c>
      <c r="P546" t="inlineStr">
        <is>
          <t>687623baae962f00150bb090</t>
        </is>
      </c>
      <c r="Q546" t="inlineStr">
        <is>
          <t>🚫重复</t>
        </is>
      </c>
      <c r="R546" t="inlineStr">
        <is>
          <t>14周</t>
        </is>
      </c>
      <c r="S546" t="inlineStr">
        <is>
          <t>6.87</t>
        </is>
      </c>
      <c r="T546" t="inlineStr">
        <is>
          <t>美妆个护</t>
        </is>
      </c>
      <c r="U546" t="inlineStr">
        <is>
          <t>个人护理</t>
        </is>
      </c>
      <c r="V546" s="3">
        <v>46112.78107638889</v>
      </c>
      <c r="W546" t="inlineStr">
        <is>
          <t>2026-Q1</t>
        </is>
      </c>
    </row>
    <row r="547" ht="25.5" customHeight="1">
      <c r="A547" t="inlineStr">
        <is>
          <t>【呼吸长T】瑜伽速干正肩长袖H版型透气圆领运动T恤瑜伽普拉提</t>
        </is>
      </c>
      <c r="B547" t="inlineStr">
        <is>
          <t>recved8o2DVV2t.jpg</t>
        </is>
      </c>
      <c r="C547" s="2" t="str">
        <f>=HYPERLINK("https://xhslink.com/m/6N5VvP0ovGi", "https://xhslink.com/m/6N5VvP0ovGi")</f>
        <v>https://xhslink.com/m/6N5VvP0ovGi</v>
      </c>
      <c r="D547"/>
      <c r="E547">
        <v>28000</v>
      </c>
      <c r="F547">
        <v>69.9</v>
      </c>
      <c r="G547">
        <v>49.9</v>
      </c>
      <c r="H547">
        <v>500</v>
      </c>
      <c r="I547" t="inlineStr">
        <is>
          <t>T恤</t>
        </is>
      </c>
      <c r="J547" t="inlineStr">
        <is>
          <t>0.02</t>
        </is>
      </c>
      <c r="K547" t="inlineStr">
        <is>
          <t>🔥低粉爆款</t>
        </is>
      </c>
      <c r="L547" t="inlineStr">
        <is>
          <t>manny曼妮Yoga的店</t>
        </is>
      </c>
      <c r="M547">
        <v>2540</v>
      </c>
      <c r="N547">
        <v>4.57</v>
      </c>
      <c r="O547">
        <v>68000</v>
      </c>
      <c r="P547" t="inlineStr">
        <is>
          <t>689edc9ad3dd4d00013a9507</t>
        </is>
      </c>
      <c r="Q547" t="inlineStr">
        <is>
          <t>🚫重复</t>
        </is>
      </c>
      <c r="R547" t="inlineStr">
        <is>
          <t>14周</t>
        </is>
      </c>
      <c r="S547" t="inlineStr">
        <is>
          <t>11.02</t>
        </is>
      </c>
      <c r="T547" t="inlineStr">
        <is>
          <t>服饰穿搭</t>
        </is>
      </c>
      <c r="U547" t="inlineStr">
        <is>
          <t>女装</t>
        </is>
      </c>
      <c r="V547" s="3">
        <v>46112.78107638889</v>
      </c>
      <c r="W547" t="inlineStr">
        <is>
          <t>2026-Q1</t>
        </is>
      </c>
    </row>
    <row r="548" ht="25.5" customHeight="1">
      <c r="A548" t="inlineStr">
        <is>
          <t>宝椰少女 原创灰色刺绣显瘦短袖T恤上衣女2026夏季小清新穿搭</t>
        </is>
      </c>
      <c r="B548" t="inlineStr">
        <is>
          <t>recved8o2D5JOD.jpg</t>
        </is>
      </c>
      <c r="C548" s="2" t="str">
        <f>=HYPERLINK("https://xhslink.com/m/4XzL9Td0xrU", "https://xhslink.com/m/4XzL9Td0xrU")</f>
        <v>https://xhslink.com/m/4XzL9Td0xrU</v>
      </c>
      <c r="D548"/>
      <c r="E548">
        <v>580</v>
      </c>
      <c r="F548">
        <v>96</v>
      </c>
      <c r="G548">
        <v>84.48</v>
      </c>
      <c r="H548">
        <v>500</v>
      </c>
      <c r="I548" t="inlineStr">
        <is>
          <t>T恤</t>
        </is>
      </c>
      <c r="J548" t="inlineStr">
        <is>
          <t>0.86</t>
        </is>
      </c>
      <c r="K548"/>
      <c r="L548" t="inlineStr">
        <is>
          <t>宝椰少女的店</t>
        </is>
      </c>
      <c r="M548">
        <v>170000</v>
      </c>
      <c r="N548">
        <v>4.62</v>
      </c>
      <c r="O548">
        <v>84000</v>
      </c>
      <c r="P548" t="inlineStr">
        <is>
          <t>69abd08fbefcbd0001d3b251</t>
        </is>
      </c>
      <c r="Q548"/>
      <c r="R548" t="inlineStr">
        <is>
          <t>14周</t>
        </is>
      </c>
      <c r="S548" t="inlineStr">
        <is>
          <t>0.00</t>
        </is>
      </c>
      <c r="T548" t="inlineStr">
        <is>
          <t>服饰穿搭</t>
        </is>
      </c>
      <c r="U548" t="inlineStr">
        <is>
          <t>女装</t>
        </is>
      </c>
      <c r="V548" s="3">
        <v>46112.78107638889</v>
      </c>
      <c r="W548" t="inlineStr">
        <is>
          <t>2026-Q1</t>
        </is>
      </c>
    </row>
    <row r="549" ht="25.5" customHeight="1">
      <c r="A549" t="inlineStr">
        <is>
          <t>生态香甜蜜薯地瓜 金香蜜薯 蜜薯 软糯香甜甜糯红薯紫薯5斤</t>
        </is>
      </c>
      <c r="B549" t="inlineStr">
        <is>
          <t>recvekduUIgBLp.jpg</t>
        </is>
      </c>
      <c r="C549" s="2" t="str">
        <f>=HYPERLINK("https://xhslink.com/m/6v1Qo2Vjlig", "https://xhslink.com/m/6v1Qo2Vjlig")</f>
        <v>https://xhslink.com/m/6v1Qo2Vjlig</v>
      </c>
      <c r="D549"/>
      <c r="E549">
        <v>127000</v>
      </c>
      <c r="F549">
        <v>25.9</v>
      </c>
      <c r="G549"/>
      <c r="H549">
        <v>500</v>
      </c>
      <c r="I549" t="inlineStr">
        <is>
          <t>蔬菜</t>
        </is>
      </c>
      <c r="J549" t="inlineStr">
        <is>
          <t>0.00</t>
        </is>
      </c>
      <c r="K549" t="inlineStr">
        <is>
          <t>🔥低粉爆款</t>
        </is>
      </c>
      <c r="L549" t="inlineStr">
        <is>
          <t>元元生态农场的店</t>
        </is>
      </c>
      <c r="M549">
        <v>34000</v>
      </c>
      <c r="N549">
        <v>4.47</v>
      </c>
      <c r="O549">
        <v>458000</v>
      </c>
      <c r="P549" t="inlineStr">
        <is>
          <t>67cc619c29b9f70001321282</t>
        </is>
      </c>
      <c r="Q549" t="inlineStr">
        <is>
          <t>🚫重复</t>
        </is>
      </c>
      <c r="R549" t="inlineStr">
        <is>
          <t>14周</t>
        </is>
      </c>
      <c r="S549" t="inlineStr">
        <is>
          <t>3.74</t>
        </is>
      </c>
      <c r="T549" t="inlineStr">
        <is>
          <t>美食滋补</t>
        </is>
      </c>
      <c r="U549" t="inlineStr">
        <is>
          <t>生鲜特产</t>
        </is>
      </c>
      <c r="V549" s="3">
        <v>46112.78107638889</v>
      </c>
      <c r="W549" t="inlineStr">
        <is>
          <t>2026-Q1</t>
        </is>
      </c>
    </row>
    <row r="550" ht="25.5" customHeight="1">
      <c r="A550" t="inlineStr">
        <is>
          <t>【39元2件】100%纯棉T恤百搭圆领秋冬季宽松休闲男女士长袖打底衫</t>
        </is>
      </c>
      <c r="B550" t="inlineStr">
        <is>
          <t>recveqreGuSpYh.jpg</t>
        </is>
      </c>
      <c r="C550" s="2" t="str">
        <f>=HYPERLINK("https://xhslink.com/m/6d6CCbYFRLq", "https://xhslink.com/m/6d6CCbYFRLq")</f>
        <v>https://xhslink.com/m/6d6CCbYFRLq</v>
      </c>
      <c r="D550"/>
      <c r="E550">
        <v>35000</v>
      </c>
      <c r="F550">
        <v>99</v>
      </c>
      <c r="G550">
        <v>39</v>
      </c>
      <c r="H550">
        <v>500</v>
      </c>
      <c r="I550" t="inlineStr">
        <is>
          <t>T恤</t>
        </is>
      </c>
      <c r="J550" t="inlineStr">
        <is>
          <t>0.01</t>
        </is>
      </c>
      <c r="K550"/>
      <c r="L550" t="inlineStr">
        <is>
          <t>卡点星服饰的店</t>
        </is>
      </c>
      <c r="M550">
        <v>19000</v>
      </c>
      <c r="N550">
        <v>4.63</v>
      </c>
      <c r="O550">
        <v>84000</v>
      </c>
      <c r="P550" t="inlineStr">
        <is>
          <t>68df97cb4daabe00016986ce</t>
        </is>
      </c>
      <c r="Q550" t="inlineStr">
        <is>
          <t>🚫重复</t>
        </is>
      </c>
      <c r="R550" t="inlineStr">
        <is>
          <t>14周</t>
        </is>
      </c>
      <c r="S550" t="inlineStr">
        <is>
          <t>1.84</t>
        </is>
      </c>
      <c r="T550" t="inlineStr">
        <is>
          <t>服饰穿搭</t>
        </is>
      </c>
      <c r="U550" t="inlineStr">
        <is>
          <t>女装</t>
        </is>
      </c>
      <c r="V550" s="3">
        <v>46112.78107638889</v>
      </c>
      <c r="W550" t="inlineStr">
        <is>
          <t>2026-Q1</t>
        </is>
      </c>
    </row>
    <row r="551" ht="25.5" customHeight="1">
      <c r="A551" t="inlineStr">
        <is>
          <t>EHD · 水杨酸净痘香氛沐浴露滋润清洁不紧绷持久留香 官方正品</t>
        </is>
      </c>
      <c r="B551" t="inlineStr">
        <is>
          <t>recveyWM0oxFN8.jpg</t>
        </is>
      </c>
      <c r="C551" s="2" t="str">
        <f>=HYPERLINK("https://xhslink.com/m/4A6vqqO4GFP", "https://xhslink.com/m/4A6vqqO4GFP")</f>
        <v>https://xhslink.com/m/4A6vqqO4GFP</v>
      </c>
      <c r="D551"/>
      <c r="E551">
        <v>20000</v>
      </c>
      <c r="F551">
        <v>199.9</v>
      </c>
      <c r="G551"/>
      <c r="H551">
        <v>500</v>
      </c>
      <c r="I551" t="inlineStr">
        <is>
          <t>痘</t>
        </is>
      </c>
      <c r="J551" t="inlineStr">
        <is>
          <t>0.03</t>
        </is>
      </c>
      <c r="K551"/>
      <c r="L551" t="inlineStr">
        <is>
          <t>EHD旗舰店</t>
        </is>
      </c>
      <c r="M551">
        <v>402000</v>
      </c>
      <c r="N551">
        <v>4.64</v>
      </c>
      <c r="O551">
        <v>6477000</v>
      </c>
      <c r="P551" t="inlineStr">
        <is>
          <t>6874ae94b6f0e8000193dd5f</t>
        </is>
      </c>
      <c r="Q551" t="inlineStr">
        <is>
          <t>🚫重复</t>
        </is>
      </c>
      <c r="R551" t="inlineStr">
        <is>
          <t>14周</t>
        </is>
      </c>
      <c r="S551" t="inlineStr">
        <is>
          <t>0.05</t>
        </is>
      </c>
      <c r="T551" t="inlineStr">
        <is>
          <t>美妆个护</t>
        </is>
      </c>
      <c r="U551" t="inlineStr">
        <is>
          <t>个人护理</t>
        </is>
      </c>
      <c r="V551" s="3">
        <v>46112.78107638889</v>
      </c>
      <c r="W551" t="inlineStr">
        <is>
          <t>2026-Q1</t>
        </is>
      </c>
    </row>
    <row r="552" ht="25.5" customHeight="1">
      <c r="A552" t="inlineStr">
        <is>
          <t>【开学福利】白雪红黑色直液式走珠笔速干学生用水笔0.5mm签字笔</t>
        </is>
      </c>
      <c r="B552" t="inlineStr">
        <is>
          <t>recveyWM0o1ukf.jpg</t>
        </is>
      </c>
      <c r="C552" s="2" t="str">
        <f>=HYPERLINK("https://xhslink.com/m/6x2hJtgnba2", "https://xhslink.com/m/6x2hJtgnba2")</f>
        <v>https://xhslink.com/m/6x2hJtgnba2</v>
      </c>
      <c r="D552"/>
      <c r="E552">
        <v>132000</v>
      </c>
      <c r="F552">
        <v>27.9</v>
      </c>
      <c r="G552">
        <v>7.9</v>
      </c>
      <c r="H552">
        <v>500</v>
      </c>
      <c r="I552" t="inlineStr">
        <is>
          <t>实用好物</t>
        </is>
      </c>
      <c r="J552" t="inlineStr">
        <is>
          <t>0.00</t>
        </is>
      </c>
      <c r="K552" t="inlineStr">
        <is>
          <t>🔥低粉爆款</t>
        </is>
      </c>
      <c r="L552" t="inlineStr">
        <is>
          <t>卷王便利店的店</t>
        </is>
      </c>
      <c r="M552">
        <v>3009</v>
      </c>
      <c r="N552">
        <v>4.51</v>
      </c>
      <c r="O552">
        <v>233000</v>
      </c>
      <c r="P552" t="inlineStr">
        <is>
          <t>69312c925bbf6f00013e58e3</t>
        </is>
      </c>
      <c r="Q552"/>
      <c r="R552" t="inlineStr">
        <is>
          <t>14周</t>
        </is>
      </c>
      <c r="S552" t="inlineStr">
        <is>
          <t>43.87</t>
        </is>
      </c>
      <c r="T552" t="inlineStr">
        <is>
          <t>运动潮玩</t>
        </is>
      </c>
      <c r="U552" t="inlineStr">
        <is>
          <t>图书文创</t>
        </is>
      </c>
      <c r="V552" s="3">
        <v>46112.78107638889</v>
      </c>
      <c r="W552" t="inlineStr">
        <is>
          <t>2026-Q1</t>
        </is>
      </c>
    </row>
    <row r="553" ht="25.5" customHeight="1">
      <c r="A553" t="inlineStr">
        <is>
          <t>Tioyinz · 高清ccd相机推荐学生党旅游入门拍照数码照相机女生七夕闺蜜礼物</t>
        </is>
      </c>
      <c r="B553" t="inlineStr">
        <is>
          <t>recveyWM0oaQpn.jpg</t>
        </is>
      </c>
      <c r="C553" s="2" t="str">
        <f>=HYPERLINK("https://xhslink.com/m/1yJZQVRjaOy", "https://xhslink.com/m/1yJZQVRjaOy")</f>
        <v>https://xhslink.com/m/1yJZQVRjaOy</v>
      </c>
      <c r="D553"/>
      <c r="E553">
        <v>26000</v>
      </c>
      <c r="F553">
        <v>338</v>
      </c>
      <c r="G553">
        <v>308</v>
      </c>
      <c r="H553">
        <v>500</v>
      </c>
      <c r="I553" t="inlineStr">
        <is>
          <t>实用好物</t>
        </is>
      </c>
      <c r="J553" t="inlineStr">
        <is>
          <t>0.02</t>
        </is>
      </c>
      <c r="K553"/>
      <c r="L553" t="inlineStr">
        <is>
          <t>Tioyinz旗舰店</t>
        </is>
      </c>
      <c r="M553">
        <v>13000</v>
      </c>
      <c r="N553">
        <v>4.65</v>
      </c>
      <c r="O553">
        <v>30000</v>
      </c>
      <c r="P553" t="inlineStr">
        <is>
          <t>67ad958be0b594000138b7f2</t>
        </is>
      </c>
      <c r="Q553"/>
      <c r="R553" t="inlineStr">
        <is>
          <t>14周</t>
        </is>
      </c>
      <c r="S553" t="inlineStr">
        <is>
          <t>2.00</t>
        </is>
      </c>
      <c r="T553" t="inlineStr">
        <is>
          <t>家居生活</t>
        </is>
      </c>
      <c r="U553" t="inlineStr">
        <is>
          <t>家居日用</t>
        </is>
      </c>
      <c r="V553" s="3">
        <v>46112.78107638889</v>
      </c>
      <c r="W553" t="inlineStr">
        <is>
          <t>2026-Q1</t>
        </is>
      </c>
    </row>
    <row r="554" ht="25.5" customHeight="1">
      <c r="A554" t="inlineStr">
        <is>
          <t>PINPAI · 2026爆款夏日显白猫眼+亮片甲油胶爆闪美甲胶甲油玻璃珠</t>
        </is>
      </c>
      <c r="B554" t="inlineStr">
        <is>
          <t>recveyWM0owa3I.jpg</t>
        </is>
      </c>
      <c r="C554" s="2" t="str">
        <f>=HYPERLINK("https://xhslink.com/m/9WEGGq7Jt5j", "https://xhslink.com/m/9WEGGq7Jt5j")</f>
        <v>https://xhslink.com/m/9WEGGq7Jt5j</v>
      </c>
      <c r="D554"/>
      <c r="E554">
        <v>13000</v>
      </c>
      <c r="F554">
        <v>16.8</v>
      </c>
      <c r="G554"/>
      <c r="H554">
        <v>500</v>
      </c>
      <c r="I554" t="inlineStr">
        <is>
          <t>实用好物</t>
        </is>
      </c>
      <c r="J554" t="inlineStr">
        <is>
          <t>0.04</t>
        </is>
      </c>
      <c r="K554"/>
      <c r="L554" t="inlineStr">
        <is>
          <t>小鹿美甲的店的店</t>
        </is>
      </c>
      <c r="M554">
        <v>6364</v>
      </c>
      <c r="N554">
        <v>4.4</v>
      </c>
      <c r="O554">
        <v>31000</v>
      </c>
      <c r="P554" t="inlineStr">
        <is>
          <t>6854d3921520c30001ab9f56</t>
        </is>
      </c>
      <c r="Q554"/>
      <c r="R554" t="inlineStr">
        <is>
          <t>14周</t>
        </is>
      </c>
      <c r="S554" t="inlineStr">
        <is>
          <t>2.04</t>
        </is>
      </c>
      <c r="T554" t="inlineStr">
        <is>
          <t>美妆个护</t>
        </is>
      </c>
      <c r="U554" t="inlineStr">
        <is>
          <t>护肤彩妆</t>
        </is>
      </c>
      <c r="V554" s="3">
        <v>46112.78107638889</v>
      </c>
      <c r="W554" t="inlineStr">
        <is>
          <t>2026-Q1</t>
        </is>
      </c>
    </row>
    <row r="555" ht="25.5" customHeight="1">
      <c r="A555" t="inlineStr">
        <is>
          <t>1200纪念日软皮笔记本本子日记本手账本记事本空白本小号生日礼物</t>
        </is>
      </c>
      <c r="B555" t="inlineStr">
        <is>
          <t>recveyWM0ovg51.jpg</t>
        </is>
      </c>
      <c r="C555" s="2" t="str">
        <f>=HYPERLINK("https://xhslink.com/m/2zy1bKMLELm", "https://xhslink.com/m/2zy1bKMLELm")</f>
        <v>https://xhslink.com/m/2zy1bKMLELm</v>
      </c>
      <c r="D555"/>
      <c r="E555">
        <v>52000</v>
      </c>
      <c r="F555">
        <v>39.9</v>
      </c>
      <c r="G555">
        <v>29.9</v>
      </c>
      <c r="H555">
        <v>500</v>
      </c>
      <c r="I555" t="inlineStr">
        <is>
          <t>实用好物</t>
        </is>
      </c>
      <c r="J555" t="inlineStr">
        <is>
          <t>0.01</t>
        </is>
      </c>
      <c r="K555"/>
      <c r="L555" t="inlineStr">
        <is>
          <t>1200BOOKSHOP的店</t>
        </is>
      </c>
      <c r="M555">
        <v>47000</v>
      </c>
      <c r="N555">
        <v>4.55</v>
      </c>
      <c r="O555">
        <v>78000</v>
      </c>
      <c r="P555" t="inlineStr">
        <is>
          <t>68cd4430e8b4ad00017d7af5</t>
        </is>
      </c>
      <c r="Q555"/>
      <c r="R555" t="inlineStr">
        <is>
          <t>14周</t>
        </is>
      </c>
      <c r="S555" t="inlineStr">
        <is>
          <t>1.11</t>
        </is>
      </c>
      <c r="T555" t="inlineStr">
        <is>
          <t>运动潮玩</t>
        </is>
      </c>
      <c r="U555" t="inlineStr">
        <is>
          <t>图书文创</t>
        </is>
      </c>
      <c r="V555" s="3">
        <v>46112.78107638889</v>
      </c>
      <c r="W555" t="inlineStr">
        <is>
          <t>2026-Q1</t>
        </is>
      </c>
    </row>
    <row r="556" ht="25.5" customHeight="1">
      <c r="A556" t="inlineStr">
        <is>
          <t>花生邮局壁炉香薰加湿器高级送闺蜜女男生男友520情人节生日礼物</t>
        </is>
      </c>
      <c r="B556" t="inlineStr">
        <is>
          <t>recveyWM0oZgdO.jpg</t>
        </is>
      </c>
      <c r="C556" s="2" t="str">
        <f>=HYPERLINK("https://xhslink.com/m/A6SwFMl5FWN", "https://xhslink.com/m/A6SwFMl5FWN")</f>
        <v>https://xhslink.com/m/A6SwFMl5FWN</v>
      </c>
      <c r="D556"/>
      <c r="E556">
        <v>28000</v>
      </c>
      <c r="F556">
        <v>158</v>
      </c>
      <c r="G556">
        <v>128</v>
      </c>
      <c r="H556">
        <v>500</v>
      </c>
      <c r="I556" t="inlineStr">
        <is>
          <t>实用好物</t>
        </is>
      </c>
      <c r="J556" t="inlineStr">
        <is>
          <t>0.02</t>
        </is>
      </c>
      <c r="K556" t="inlineStr">
        <is>
          <t>🔥低粉爆款</t>
        </is>
      </c>
      <c r="L556" t="inlineStr">
        <is>
          <t>Good things 花生邮局的店</t>
        </is>
      </c>
      <c r="M556">
        <v>3156</v>
      </c>
      <c r="N556">
        <v>4.74</v>
      </c>
      <c r="O556">
        <v>37000</v>
      </c>
      <c r="P556" t="inlineStr">
        <is>
          <t>688ed97786c0df000141281e</t>
        </is>
      </c>
      <c r="Q556"/>
      <c r="R556" t="inlineStr">
        <is>
          <t>14周</t>
        </is>
      </c>
      <c r="S556" t="inlineStr">
        <is>
          <t>8.87</t>
        </is>
      </c>
      <c r="T556" t="inlineStr">
        <is>
          <t>家居生活</t>
        </is>
      </c>
      <c r="U556" t="inlineStr">
        <is>
          <t>家居日用</t>
        </is>
      </c>
      <c r="V556" s="3">
        <v>46112.78107638889</v>
      </c>
      <c r="W556" t="inlineStr">
        <is>
          <t>2026-Q1</t>
        </is>
      </c>
    </row>
    <row r="557" ht="25.5" customHeight="1">
      <c r="A557" t="inlineStr">
        <is>
          <t>铃兰花球 |手机链包挂记号挂 |闺蜜礼物 |应援色物料一路生花礼物</t>
        </is>
      </c>
      <c r="B557" t="inlineStr">
        <is>
          <t>recveCblQ9uCKR.jpg</t>
        </is>
      </c>
      <c r="C557" s="2" t="str">
        <f>=HYPERLINK("https://xhslink.com/m/Arf8VKhaAm1", "https://xhslink.com/m/Arf8VKhaAm1")</f>
        <v>https://xhslink.com/m/Arf8VKhaAm1</v>
      </c>
      <c r="D557"/>
      <c r="E557">
        <v>49000</v>
      </c>
      <c r="F557">
        <v>20</v>
      </c>
      <c r="G557">
        <v>6.8</v>
      </c>
      <c r="H557">
        <v>500</v>
      </c>
      <c r="I557" t="inlineStr">
        <is>
          <t>挂饰</t>
        </is>
      </c>
      <c r="J557" t="inlineStr">
        <is>
          <t>0.01</t>
        </is>
      </c>
      <c r="K557"/>
      <c r="L557" t="inlineStr">
        <is>
          <t>东北绳娘小阿予💗的店</t>
        </is>
      </c>
      <c r="M557">
        <v>104000</v>
      </c>
      <c r="N557">
        <v>4.55</v>
      </c>
      <c r="O557">
        <v>354000</v>
      </c>
      <c r="P557" t="inlineStr">
        <is>
          <t>68dde2ebc67e470001409f45</t>
        </is>
      </c>
      <c r="Q557" t="inlineStr">
        <is>
          <t>🚫重复</t>
        </is>
      </c>
      <c r="R557" t="inlineStr">
        <is>
          <t>14周</t>
        </is>
      </c>
      <c r="S557" t="inlineStr">
        <is>
          <t>0.47</t>
        </is>
      </c>
      <c r="T557" t="inlineStr">
        <is>
          <t>服饰穿搭</t>
        </is>
      </c>
      <c r="U557" t="inlineStr">
        <is>
          <t>配饰</t>
        </is>
      </c>
      <c r="V557" s="3">
        <v>46112.78107638889</v>
      </c>
      <c r="W557" t="inlineStr">
        <is>
          <t>2026-Q1</t>
        </is>
      </c>
    </row>
    <row r="558" ht="25.5" customHeight="1">
      <c r="A558" t="inlineStr">
        <is>
          <t>月光少女小众韩系香蕉夹褶皱蝴蝶结高马尾香蕉夹高端时髦洋气淑女 · 紫色</t>
        </is>
      </c>
      <c r="B558" t="inlineStr">
        <is>
          <t>recveCblQ9s1Ez.jpg</t>
        </is>
      </c>
      <c r="C558" s="2" t="str">
        <f>=HYPERLINK("https://xhslink.com/m/ANRXd1XTPQI", "https://xhslink.com/m/ANRXd1XTPQI")</f>
        <v>https://xhslink.com/m/ANRXd1XTPQI</v>
      </c>
      <c r="D558"/>
      <c r="E558">
        <v>39000</v>
      </c>
      <c r="F558">
        <v>23.8</v>
      </c>
      <c r="G558">
        <v>13.8</v>
      </c>
      <c r="H558">
        <v>500</v>
      </c>
      <c r="I558" t="inlineStr">
        <is>
          <t>发卡</t>
        </is>
      </c>
      <c r="J558" t="inlineStr">
        <is>
          <t>0.01</t>
        </is>
      </c>
      <c r="K558"/>
      <c r="L558" t="inlineStr">
        <is>
          <t>fairy mu的店的店</t>
        </is>
      </c>
      <c r="M558">
        <v>46000</v>
      </c>
      <c r="N558">
        <v>4.54</v>
      </c>
      <c r="O558">
        <v>334000</v>
      </c>
      <c r="P558" t="inlineStr">
        <is>
          <t>693a69a29373f200019bed9a</t>
        </is>
      </c>
      <c r="Q558" t="inlineStr">
        <is>
          <t>🚫重复</t>
        </is>
      </c>
      <c r="R558" t="inlineStr">
        <is>
          <t>14周</t>
        </is>
      </c>
      <c r="S558" t="inlineStr">
        <is>
          <t>0.85</t>
        </is>
      </c>
      <c r="T558" t="inlineStr">
        <is>
          <t>服饰穿搭</t>
        </is>
      </c>
      <c r="U558" t="inlineStr">
        <is>
          <t>配饰</t>
        </is>
      </c>
      <c r="V558" s="3">
        <v>46112.78107638889</v>
      </c>
      <c r="W558" t="inlineStr">
        <is>
          <t>2026-Q1</t>
        </is>
      </c>
    </row>
    <row r="559" ht="25.5" customHeight="1">
      <c r="A559" t="inlineStr">
        <is>
          <t>Goo大吉·复古蓝烫钻微喇阔腿牛仔裤女高腰显瘦垂感百搭拖地长裤子</t>
        </is>
      </c>
      <c r="B559" t="inlineStr">
        <is>
          <t>recveCblQ9pyhD.jpg</t>
        </is>
      </c>
      <c r="C559" s="2" t="str">
        <f>=HYPERLINK("https://xhslink.com/m/3fuU3WnOwRQ", "https://xhslink.com/m/3fuU3WnOwRQ")</f>
        <v>https://xhslink.com/m/3fuU3WnOwRQ</v>
      </c>
      <c r="D559"/>
      <c r="E559">
        <v>3745</v>
      </c>
      <c r="F559">
        <v>168</v>
      </c>
      <c r="G559">
        <v>117</v>
      </c>
      <c r="H559">
        <v>500</v>
      </c>
      <c r="I559" t="inlineStr">
        <is>
          <t>牛仔裤</t>
        </is>
      </c>
      <c r="J559" t="inlineStr">
        <is>
          <t>0.13</t>
        </is>
      </c>
      <c r="K559"/>
      <c r="L559" t="inlineStr">
        <is>
          <t>Goo大吉的店</t>
        </is>
      </c>
      <c r="M559">
        <v>56000</v>
      </c>
      <c r="N559">
        <v>4.55</v>
      </c>
      <c r="O559">
        <v>241000</v>
      </c>
      <c r="P559" t="inlineStr">
        <is>
          <t>69a64741094aed0001594ea1</t>
        </is>
      </c>
      <c r="Q559" t="inlineStr">
        <is>
          <t>🚫重复</t>
        </is>
      </c>
      <c r="R559" t="inlineStr">
        <is>
          <t>14周</t>
        </is>
      </c>
      <c r="S559" t="inlineStr">
        <is>
          <t>0.07</t>
        </is>
      </c>
      <c r="T559" t="inlineStr">
        <is>
          <t>服饰穿搭</t>
        </is>
      </c>
      <c r="U559" t="inlineStr">
        <is>
          <t>女装</t>
        </is>
      </c>
      <c r="V559" s="3">
        <v>46112.78107638889</v>
      </c>
      <c r="W559" t="inlineStr">
        <is>
          <t>2026-Q1</t>
        </is>
      </c>
    </row>
    <row r="560" ht="25.5" customHeight="1">
      <c r="A560" t="inlineStr">
        <is>
          <t>大丸梓·新款美式复古设计感粉色缝线低腰阔腿原牛色牛仔裤女</t>
        </is>
      </c>
      <c r="B560" t="inlineStr">
        <is>
          <t>recveCblQ9oRRy.jpg</t>
        </is>
      </c>
      <c r="C560" s="2" t="str">
        <f>=HYPERLINK("https://xhslink.com/m/8a8kWpP9ChN", "https://xhslink.com/m/8a8kWpP9ChN")</f>
        <v>https://xhslink.com/m/8a8kWpP9ChN</v>
      </c>
      <c r="D560"/>
      <c r="E560">
        <v>1431</v>
      </c>
      <c r="F560">
        <v>121</v>
      </c>
      <c r="G560">
        <v>99</v>
      </c>
      <c r="H560">
        <v>500</v>
      </c>
      <c r="I560" t="inlineStr">
        <is>
          <t>牛仔裤</t>
        </is>
      </c>
      <c r="J560" t="inlineStr">
        <is>
          <t>0.35</t>
        </is>
      </c>
      <c r="K560"/>
      <c r="L560" t="inlineStr">
        <is>
          <t>大丸梓的店</t>
        </is>
      </c>
      <c r="M560">
        <v>2448</v>
      </c>
      <c r="N560">
        <v>4.69</v>
      </c>
      <c r="O560">
        <v>11000</v>
      </c>
      <c r="P560" t="inlineStr">
        <is>
          <t>695a2d0ad96c4500018d3158</t>
        </is>
      </c>
      <c r="Q560" t="inlineStr">
        <is>
          <t>🚫重复</t>
        </is>
      </c>
      <c r="R560" t="inlineStr">
        <is>
          <t>14周</t>
        </is>
      </c>
      <c r="S560" t="inlineStr">
        <is>
          <t>0.58</t>
        </is>
      </c>
      <c r="T560" t="inlineStr">
        <is>
          <t>服饰穿搭</t>
        </is>
      </c>
      <c r="U560" t="inlineStr">
        <is>
          <t>女装</t>
        </is>
      </c>
      <c r="V560" s="3">
        <v>46112.78107638889</v>
      </c>
      <c r="W560" t="inlineStr">
        <is>
          <t>2026-Q1</t>
        </is>
      </c>
    </row>
    <row r="561" ht="25.5" customHeight="1">
      <c r="A561" t="inlineStr">
        <is>
          <t>儿童手指拉拉乐抓握训练婴幼儿宝宝章鱼抽抽乐玩具1到2岁益智早教</t>
        </is>
      </c>
      <c r="B561" t="inlineStr">
        <is>
          <t>recveCblQ9EqpD.jpg</t>
        </is>
      </c>
      <c r="C561" s="2" t="str">
        <f>=HYPERLINK("https://xhslink.com/m/4uC4zAhbyJn", "https://xhslink.com/m/4uC4zAhbyJn")</f>
        <v>https://xhslink.com/m/4uC4zAhbyJn</v>
      </c>
      <c r="D561"/>
      <c r="E561">
        <v>27000</v>
      </c>
      <c r="F561">
        <v>24.8</v>
      </c>
      <c r="G561"/>
      <c r="H561">
        <v>500</v>
      </c>
      <c r="I561" t="inlineStr">
        <is>
          <t>早教玩具</t>
        </is>
      </c>
      <c r="J561" t="inlineStr">
        <is>
          <t>0.02</t>
        </is>
      </c>
      <c r="K561" t="inlineStr">
        <is>
          <t>🔥低粉爆款</t>
        </is>
      </c>
      <c r="L561" t="inlineStr">
        <is>
          <t>木木玩具的店</t>
        </is>
      </c>
      <c r="M561">
        <v>5705</v>
      </c>
      <c r="N561">
        <v>4.36</v>
      </c>
      <c r="O561">
        <v>52000</v>
      </c>
      <c r="P561" t="inlineStr">
        <is>
          <t>633897c8f9c4df0001f797d9</t>
        </is>
      </c>
      <c r="Q561"/>
      <c r="R561" t="inlineStr">
        <is>
          <t>14周</t>
        </is>
      </c>
      <c r="S561" t="inlineStr">
        <is>
          <t>4.73</t>
        </is>
      </c>
      <c r="T561" t="inlineStr">
        <is>
          <t>母婴亲子</t>
        </is>
      </c>
      <c r="U561" t="inlineStr">
        <is>
          <t>童装童鞋</t>
        </is>
      </c>
      <c r="V561" s="3">
        <v>46112.78107638889</v>
      </c>
      <c r="W561" t="inlineStr">
        <is>
          <t>2026-Q1</t>
        </is>
      </c>
    </row>
    <row r="562" ht="25.5" customHeight="1">
      <c r="A562" t="inlineStr">
        <is>
          <t>嗨山姆先森 · 手工厚切黄油吐司新鲜早餐奶香烘焙优选原味浓郁面包早八人儿童</t>
        </is>
      </c>
      <c r="B562" t="inlineStr">
        <is>
          <t>recveKOBkW36Nv.jpg</t>
        </is>
      </c>
      <c r="C562" s="2" t="str">
        <f>=HYPERLINK("https://xhslink.com/m/35kRTPlDue7", "https://xhslink.com/m/35kRTPlDue7")</f>
        <v>https://xhslink.com/m/35kRTPlDue7</v>
      </c>
      <c r="D562"/>
      <c r="E562">
        <v>92000</v>
      </c>
      <c r="F562">
        <v>49.8</v>
      </c>
      <c r="G562"/>
      <c r="H562">
        <v>500</v>
      </c>
      <c r="I562" t="inlineStr">
        <is>
          <t>早八</t>
        </is>
      </c>
      <c r="J562" t="inlineStr">
        <is>
          <t>0.01</t>
        </is>
      </c>
      <c r="K562" t="inlineStr">
        <is>
          <t>🔥低粉爆款</t>
        </is>
      </c>
      <c r="L562" t="inlineStr">
        <is>
          <t>嗨山姆先森食品旗舰店</t>
        </is>
      </c>
      <c r="M562">
        <v>6885</v>
      </c>
      <c r="N562">
        <v>4.67</v>
      </c>
      <c r="O562">
        <v>111000</v>
      </c>
      <c r="P562" t="inlineStr">
        <is>
          <t>68a93bbb5ce8aa000171ac1d</t>
        </is>
      </c>
      <c r="Q562" t="inlineStr">
        <is>
          <t>🚫重复</t>
        </is>
      </c>
      <c r="R562" t="inlineStr">
        <is>
          <t>14周</t>
        </is>
      </c>
      <c r="S562" t="inlineStr">
        <is>
          <t>13.36</t>
        </is>
      </c>
      <c r="T562" t="inlineStr">
        <is>
          <t>美食滋补</t>
        </is>
      </c>
      <c r="U562" t="inlineStr">
        <is>
          <t>休闲零食</t>
        </is>
      </c>
      <c r="V562" s="3">
        <v>46112.78107638889</v>
      </c>
      <c r="W562" t="inlineStr">
        <is>
          <t>2026-Q1</t>
        </is>
      </c>
    </row>
    <row r="563" ht="25.5" customHeight="1">
      <c r="A563" t="inlineStr">
        <is>
          <t>卡通床垫整理器家用床铺神器固定省力被角缝隙抬床垫抬高塞换铺床</t>
        </is>
      </c>
      <c r="B563" t="inlineStr">
        <is>
          <t>recveKOBkWhf7w.jpg</t>
        </is>
      </c>
      <c r="C563" s="2" t="str">
        <f>=HYPERLINK("https://xhslink.com/m/13rAxKMIxJ1", "https://xhslink.com/m/13rAxKMIxJ1")</f>
        <v>https://xhslink.com/m/13rAxKMIxJ1</v>
      </c>
      <c r="D563"/>
      <c r="E563">
        <v>10000</v>
      </c>
      <c r="F563">
        <v>24.9</v>
      </c>
      <c r="G563">
        <v>16.9</v>
      </c>
      <c r="H563">
        <v>500</v>
      </c>
      <c r="I563" t="inlineStr">
        <is>
          <t>卧室好物</t>
        </is>
      </c>
      <c r="J563" t="inlineStr">
        <is>
          <t>0.05</t>
        </is>
      </c>
      <c r="K563"/>
      <c r="L563" t="inlineStr">
        <is>
          <t>我是静静吖的店</t>
        </is>
      </c>
      <c r="M563">
        <v>207000</v>
      </c>
      <c r="N563">
        <v>4.7</v>
      </c>
      <c r="O563">
        <v>1028000</v>
      </c>
      <c r="P563" t="inlineStr">
        <is>
          <t>699fe7bb63db6a0015d551e1</t>
        </is>
      </c>
      <c r="Q563" t="inlineStr">
        <is>
          <t>🚫重复</t>
        </is>
      </c>
      <c r="R563" t="inlineStr">
        <is>
          <t>14周</t>
        </is>
      </c>
      <c r="S563" t="inlineStr">
        <is>
          <t>0.05</t>
        </is>
      </c>
      <c r="T563" t="inlineStr">
        <is>
          <t>家居生活</t>
        </is>
      </c>
      <c r="U563" t="inlineStr">
        <is>
          <t>家居日用</t>
        </is>
      </c>
      <c r="V563" s="3">
        <v>46112.78107638889</v>
      </c>
      <c r="W563" t="inlineStr">
        <is>
          <t>2026-Q1</t>
        </is>
      </c>
    </row>
    <row r="564" ht="25.5" customHeight="1">
      <c r="A564" t="inlineStr">
        <is>
          <t>白色长袖衬衫情侣2026年春秋纯棉简约纯色大码宽松高级感休闲衬衫</t>
        </is>
      </c>
      <c r="B564" t="inlineStr">
        <is>
          <t>recveKOBkWsSo1.jpg</t>
        </is>
      </c>
      <c r="C564" s="2" t="str">
        <f>=HYPERLINK("https://xhslink.com/m/5qspHkSwWic", "https://xhslink.com/m/5qspHkSwWic")</f>
        <v>https://xhslink.com/m/5qspHkSwWic</v>
      </c>
      <c r="D564"/>
      <c r="E564">
        <v>2401</v>
      </c>
      <c r="F564">
        <v>69.9</v>
      </c>
      <c r="G564"/>
      <c r="H564">
        <v>500</v>
      </c>
      <c r="I564" t="inlineStr">
        <is>
          <t>衬衫</t>
        </is>
      </c>
      <c r="J564" t="inlineStr">
        <is>
          <t>0.21</t>
        </is>
      </c>
      <c r="K564" t="inlineStr">
        <is>
          <t>🔥低粉爆款</t>
        </is>
      </c>
      <c r="L564" t="inlineStr">
        <is>
          <t>一只衫衫的店</t>
        </is>
      </c>
      <c r="M564">
        <v>294</v>
      </c>
      <c r="N564">
        <v>4.71</v>
      </c>
      <c r="O564">
        <v>2793</v>
      </c>
      <c r="P564" t="inlineStr">
        <is>
          <t>683bed804584bd0015504fa6</t>
        </is>
      </c>
      <c r="Q564"/>
      <c r="R564" t="inlineStr">
        <is>
          <t>14周</t>
        </is>
      </c>
      <c r="S564" t="inlineStr">
        <is>
          <t>8.17</t>
        </is>
      </c>
      <c r="T564" t="inlineStr">
        <is>
          <t>服饰穿搭</t>
        </is>
      </c>
      <c r="U564" t="inlineStr">
        <is>
          <t>女装</t>
        </is>
      </c>
      <c r="V564" s="3">
        <v>46112.78107638889</v>
      </c>
      <c r="W564" t="inlineStr">
        <is>
          <t>2026-Q1</t>
        </is>
      </c>
    </row>
    <row r="565" ht="25.5" customHeight="1">
      <c r="A565" t="inlineStr">
        <is>
          <t>Rubyday · 甜心派对Sweet party碎银手链 少女心精致感手链</t>
        </is>
      </c>
      <c r="B565" t="inlineStr">
        <is>
          <t>recveKOBkWMMv0.jpg</t>
        </is>
      </c>
      <c r="C565" s="2" t="str">
        <f>=HYPERLINK("https://xhslink.com/m/8iwW0QszXLU", "https://xhslink.com/m/8iwW0QszXLU")</f>
        <v>https://xhslink.com/m/8iwW0QszXLU</v>
      </c>
      <c r="D565"/>
      <c r="E565">
        <v>20000</v>
      </c>
      <c r="F565">
        <v>49</v>
      </c>
      <c r="G565">
        <v>38</v>
      </c>
      <c r="H565">
        <v>500</v>
      </c>
      <c r="I565" t="inlineStr">
        <is>
          <t>饰品</t>
        </is>
      </c>
      <c r="J565" t="inlineStr">
        <is>
          <t>0.03</t>
        </is>
      </c>
      <c r="K565"/>
      <c r="L565" t="inlineStr">
        <is>
          <t>Rubyday.Shop的店</t>
        </is>
      </c>
      <c r="M565">
        <v>108000</v>
      </c>
      <c r="N565">
        <v>4.59</v>
      </c>
      <c r="O565">
        <v>103000</v>
      </c>
      <c r="P565" t="inlineStr">
        <is>
          <t>67fccec38c174700012d0617</t>
        </is>
      </c>
      <c r="Q565" t="inlineStr">
        <is>
          <t>🚫重复</t>
        </is>
      </c>
      <c r="R565" t="inlineStr">
        <is>
          <t>14周</t>
        </is>
      </c>
      <c r="S565" t="inlineStr">
        <is>
          <t>0.19</t>
        </is>
      </c>
      <c r="T565" t="inlineStr">
        <is>
          <t>服饰穿搭</t>
        </is>
      </c>
      <c r="U565" t="inlineStr">
        <is>
          <t>配饰</t>
        </is>
      </c>
      <c r="V565" s="3">
        <v>46112.78107638889</v>
      </c>
      <c r="W565" t="inlineStr">
        <is>
          <t>2026-Q1</t>
        </is>
      </c>
    </row>
    <row r="566" ht="25.5" customHeight="1">
      <c r="A566" t="inlineStr">
        <is>
          <t>手工铜锅熬制[乌梅三焦膏]上热下寒中焦不通中焦淤堵手脚凉易上火 · 两瓶300克</t>
        </is>
      </c>
      <c r="B566" t="inlineStr">
        <is>
          <t>recveKOBkWqaVv.jpg</t>
        </is>
      </c>
      <c r="C566" s="2" t="str">
        <f>=HYPERLINK("https://www.xiaohongshu.com/goods-detail/66d6bec4947fe10001ed23fa", "https://www.xiaohongshu.com/goods-detail/66d6bec4947fe10001ed23fa")</f>
        <v>https://www.xiaohongshu.com/goods-detail/66d6bec4947fe10001ed23fa</v>
      </c>
      <c r="D566"/>
      <c r="E566">
        <v>41000</v>
      </c>
      <c r="F566">
        <v>159.9</v>
      </c>
      <c r="G566">
        <v>70</v>
      </c>
      <c r="H566">
        <v>500</v>
      </c>
      <c r="I566" t="inlineStr">
        <is>
          <t>养身膏</t>
        </is>
      </c>
      <c r="J566" t="inlineStr">
        <is>
          <t>0.01</t>
        </is>
      </c>
      <c r="K566" t="inlineStr">
        <is>
          <t>🔥低粉爆款</t>
        </is>
      </c>
      <c r="L566" t="inlineStr">
        <is>
          <t>姜医食养的店</t>
        </is>
      </c>
      <c r="M566">
        <v>10000</v>
      </c>
      <c r="N566">
        <v>4.65</v>
      </c>
      <c r="O566">
        <v>182000</v>
      </c>
      <c r="P566" t="inlineStr">
        <is>
          <t>66d6bec4947fe10001ed23fa</t>
        </is>
      </c>
      <c r="Q566" t="inlineStr">
        <is>
          <t>🚫重复</t>
        </is>
      </c>
      <c r="R566" t="inlineStr">
        <is>
          <t>14周</t>
        </is>
      </c>
      <c r="S566" t="inlineStr">
        <is>
          <t>4.10</t>
        </is>
      </c>
      <c r="T566" t="inlineStr">
        <is>
          <t>家居生活</t>
        </is>
      </c>
      <c r="U566" t="inlineStr">
        <is>
          <t>厨房餐饮</t>
        </is>
      </c>
      <c r="V566" s="3">
        <v>46112.78107638889</v>
      </c>
      <c r="W566" t="inlineStr">
        <is>
          <t>2026-Q1</t>
        </is>
      </c>
    </row>
    <row r="567" ht="25.5" customHeight="1">
      <c r="A567" t="inlineStr">
        <is>
          <t>春季新款慵懒舒适宽松长袖粉色衬衫女设计感</t>
        </is>
      </c>
      <c r="B567" t="inlineStr">
        <is>
          <t>recveNXG9tBPwN.jpg</t>
        </is>
      </c>
      <c r="C567" s="2" t="str">
        <f>=HYPERLINK("https://xhslink.com/m/38rqEZhSPA7", "https://xhslink.com/m/38rqEZhSPA7")</f>
        <v>https://xhslink.com/m/38rqEZhSPA7</v>
      </c>
      <c r="D567"/>
      <c r="E567">
        <v>1951</v>
      </c>
      <c r="F567">
        <v>79</v>
      </c>
      <c r="G567">
        <v>76</v>
      </c>
      <c r="H567">
        <v>500</v>
      </c>
      <c r="I567" t="inlineStr">
        <is>
          <t>长袖上衣</t>
        </is>
      </c>
      <c r="J567" t="inlineStr">
        <is>
          <t>0.26</t>
        </is>
      </c>
      <c r="K567"/>
      <c r="L567" t="inlineStr">
        <is>
          <t>一只金咕噜的店</t>
        </is>
      </c>
      <c r="M567">
        <v>20000</v>
      </c>
      <c r="N567">
        <v>4.61</v>
      </c>
      <c r="O567">
        <v>62000</v>
      </c>
      <c r="P567" t="inlineStr">
        <is>
          <t>67b2d61a12147e0015673be6</t>
        </is>
      </c>
      <c r="Q567"/>
      <c r="R567" t="inlineStr">
        <is>
          <t>14周</t>
        </is>
      </c>
      <c r="S567" t="inlineStr">
        <is>
          <t>0.10</t>
        </is>
      </c>
      <c r="T567" t="inlineStr">
        <is>
          <t>服饰穿搭</t>
        </is>
      </c>
      <c r="U567" t="inlineStr">
        <is>
          <t>女装</t>
        </is>
      </c>
      <c r="V567" s="3">
        <v>46112.78107638889</v>
      </c>
      <c r="W567" t="inlineStr">
        <is>
          <t>2026-Q1</t>
        </is>
      </c>
    </row>
    <row r="568" ht="25.5" customHeight="1">
      <c r="A568" t="inlineStr">
        <is>
          <t>哈灵顿夹克男装女装英伦复古经典格纹内里宽松百搭休闲通勤短外套</t>
        </is>
      </c>
      <c r="B568" t="inlineStr">
        <is>
          <t>recveNXG9tTpG7.jpg</t>
        </is>
      </c>
      <c r="C568" s="2" t="str">
        <f>=HYPERLINK("https://xhslink.com/m/AdwasByAhwC", "https://xhslink.com/m/AdwasByAhwC")</f>
        <v>https://xhslink.com/m/AdwasByAhwC</v>
      </c>
      <c r="D568"/>
      <c r="E568">
        <v>2942</v>
      </c>
      <c r="F568">
        <v>119</v>
      </c>
      <c r="G568"/>
      <c r="H568">
        <v>500</v>
      </c>
      <c r="I568" t="inlineStr">
        <is>
          <t>外套</t>
        </is>
      </c>
      <c r="J568" t="inlineStr">
        <is>
          <t>0.17</t>
        </is>
      </c>
      <c r="K568"/>
      <c r="L568" t="inlineStr">
        <is>
          <t>良衣优选的店</t>
        </is>
      </c>
      <c r="M568">
        <v>69000</v>
      </c>
      <c r="N568">
        <v>4.43</v>
      </c>
      <c r="O568">
        <v>346000</v>
      </c>
      <c r="P568" t="inlineStr">
        <is>
          <t>6968bab9fb672a00153c2ecd</t>
        </is>
      </c>
      <c r="Q568" t="inlineStr">
        <is>
          <t>🚫重复</t>
        </is>
      </c>
      <c r="R568" t="inlineStr">
        <is>
          <t>14周</t>
        </is>
      </c>
      <c r="S568" t="inlineStr">
        <is>
          <t>0.04</t>
        </is>
      </c>
      <c r="T568" t="inlineStr">
        <is>
          <t>服饰穿搭</t>
        </is>
      </c>
      <c r="U568" t="inlineStr">
        <is>
          <t>女装</t>
        </is>
      </c>
      <c r="V568" s="3">
        <v>46112.78107638889</v>
      </c>
      <c r="W568" t="inlineStr">
        <is>
          <t>2026-Q1</t>
        </is>
      </c>
    </row>
    <row r="569" ht="25.5" customHeight="1">
      <c r="A569" t="inlineStr">
        <is>
          <t>【到手4包】魔芋凉面开袋即食免煮方便食品凉拌低脂宵夜零食</t>
        </is>
      </c>
      <c r="B569" t="inlineStr">
        <is>
          <t>recveNXG9tEZXH.jpg</t>
        </is>
      </c>
      <c r="C569" s="2" t="str">
        <f>=HYPERLINK("https://xhslink.com/m/5qdeYTPex5E", "https://xhslink.com/m/5qdeYTPex5E")</f>
        <v>https://xhslink.com/m/5qdeYTPex5E</v>
      </c>
      <c r="D569"/>
      <c r="E569">
        <v>35000</v>
      </c>
      <c r="F569">
        <v>23.9</v>
      </c>
      <c r="G569"/>
      <c r="H569">
        <v>500</v>
      </c>
      <c r="I569" t="inlineStr">
        <is>
          <t>早餐</t>
        </is>
      </c>
      <c r="J569" t="inlineStr">
        <is>
          <t>0.01</t>
        </is>
      </c>
      <c r="K569" t="inlineStr">
        <is>
          <t>🔥低粉爆款</t>
        </is>
      </c>
      <c r="L569" t="inlineStr">
        <is>
          <t>安晓安低卡轻饮食的店</t>
        </is>
      </c>
      <c r="M569">
        <v>1089</v>
      </c>
      <c r="N569">
        <v>4.29</v>
      </c>
      <c r="O569">
        <v>38000</v>
      </c>
      <c r="P569" t="inlineStr">
        <is>
          <t>688313a6ba5a8300154fd505</t>
        </is>
      </c>
      <c r="Q569" t="inlineStr">
        <is>
          <t>🚫重复</t>
        </is>
      </c>
      <c r="R569" t="inlineStr">
        <is>
          <t>14周</t>
        </is>
      </c>
      <c r="S569" t="inlineStr">
        <is>
          <t>32.14</t>
        </is>
      </c>
      <c r="T569" t="inlineStr">
        <is>
          <t>美食滋补</t>
        </is>
      </c>
      <c r="U569" t="inlineStr">
        <is>
          <t>休闲零食</t>
        </is>
      </c>
      <c r="V569" s="3">
        <v>46112.78107638889</v>
      </c>
      <c r="W569" t="inlineStr">
        <is>
          <t>2026-Q1</t>
        </is>
      </c>
    </row>
    <row r="570" ht="25.5" customHeight="1">
      <c r="A570" t="inlineStr">
        <is>
          <t>下厨房 · 【低脂】松叶蟹味柳阿拉斯加鳕鱼肉轻食火锅蟹棒寿司沙拉蟹柳早餐</t>
        </is>
      </c>
      <c r="B570" t="inlineStr">
        <is>
          <t>recveNXG9taZn0.jpg</t>
        </is>
      </c>
      <c r="C570" s="2" t="str">
        <f>=HYPERLINK("https://xhslink.com/m/6UkpKqj7zj3", "https://xhslink.com/m/6UkpKqj7zj3")</f>
        <v>https://xhslink.com/m/6UkpKqj7zj3</v>
      </c>
      <c r="D570"/>
      <c r="E570">
        <v>63000</v>
      </c>
      <c r="F570">
        <v>129.9</v>
      </c>
      <c r="G570">
        <v>99.9</v>
      </c>
      <c r="H570">
        <v>500</v>
      </c>
      <c r="I570" t="inlineStr">
        <is>
          <t>减肥食物</t>
        </is>
      </c>
      <c r="J570" t="inlineStr">
        <is>
          <t>0.01</t>
        </is>
      </c>
      <c r="K570"/>
      <c r="L570" t="inlineStr">
        <is>
          <t>下厨房旗舰店</t>
        </is>
      </c>
      <c r="M570">
        <v>115000</v>
      </c>
      <c r="N570">
        <v>4.77</v>
      </c>
      <c r="O570">
        <v>753000</v>
      </c>
      <c r="P570" t="inlineStr">
        <is>
          <t>659c01c9686ea60001817b27</t>
        </is>
      </c>
      <c r="Q570" t="inlineStr">
        <is>
          <t>🚫重复</t>
        </is>
      </c>
      <c r="R570" t="inlineStr">
        <is>
          <t>14周</t>
        </is>
      </c>
      <c r="S570" t="inlineStr">
        <is>
          <t>0.55</t>
        </is>
      </c>
      <c r="T570" t="inlineStr">
        <is>
          <t>美食滋补</t>
        </is>
      </c>
      <c r="U570" t="inlineStr">
        <is>
          <t>休闲零食</t>
        </is>
      </c>
      <c r="V570" s="3">
        <v>46112.78107638889</v>
      </c>
      <c r="W570" t="inlineStr">
        <is>
          <t>2026-Q1</t>
        </is>
      </c>
    </row>
    <row r="571" ht="25.5" customHeight="1">
      <c r="A571" t="inlineStr">
        <is>
          <t>兮草记 · 【佛手柑柠檬】温和植物花果香洗发皂| 老师傅手工研磨|赠起泡网</t>
        </is>
      </c>
      <c r="B571" t="inlineStr">
        <is>
          <t>recveTJWJN0okf.jpg</t>
        </is>
      </c>
      <c r="C571" s="2" t="str">
        <f>=HYPERLINK("https://xhslink.com/m/BWue00k4SZ", "https://xhslink.com/m/BWue00k4SZ")</f>
        <v>https://xhslink.com/m/BWue00k4SZ</v>
      </c>
      <c r="D571"/>
      <c r="E571">
        <v>1230</v>
      </c>
      <c r="F571">
        <v>38.8</v>
      </c>
      <c r="G571"/>
      <c r="H571">
        <v>500</v>
      </c>
      <c r="I571" t="inlineStr">
        <is>
          <t>洗头皂</t>
        </is>
      </c>
      <c r="J571" t="inlineStr">
        <is>
          <t>0.41</t>
        </is>
      </c>
      <c r="K571"/>
      <c r="L571" t="inlineStr">
        <is>
          <t>Abeeer熊崽工作室的店</t>
        </is>
      </c>
      <c r="M571">
        <v>6976</v>
      </c>
      <c r="N571">
        <v>4.44</v>
      </c>
      <c r="O571">
        <v>266000</v>
      </c>
      <c r="P571" t="inlineStr">
        <is>
          <t>69ae4073f209ba0001f16810</t>
        </is>
      </c>
      <c r="Q571" t="inlineStr">
        <is>
          <t>🚫重复</t>
        </is>
      </c>
      <c r="R571" t="inlineStr">
        <is>
          <t>14周</t>
        </is>
      </c>
      <c r="S571" t="inlineStr">
        <is>
          <t>0.18</t>
        </is>
      </c>
      <c r="T571" t="inlineStr">
        <is>
          <t>美妆个护</t>
        </is>
      </c>
      <c r="U571" t="inlineStr">
        <is>
          <t>个人护理</t>
        </is>
      </c>
      <c r="V571" s="3">
        <v>46112.78107638889</v>
      </c>
      <c r="W571" t="inlineStr">
        <is>
          <t>2026-Q1</t>
        </is>
      </c>
    </row>
    <row r="572" ht="25.5" customHeight="1">
      <c r="A572" t="inlineStr">
        <is>
          <t>博创科 · ACNE PATCH日用款闪粉星星痘痘贴</t>
        </is>
      </c>
      <c r="B572" t="inlineStr">
        <is>
          <t>recveTJWJNgYi3.jpg</t>
        </is>
      </c>
      <c r="C572" s="2" t="str">
        <f>=HYPERLINK("https://xhslink.com/m/29Io8twWqNm", "https://xhslink.com/m/29Io8twWqNm")</f>
        <v>https://xhslink.com/m/29Io8twWqNm</v>
      </c>
      <c r="D572"/>
      <c r="E572">
        <v>13000</v>
      </c>
      <c r="F572">
        <v>47</v>
      </c>
      <c r="G572">
        <v>9.9</v>
      </c>
      <c r="H572">
        <v>500</v>
      </c>
      <c r="I572" t="inlineStr">
        <is>
          <t>祛痘贴</t>
        </is>
      </c>
      <c r="J572" t="inlineStr">
        <is>
          <t>0.04</t>
        </is>
      </c>
      <c r="K572"/>
      <c r="L572" t="inlineStr">
        <is>
          <t>ACNE PATCH韩博士的店</t>
        </is>
      </c>
      <c r="M572">
        <v>7477</v>
      </c>
      <c r="N572">
        <v>4.7</v>
      </c>
      <c r="O572">
        <v>32000</v>
      </c>
      <c r="P572" t="inlineStr">
        <is>
          <t>690e81ca0f510b00017ad361</t>
        </is>
      </c>
      <c r="Q572" t="inlineStr">
        <is>
          <t>🚫重复</t>
        </is>
      </c>
      <c r="R572" t="inlineStr">
        <is>
          <t>14周</t>
        </is>
      </c>
      <c r="S572" t="inlineStr">
        <is>
          <t>1.74</t>
        </is>
      </c>
      <c r="T572" t="inlineStr">
        <is>
          <t>美妆个护</t>
        </is>
      </c>
      <c r="U572" t="inlineStr">
        <is>
          <t>个人护理</t>
        </is>
      </c>
      <c r="V572" s="3">
        <v>46112.78107638889</v>
      </c>
      <c r="W572" t="inlineStr">
        <is>
          <t>2026-Q1</t>
        </is>
      </c>
    </row>
    <row r="573" ht="25.5" customHeight="1">
      <c r="A573" t="inlineStr">
        <is>
          <t>瑞秘 · 【不闷脚】头层牛皮德训鞋女休闲阿甘板鞋暴走软底健身通勤男鞋</t>
        </is>
      </c>
      <c r="B573" t="inlineStr">
        <is>
          <t>recveTJWJNsCyB.jpg</t>
        </is>
      </c>
      <c r="C573" s="2" t="str">
        <f>=HYPERLINK("https://xhslink.com/m/9i6L6z5G3l6", "https://xhslink.com/m/9i6L6z5G3l6")</f>
        <v>https://xhslink.com/m/9i6L6z5G3l6</v>
      </c>
      <c r="D573"/>
      <c r="E573">
        <v>33000</v>
      </c>
      <c r="F573">
        <v>223.4</v>
      </c>
      <c r="G573">
        <v>189.89</v>
      </c>
      <c r="H573">
        <v>500</v>
      </c>
      <c r="I573" t="inlineStr">
        <is>
          <t>运动鞋</t>
        </is>
      </c>
      <c r="J573" t="inlineStr">
        <is>
          <t>0.02</t>
        </is>
      </c>
      <c r="K573"/>
      <c r="L573" t="inlineStr">
        <is>
          <t>MR. QIUER潮品的店</t>
        </is>
      </c>
      <c r="M573">
        <v>37000</v>
      </c>
      <c r="N573">
        <v>4.68</v>
      </c>
      <c r="O573">
        <v>78000</v>
      </c>
      <c r="P573" t="inlineStr">
        <is>
          <t>63fd4f3a220fef00018bb14c</t>
        </is>
      </c>
      <c r="Q573" t="inlineStr">
        <is>
          <t>🚫重复</t>
        </is>
      </c>
      <c r="R573" t="inlineStr">
        <is>
          <t>14周</t>
        </is>
      </c>
      <c r="S573" t="inlineStr">
        <is>
          <t>0.89</t>
        </is>
      </c>
      <c r="T573" t="inlineStr">
        <is>
          <t>服饰穿搭</t>
        </is>
      </c>
      <c r="U573" t="inlineStr">
        <is>
          <t>鞋靴箱包</t>
        </is>
      </c>
      <c r="V573" s="3">
        <v>46112.78107638889</v>
      </c>
      <c r="W573" t="inlineStr">
        <is>
          <t>2026-Q1</t>
        </is>
      </c>
    </row>
    <row r="574" ht="25.5" customHeight="1">
      <c r="A574" t="inlineStr">
        <is>
          <t>COMODA「张婧仪同款」镇店经典棒球帽百搭男女可调节帽子52-62cm</t>
        </is>
      </c>
      <c r="B574" t="inlineStr">
        <is>
          <t>recveTJWJNIqzU.jpg</t>
        </is>
      </c>
      <c r="C574" s="2" t="str">
        <f>=HYPERLINK("https://xhslink.com/m/2qR40F1mEjK", "https://xhslink.com/m/2qR40F1mEjK")</f>
        <v>https://xhslink.com/m/2qR40F1mEjK</v>
      </c>
      <c r="D574"/>
      <c r="E574">
        <v>30000</v>
      </c>
      <c r="F574">
        <v>160</v>
      </c>
      <c r="G574"/>
      <c r="H574">
        <v>500</v>
      </c>
      <c r="I574" t="inlineStr">
        <is>
          <t>棒球帽</t>
        </is>
      </c>
      <c r="J574" t="inlineStr">
        <is>
          <t>0.02</t>
        </is>
      </c>
      <c r="K574"/>
      <c r="L574" t="inlineStr">
        <is>
          <t>COMODA的店</t>
        </is>
      </c>
      <c r="M574">
        <v>18000</v>
      </c>
      <c r="N574">
        <v>4.63</v>
      </c>
      <c r="O574">
        <v>87000</v>
      </c>
      <c r="P574" t="inlineStr">
        <is>
          <t>67131434758fa40001ad83af</t>
        </is>
      </c>
      <c r="Q574" t="inlineStr">
        <is>
          <t>🚫重复</t>
        </is>
      </c>
      <c r="R574" t="inlineStr">
        <is>
          <t>14周</t>
        </is>
      </c>
      <c r="S574" t="inlineStr">
        <is>
          <t>1.67</t>
        </is>
      </c>
      <c r="T574" t="inlineStr">
        <is>
          <t>服饰穿搭</t>
        </is>
      </c>
      <c r="U574" t="inlineStr">
        <is>
          <t>配饰</t>
        </is>
      </c>
      <c r="V574" s="3">
        <v>46112.78107638889</v>
      </c>
      <c r="W574" t="inlineStr">
        <is>
          <t>2026-Q1</t>
        </is>
      </c>
    </row>
    <row r="575" ht="25.5" customHeight="1">
      <c r="A575" t="inlineStr">
        <is>
          <t>Lemay · 天女极光镜面akoya珍珠耳钉澳白人造珍珠银针无耳洞耳夹</t>
        </is>
      </c>
      <c r="B575" t="inlineStr">
        <is>
          <t>recveTJWJN9Ztg.jpg</t>
        </is>
      </c>
      <c r="C575" s="2" t="str">
        <f>=HYPERLINK("https://xhslink.com/m/1NPSftqAYdw", "https://xhslink.com/m/1NPSftqAYdw")</f>
        <v>https://xhslink.com/m/1NPSftqAYdw</v>
      </c>
      <c r="D575"/>
      <c r="E575">
        <v>32000</v>
      </c>
      <c r="F575">
        <v>68.8</v>
      </c>
      <c r="G575">
        <v>65.8</v>
      </c>
      <c r="H575">
        <v>500</v>
      </c>
      <c r="I575" t="inlineStr">
        <is>
          <t>耳饰</t>
        </is>
      </c>
      <c r="J575" t="inlineStr">
        <is>
          <t>0.02</t>
        </is>
      </c>
      <c r="K575" t="inlineStr">
        <is>
          <t>🔥低粉爆款</t>
        </is>
      </c>
      <c r="L575" t="inlineStr">
        <is>
          <t>乐美的店</t>
        </is>
      </c>
      <c r="M575">
        <v>6351</v>
      </c>
      <c r="N575">
        <v>4.6</v>
      </c>
      <c r="O575">
        <v>59000</v>
      </c>
      <c r="P575" t="inlineStr">
        <is>
          <t>6878ba6c186d100015e3834c</t>
        </is>
      </c>
      <c r="Q575"/>
      <c r="R575" t="inlineStr">
        <is>
          <t>14周</t>
        </is>
      </c>
      <c r="S575" t="inlineStr">
        <is>
          <t>5.04</t>
        </is>
      </c>
      <c r="T575" t="inlineStr">
        <is>
          <t>服饰穿搭</t>
        </is>
      </c>
      <c r="U575" t="inlineStr">
        <is>
          <t>配饰</t>
        </is>
      </c>
      <c r="V575" s="3">
        <v>46112.78107638889</v>
      </c>
      <c r="W575" t="inlineStr">
        <is>
          <t>2026-Q1</t>
        </is>
      </c>
    </row>
    <row r="576" ht="25.5" customHeight="1">
      <c r="A576" t="inlineStr">
        <is>
          <t>栀禾*植绒爱心阔腿裤女春夏显瘦垂感宽松直筒休闲裤子</t>
        </is>
      </c>
      <c r="B576" t="inlineStr">
        <is>
          <t>recveTJWJNyb6c.jpg</t>
        </is>
      </c>
      <c r="C576" s="2" t="str">
        <f>=HYPERLINK("https://xhslink.com/m/jeD4vsw9B8", "https://xhslink.com/m/jeD4vsw9B8")</f>
        <v>https://xhslink.com/m/jeD4vsw9B8</v>
      </c>
      <c r="D576"/>
      <c r="E576">
        <v>16000</v>
      </c>
      <c r="F576">
        <v>82</v>
      </c>
      <c r="G576">
        <v>79</v>
      </c>
      <c r="H576">
        <v>500</v>
      </c>
      <c r="I576" t="inlineStr">
        <is>
          <t>裤子</t>
        </is>
      </c>
      <c r="J576" t="inlineStr">
        <is>
          <t>0.03</t>
        </is>
      </c>
      <c r="K576"/>
      <c r="L576" t="inlineStr">
        <is>
          <t>栀禾服饰的店</t>
        </is>
      </c>
      <c r="M576">
        <v>11000</v>
      </c>
      <c r="N576">
        <v>4.64</v>
      </c>
      <c r="O576">
        <v>56000</v>
      </c>
      <c r="P576" t="inlineStr">
        <is>
          <t>67d157065339580001d3e707</t>
        </is>
      </c>
      <c r="Q576" t="inlineStr">
        <is>
          <t>🚫重复</t>
        </is>
      </c>
      <c r="R576" t="inlineStr">
        <is>
          <t>14周</t>
        </is>
      </c>
      <c r="S576" t="inlineStr">
        <is>
          <t>1.45</t>
        </is>
      </c>
      <c r="T576" t="inlineStr">
        <is>
          <t>服饰穿搭</t>
        </is>
      </c>
      <c r="U576" t="inlineStr">
        <is>
          <t>女装</t>
        </is>
      </c>
      <c r="V576" s="3">
        <v>46112.78107638889</v>
      </c>
      <c r="W576" t="inlineStr">
        <is>
          <t>2026-Q1</t>
        </is>
      </c>
    </row>
    <row r="577" ht="25.5" customHeight="1">
      <c r="A577" t="inlineStr">
        <is>
          <t>黄吉吉 · 深灰三粒扣西装裤2026春夏新款复古显瘦黑色垂坠感宽松低腰阔腿裤</t>
        </is>
      </c>
      <c r="B577" t="inlineStr">
        <is>
          <t>recveTJWJNTZ6j.jpg</t>
        </is>
      </c>
      <c r="C577" s="2" t="str">
        <f>=HYPERLINK("https://xhslink.com/m/61foXvYZnGS", "https://xhslink.com/m/61foXvYZnGS")</f>
        <v>https://xhslink.com/m/61foXvYZnGS</v>
      </c>
      <c r="D577"/>
      <c r="E577">
        <v>31000</v>
      </c>
      <c r="F577">
        <v>109</v>
      </c>
      <c r="G577">
        <v>89.9</v>
      </c>
      <c r="H577">
        <v>500</v>
      </c>
      <c r="I577" t="inlineStr">
        <is>
          <t>裤子</t>
        </is>
      </c>
      <c r="J577" t="inlineStr">
        <is>
          <t>0.02</t>
        </is>
      </c>
      <c r="K577"/>
      <c r="L577" t="inlineStr">
        <is>
          <t>黄吉吉的店</t>
        </is>
      </c>
      <c r="M577">
        <v>1321000</v>
      </c>
      <c r="N577">
        <v>4.38</v>
      </c>
      <c r="O577">
        <v>2743000</v>
      </c>
      <c r="P577" t="inlineStr">
        <is>
          <t>69426320ae586c0001b75536</t>
        </is>
      </c>
      <c r="Q577" t="inlineStr">
        <is>
          <t>🚫重复</t>
        </is>
      </c>
      <c r="R577" t="inlineStr">
        <is>
          <t>14周</t>
        </is>
      </c>
      <c r="S577" t="inlineStr">
        <is>
          <t>0.02</t>
        </is>
      </c>
      <c r="T577" t="inlineStr">
        <is>
          <t>服饰穿搭</t>
        </is>
      </c>
      <c r="U577" t="inlineStr">
        <is>
          <t>女装</t>
        </is>
      </c>
      <c r="V577" s="3">
        <v>46112.78107638889</v>
      </c>
      <c r="W577" t="inlineStr">
        <is>
          <t>2026-Q1</t>
        </is>
      </c>
    </row>
    <row r="578" ht="25.5" customHeight="1">
      <c r="A578" t="inlineStr">
        <is>
          <t>升级版！宽腰头糯米裤不勒肚子！2026春夏垂顺显瘦百搭休闲直筒裤</t>
        </is>
      </c>
      <c r="B578" t="inlineStr">
        <is>
          <t>recvf5pAkIc6h7.jpg</t>
        </is>
      </c>
      <c r="C578" s="2" t="str">
        <f>=HYPERLINK("https://xhslink.com/m/7KS2kgKhfAz", "https://xhslink.com/m/7KS2kgKhfAz")</f>
        <v>https://xhslink.com/m/7KS2kgKhfAz</v>
      </c>
      <c r="D578"/>
      <c r="E578">
        <v>33000</v>
      </c>
      <c r="F578">
        <v>69.9</v>
      </c>
      <c r="G578">
        <v>39.9</v>
      </c>
      <c r="H578">
        <v>500</v>
      </c>
      <c r="I578" t="inlineStr">
        <is>
          <t>休闲裤</t>
        </is>
      </c>
      <c r="J578" t="inlineStr">
        <is>
          <t>0.02</t>
        </is>
      </c>
      <c r="K578"/>
      <c r="L578" t="inlineStr">
        <is>
          <t>起司来了服饰的店</t>
        </is>
      </c>
      <c r="M578">
        <v>15000</v>
      </c>
      <c r="N578">
        <v>4.55</v>
      </c>
      <c r="O578">
        <v>370000</v>
      </c>
      <c r="P578" t="inlineStr">
        <is>
          <t>689d36da6a569a001533882d</t>
        </is>
      </c>
      <c r="Q578" t="inlineStr">
        <is>
          <t>🚫重复</t>
        </is>
      </c>
      <c r="R578" t="inlineStr">
        <is>
          <t>14周</t>
        </is>
      </c>
      <c r="S578" t="inlineStr">
        <is>
          <t>2.20</t>
        </is>
      </c>
      <c r="T578" t="inlineStr">
        <is>
          <t>服饰穿搭</t>
        </is>
      </c>
      <c r="U578" t="inlineStr">
        <is>
          <t>女装</t>
        </is>
      </c>
      <c r="V578" s="3">
        <v>46112.78107638889</v>
      </c>
      <c r="W578" t="inlineStr">
        <is>
          <t>2026-Q1</t>
        </is>
      </c>
    </row>
    <row r="579" ht="25.5" customHeight="1">
      <c r="A579" t="inlineStr">
        <is>
          <t>雅痞老钱风极简复古卡其裤休闲裤宽松直筒裤女运动长裤 #2579</t>
        </is>
      </c>
      <c r="B579" t="inlineStr">
        <is>
          <t>recvf5pAkIubny.jpg</t>
        </is>
      </c>
      <c r="C579" s="2" t="str">
        <f>=HYPERLINK("https://xhslink.com/m/Ng9v9mv9Xa", "https://xhslink.com/m/Ng9v9mv9Xa")</f>
        <v>https://xhslink.com/m/Ng9v9mv9Xa</v>
      </c>
      <c r="D579"/>
      <c r="E579">
        <v>32000</v>
      </c>
      <c r="F579">
        <v>129</v>
      </c>
      <c r="G579"/>
      <c r="H579">
        <v>500</v>
      </c>
      <c r="I579" t="inlineStr">
        <is>
          <t>直筒裤</t>
        </is>
      </c>
      <c r="J579" t="inlineStr">
        <is>
          <t>0.02</t>
        </is>
      </c>
      <c r="K579"/>
      <c r="L579" t="inlineStr">
        <is>
          <t>敏儿Miner的店</t>
        </is>
      </c>
      <c r="M579">
        <v>22000</v>
      </c>
      <c r="N579">
        <v>4.48</v>
      </c>
      <c r="O579">
        <v>131000</v>
      </c>
      <c r="P579" t="inlineStr">
        <is>
          <t>68e4cdb3e0f3b2000100d202</t>
        </is>
      </c>
      <c r="Q579" t="inlineStr">
        <is>
          <t>🚫重复</t>
        </is>
      </c>
      <c r="R579" t="inlineStr">
        <is>
          <t>14周</t>
        </is>
      </c>
      <c r="S579" t="inlineStr">
        <is>
          <t>1.45</t>
        </is>
      </c>
      <c r="T579" t="inlineStr">
        <is>
          <t>服饰穿搭</t>
        </is>
      </c>
      <c r="U579" t="inlineStr">
        <is>
          <t>女装</t>
        </is>
      </c>
      <c r="V579" s="3">
        <v>46112.78107638889</v>
      </c>
      <c r="W579" t="inlineStr">
        <is>
          <t>2026-Q1</t>
        </is>
      </c>
    </row>
    <row r="580" ht="25.5" customHeight="1">
      <c r="A580" t="inlineStr">
        <is>
          <t>雅痞老钱风极简复古卡其裤休闲裤宽松直筒裤女运动长裤 #2579</t>
        </is>
      </c>
      <c r="B580" t="inlineStr">
        <is>
          <t>recvf5pAkIymRf.jpg</t>
        </is>
      </c>
      <c r="C580" s="2" t="str">
        <f>=HYPERLINK("https://xhslink.com/m/7LO0PyKAvDu", "https://xhslink.com/m/7LO0PyKAvDu")</f>
        <v>https://xhslink.com/m/7LO0PyKAvDu</v>
      </c>
      <c r="D580"/>
      <c r="E580">
        <v>32000</v>
      </c>
      <c r="F580">
        <v>129</v>
      </c>
      <c r="G580"/>
      <c r="H580">
        <v>500</v>
      </c>
      <c r="I580" t="inlineStr">
        <is>
          <t>运动裤</t>
        </is>
      </c>
      <c r="J580" t="inlineStr">
        <is>
          <t>0.02</t>
        </is>
      </c>
      <c r="K580"/>
      <c r="L580" t="inlineStr">
        <is>
          <t>敏儿Miner的店</t>
        </is>
      </c>
      <c r="M580">
        <v>22000</v>
      </c>
      <c r="N580">
        <v>4.48</v>
      </c>
      <c r="O580">
        <v>131000</v>
      </c>
      <c r="P580" t="inlineStr">
        <is>
          <t>690d5c6574195c0001a999ee</t>
        </is>
      </c>
      <c r="Q580" t="inlineStr">
        <is>
          <t>🚫重复</t>
        </is>
      </c>
      <c r="R580" t="inlineStr">
        <is>
          <t>14周</t>
        </is>
      </c>
      <c r="S580" t="inlineStr">
        <is>
          <t>1.45</t>
        </is>
      </c>
      <c r="T580" t="inlineStr">
        <is>
          <t>服饰穿搭</t>
        </is>
      </c>
      <c r="U580" t="inlineStr">
        <is>
          <t>女装</t>
        </is>
      </c>
      <c r="V580" s="3">
        <v>46112.78107638889</v>
      </c>
      <c r="W580" t="inlineStr">
        <is>
          <t>2026-Q1</t>
        </is>
      </c>
    </row>
    <row r="581" ht="25.5" customHeight="1">
      <c r="A581" t="inlineStr">
        <is>
          <t>活页文件夹试卷收纳透明插页资料册A4文件学习办公夹</t>
        </is>
      </c>
      <c r="B581" t="inlineStr">
        <is>
          <t>recvfenb18QwHV.jpg</t>
        </is>
      </c>
      <c r="C581" s="2" t="str">
        <f>=HYPERLINK("https://www.xiaohongshu.com/goods-detail/693a58c065055f000161e134", "https://www.xiaohongshu.com/goods-detail/693a58c065055f000161e134")</f>
        <v>https://www.xiaohongshu.com/goods-detail/693a58c065055f000161e134</v>
      </c>
      <c r="D581"/>
      <c r="E581">
        <v>22000</v>
      </c>
      <c r="F581">
        <v>145.9</v>
      </c>
      <c r="G581">
        <v>64.9</v>
      </c>
      <c r="H581">
        <v>500</v>
      </c>
      <c r="I581" t="inlineStr">
        <is>
          <t>文具</t>
        </is>
      </c>
      <c r="J581" t="inlineStr">
        <is>
          <t>0.02</t>
        </is>
      </c>
      <c r="K581" t="inlineStr">
        <is>
          <t>🔥低粉爆款</t>
        </is>
      </c>
      <c r="L581" t="inlineStr">
        <is>
          <t>Joyyo的店</t>
        </is>
      </c>
      <c r="M581">
        <v>170</v>
      </c>
      <c r="N581">
        <v>4.7</v>
      </c>
      <c r="O581">
        <v>47000</v>
      </c>
      <c r="P581" t="inlineStr">
        <is>
          <t>693a58c065055f000161e134</t>
        </is>
      </c>
      <c r="Q581" t="inlineStr">
        <is>
          <t>🚫重复</t>
        </is>
      </c>
      <c r="R581" t="inlineStr">
        <is>
          <t>14周</t>
        </is>
      </c>
      <c r="S581" t="inlineStr">
        <is>
          <t>129.41</t>
        </is>
      </c>
      <c r="T581" t="inlineStr">
        <is>
          <t>家居生活</t>
        </is>
      </c>
      <c r="U581" t="inlineStr">
        <is>
          <t>家居日用</t>
        </is>
      </c>
      <c r="V581" s="3">
        <v>46112.78107638889</v>
      </c>
      <c r="W581" t="inlineStr">
        <is>
          <t>2026-Q1</t>
        </is>
      </c>
    </row>
    <row r="582" ht="25.5" customHeight="1">
      <c r="A582" t="inlineStr">
        <is>
          <t>【超浓缩冻干咖啡】新鲜咖啡豆低温提取冻干浓郁醇厚速溶黑咖啡</t>
        </is>
      </c>
      <c r="B582" t="inlineStr">
        <is>
          <t>recvfenb181hK4.jpg</t>
        </is>
      </c>
      <c r="C582" s="2" t="str">
        <f>=HYPERLINK("https://xhslink.com/m/43nSZckxRrU", "https://xhslink.com/m/43nSZckxRrU")</f>
        <v>https://xhslink.com/m/43nSZckxRrU</v>
      </c>
      <c r="D582"/>
      <c r="E582">
        <v>10000</v>
      </c>
      <c r="F582">
        <v>69.9</v>
      </c>
      <c r="G582">
        <v>59.9</v>
      </c>
      <c r="H582">
        <v>500</v>
      </c>
      <c r="I582" t="inlineStr">
        <is>
          <t>冻干咖啡</t>
        </is>
      </c>
      <c r="J582" t="inlineStr">
        <is>
          <t>0.05</t>
        </is>
      </c>
      <c r="K582"/>
      <c r="L582" t="inlineStr">
        <is>
          <t>M7 Coffee Studio的店</t>
        </is>
      </c>
      <c r="M582">
        <v>6394</v>
      </c>
      <c r="N582">
        <v>4.82</v>
      </c>
      <c r="O582">
        <v>40000</v>
      </c>
      <c r="P582" t="inlineStr">
        <is>
          <t>69445ec24423c30001882b7f</t>
        </is>
      </c>
      <c r="Q582" t="inlineStr">
        <is>
          <t>🚫重复</t>
        </is>
      </c>
      <c r="R582" t="inlineStr">
        <is>
          <t>14周</t>
        </is>
      </c>
      <c r="S582" t="inlineStr">
        <is>
          <t>1.56</t>
        </is>
      </c>
      <c r="T582" t="inlineStr">
        <is>
          <t>美食滋补</t>
        </is>
      </c>
      <c r="U582" t="inlineStr">
        <is>
          <t>酒水冲饮</t>
        </is>
      </c>
      <c r="V582" s="3">
        <v>46112.78107638889</v>
      </c>
      <c r="W582" t="inlineStr">
        <is>
          <t>2026-Q1</t>
        </is>
      </c>
    </row>
    <row r="583" ht="25.5" customHeight="1">
      <c r="A583" t="inlineStr">
        <is>
          <t>海南玉菇甜瓜当季新鲜水果冰淇淋甜瓜软糯香甜白瓜薄皮产地现摘</t>
        </is>
      </c>
      <c r="B583" t="inlineStr">
        <is>
          <t>recvfenb18Tqvl.jpg</t>
        </is>
      </c>
      <c r="C583" s="2" t="str">
        <f>=HYPERLINK("https://xhslink.com/m/1hMQOgXvKqh", "https://xhslink.com/m/1hMQOgXvKqh")</f>
        <v>https://xhslink.com/m/1hMQOgXvKqh</v>
      </c>
      <c r="D583"/>
      <c r="E583">
        <v>31000</v>
      </c>
      <c r="F583">
        <v>30.8</v>
      </c>
      <c r="G583">
        <v>13.8</v>
      </c>
      <c r="H583">
        <v>500</v>
      </c>
      <c r="I583" t="inlineStr">
        <is>
          <t>时令水果</t>
        </is>
      </c>
      <c r="J583" t="inlineStr">
        <is>
          <t>0.02</t>
        </is>
      </c>
      <c r="K583" t="inlineStr">
        <is>
          <t>🔥低粉爆款</t>
        </is>
      </c>
      <c r="L583" t="inlineStr">
        <is>
          <t>噗噗果果的店</t>
        </is>
      </c>
      <c r="M583">
        <v>104</v>
      </c>
      <c r="N583">
        <v>4.63</v>
      </c>
      <c r="O583">
        <v>6632</v>
      </c>
      <c r="P583" t="inlineStr">
        <is>
          <t>6964be2efb672a0015a5d509</t>
        </is>
      </c>
      <c r="Q583"/>
      <c r="R583" t="inlineStr">
        <is>
          <t>14周</t>
        </is>
      </c>
      <c r="S583" t="inlineStr">
        <is>
          <t>298.08</t>
        </is>
      </c>
      <c r="T583" t="inlineStr">
        <is>
          <t>美食滋补</t>
        </is>
      </c>
      <c r="U583" t="inlineStr">
        <is>
          <t>生鲜特产</t>
        </is>
      </c>
      <c r="V583" s="3">
        <v>46112.78107638889</v>
      </c>
      <c r="W583" t="inlineStr">
        <is>
          <t>2026-Q1</t>
        </is>
      </c>
    </row>
    <row r="584" ht="25.5" customHeight="1">
      <c r="A584" t="inlineStr">
        <is>
          <t>『红心牛奶木瓜』新鲜自然成熟热带水果现摘现发新鲜孕妇下奶</t>
        </is>
      </c>
      <c r="B584" t="inlineStr">
        <is>
          <t>recvfenb184ggP.jpg</t>
        </is>
      </c>
      <c r="C584" s="2" t="str">
        <f>=HYPERLINK("https://xhslink.com/m/43GRxgekCKo", "https://xhslink.com/m/43GRxgekCKo")</f>
        <v>https://xhslink.com/m/43GRxgekCKo</v>
      </c>
      <c r="D584"/>
      <c r="E584">
        <v>50000</v>
      </c>
      <c r="F584">
        <v>43.9</v>
      </c>
      <c r="G584">
        <v>29.9</v>
      </c>
      <c r="H584">
        <v>500</v>
      </c>
      <c r="I584" t="inlineStr">
        <is>
          <t>时令水果</t>
        </is>
      </c>
      <c r="J584" t="inlineStr">
        <is>
          <t>0.01</t>
        </is>
      </c>
      <c r="K584" t="inlineStr">
        <is>
          <t>🔥低粉爆款</t>
        </is>
      </c>
      <c r="L584" t="inlineStr">
        <is>
          <t>新农人-小贝的店</t>
        </is>
      </c>
      <c r="M584">
        <v>515</v>
      </c>
      <c r="N584">
        <v>4.53</v>
      </c>
      <c r="O584">
        <v>14000</v>
      </c>
      <c r="P584" t="inlineStr">
        <is>
          <t>69b263bee95b340001f431f0</t>
        </is>
      </c>
      <c r="Q584"/>
      <c r="R584" t="inlineStr">
        <is>
          <t>14周</t>
        </is>
      </c>
      <c r="S584" t="inlineStr">
        <is>
          <t>97.09</t>
        </is>
      </c>
      <c r="T584" t="inlineStr">
        <is>
          <t>美食滋补</t>
        </is>
      </c>
      <c r="U584" t="inlineStr">
        <is>
          <t>酒水冲饮</t>
        </is>
      </c>
      <c r="V584" s="3">
        <v>46112.78107638889</v>
      </c>
      <c r="W584" t="inlineStr">
        <is>
          <t>2026-Q1</t>
        </is>
      </c>
    </row>
    <row r="585" ht="25.5" customHeight="1">
      <c r="A585" t="inlineStr">
        <is>
          <t>酷酷裤裤不贴腿百搭喇叭裤拖地牛仔裤女常规美式辣妹阔腿裤</t>
        </is>
      </c>
      <c r="B585" t="inlineStr">
        <is>
          <t>recvfqmLqZNJ11.jpg</t>
        </is>
      </c>
      <c r="C585" s="2" t="str">
        <f>=HYPERLINK("https://xhslink.com/m/32QA7jQfmJZ", "https://xhslink.com/m/32QA7jQfmJZ")</f>
        <v>https://xhslink.com/m/32QA7jQfmJZ</v>
      </c>
      <c r="D585"/>
      <c r="E585">
        <v>21000</v>
      </c>
      <c r="F585">
        <v>119.99</v>
      </c>
      <c r="G585">
        <v>109.99</v>
      </c>
      <c r="H585">
        <v>500</v>
      </c>
      <c r="I585" t="inlineStr">
        <is>
          <t>牛仔裤</t>
        </is>
      </c>
      <c r="J585" t="inlineStr">
        <is>
          <t>0.02</t>
        </is>
      </c>
      <c r="K585"/>
      <c r="L585" t="inlineStr">
        <is>
          <t>酷酷裤裤吖的店</t>
        </is>
      </c>
      <c r="M585">
        <v>36000</v>
      </c>
      <c r="N585">
        <v>4.54</v>
      </c>
      <c r="O585">
        <v>206000</v>
      </c>
      <c r="P585" t="inlineStr">
        <is>
          <t>6753e402dda05800011075bc</t>
        </is>
      </c>
      <c r="Q585" t="inlineStr">
        <is>
          <t>🚫重复</t>
        </is>
      </c>
      <c r="R585" t="inlineStr">
        <is>
          <t>14周</t>
        </is>
      </c>
      <c r="S585" t="inlineStr">
        <is>
          <t>0.58</t>
        </is>
      </c>
      <c r="T585" t="inlineStr">
        <is>
          <t>服饰穿搭</t>
        </is>
      </c>
      <c r="U585" t="inlineStr">
        <is>
          <t>女装</t>
        </is>
      </c>
      <c r="V585" s="3">
        <v>46112.78107638889</v>
      </c>
      <c r="W585" t="inlineStr">
        <is>
          <t>2026-Q1</t>
        </is>
      </c>
    </row>
    <row r="586" ht="25.5" customHeight="1">
      <c r="A586" t="inlineStr">
        <is>
          <t>阿搭 · 复古水洗蓝牛仔裤春夏季美式高街低腰宽松直筒拖地裤长裤</t>
        </is>
      </c>
      <c r="B586" t="inlineStr">
        <is>
          <t>recvfqmLqZ7TsG.jpg</t>
        </is>
      </c>
      <c r="C586" s="2" t="str">
        <f>=HYPERLINK("https://xhslink.com/m/AwpDFGPQ5n7", "https://xhslink.com/m/AwpDFGPQ5n7")</f>
        <v>https://xhslink.com/m/AwpDFGPQ5n7</v>
      </c>
      <c r="D586"/>
      <c r="E586">
        <v>27000</v>
      </c>
      <c r="F586">
        <v>110</v>
      </c>
      <c r="G586">
        <v>99</v>
      </c>
      <c r="H586">
        <v>500</v>
      </c>
      <c r="I586" t="inlineStr">
        <is>
          <t>牛仔裤</t>
        </is>
      </c>
      <c r="J586" t="inlineStr">
        <is>
          <t>0.02</t>
        </is>
      </c>
      <c r="K586" t="inlineStr">
        <is>
          <t>🔥低粉爆款</t>
        </is>
      </c>
      <c r="L586" t="inlineStr">
        <is>
          <t>阿搭阿搭的店</t>
        </is>
      </c>
      <c r="M586">
        <v>4472</v>
      </c>
      <c r="N586">
        <v>4.56</v>
      </c>
      <c r="O586">
        <v>33000</v>
      </c>
      <c r="P586" t="inlineStr">
        <is>
          <t>6867e664a57c68000175742e</t>
        </is>
      </c>
      <c r="Q586" t="inlineStr">
        <is>
          <t>🚫重复</t>
        </is>
      </c>
      <c r="R586" t="inlineStr">
        <is>
          <t>14周</t>
        </is>
      </c>
      <c r="S586" t="inlineStr">
        <is>
          <t>6.04</t>
        </is>
      </c>
      <c r="T586" t="inlineStr">
        <is>
          <t>服饰穿搭</t>
        </is>
      </c>
      <c r="U586" t="inlineStr">
        <is>
          <t>女装</t>
        </is>
      </c>
      <c r="V586" s="3">
        <v>46112.78107638889</v>
      </c>
      <c r="W586" t="inlineStr">
        <is>
          <t>2026-Q1</t>
        </is>
      </c>
    </row>
    <row r="587" ht="25.5" customHeight="1">
      <c r="A587" t="inlineStr">
        <is>
          <t>真冻干云南墨红玫瑰新货花冠茶 玫瑰花茶新花精选大花云南玫瑰</t>
        </is>
      </c>
      <c r="B587" t="inlineStr">
        <is>
          <t>recvfqmLqZbqu1.jpg</t>
        </is>
      </c>
      <c r="C587" s="2" t="str">
        <f>=HYPERLINK("https://xhslink.com/m/86gLIglvQno", "https://xhslink.com/m/86gLIglvQno")</f>
        <v>https://xhslink.com/m/86gLIglvQno</v>
      </c>
      <c r="D587"/>
      <c r="E587">
        <v>17000</v>
      </c>
      <c r="F587">
        <v>19.9</v>
      </c>
      <c r="G587"/>
      <c r="H587">
        <v>500</v>
      </c>
      <c r="I587" t="inlineStr">
        <is>
          <t>养生饮品</t>
        </is>
      </c>
      <c r="J587" t="inlineStr">
        <is>
          <t>0.03</t>
        </is>
      </c>
      <c r="K587" t="inlineStr">
        <is>
          <t>🔥低粉爆款</t>
        </is>
      </c>
      <c r="L587" t="inlineStr">
        <is>
          <t>丝俗小张玫瑰的店</t>
        </is>
      </c>
      <c r="M587">
        <v>3006</v>
      </c>
      <c r="N587">
        <v>4.48</v>
      </c>
      <c r="O587">
        <v>19000</v>
      </c>
      <c r="P587" t="inlineStr">
        <is>
          <t>684409308a6cef00017235ce</t>
        </is>
      </c>
      <c r="Q587" t="inlineStr">
        <is>
          <t>🚫重复</t>
        </is>
      </c>
      <c r="R587" t="inlineStr">
        <is>
          <t>14周</t>
        </is>
      </c>
      <c r="S587" t="inlineStr">
        <is>
          <t>5.66</t>
        </is>
      </c>
      <c r="T587" t="inlineStr">
        <is>
          <t>美食滋补</t>
        </is>
      </c>
      <c r="U587" t="inlineStr">
        <is>
          <t>酒水冲饮</t>
        </is>
      </c>
      <c r="V587" s="3">
        <v>46112.78107638889</v>
      </c>
      <c r="W587" t="inlineStr">
        <is>
          <t>2026-Q1</t>
        </is>
      </c>
    </row>
    <row r="588" ht="25.5" customHeight="1">
      <c r="A588" t="inlineStr">
        <is>
          <t>恋与深空磁吸小团子沈星回祁煜夏以昼黎深秦彻挂件同人原创</t>
        </is>
      </c>
      <c r="B588" t="inlineStr">
        <is>
          <t>recvfqmLqZvZP9.jpg</t>
        </is>
      </c>
      <c r="C588" s="2" t="str">
        <f>=HYPERLINK("https://xhslink.com/m/1zOKwfQJpgl", "https://xhslink.com/m/1zOKwfQJpgl")</f>
        <v>https://xhslink.com/m/1zOKwfQJpgl</v>
      </c>
      <c r="D588"/>
      <c r="E588">
        <v>1270</v>
      </c>
      <c r="F588">
        <v>28.9</v>
      </c>
      <c r="G588"/>
      <c r="H588">
        <v>500</v>
      </c>
      <c r="I588" t="inlineStr">
        <is>
          <t>毛绒玩偶</t>
        </is>
      </c>
      <c r="J588" t="inlineStr">
        <is>
          <t>0.39</t>
        </is>
      </c>
      <c r="K588"/>
      <c r="L588" t="inlineStr">
        <is>
          <t>你好丸NIHAOWAN的店</t>
        </is>
      </c>
      <c r="M588">
        <v>56000</v>
      </c>
      <c r="N588">
        <v>4.69</v>
      </c>
      <c r="O588">
        <v>81000</v>
      </c>
      <c r="P588" t="inlineStr">
        <is>
          <t>69b689bf9b4aae000189e819</t>
        </is>
      </c>
      <c r="Q588" t="inlineStr">
        <is>
          <t>🚫重复</t>
        </is>
      </c>
      <c r="R588" t="inlineStr">
        <is>
          <t>14周</t>
        </is>
      </c>
      <c r="S588" t="inlineStr">
        <is>
          <t>0.02</t>
        </is>
      </c>
      <c r="T588" t="inlineStr">
        <is>
          <t>母婴亲子</t>
        </is>
      </c>
      <c r="U588" t="inlineStr">
        <is>
          <t>玩具早教</t>
        </is>
      </c>
      <c r="V588" s="3">
        <v>46112.78107638889</v>
      </c>
      <c r="W588" t="inlineStr">
        <is>
          <t>2026-Q1</t>
        </is>
      </c>
    </row>
    <row r="589" ht="25.5" customHeight="1">
      <c r="A589" t="inlineStr">
        <is>
          <t>超好看双肩背包小型轻便韩系ins简约小众旅游通勤出去玩女小肩包</t>
        </is>
      </c>
      <c r="B589" t="inlineStr">
        <is>
          <t>recvfqmLqZa0HN.jpg</t>
        </is>
      </c>
      <c r="C589" s="2" t="str">
        <f>=HYPERLINK("https://xhslink.com/m/7l373Eo3QAY", "https://xhslink.com/m/7l373Eo3QAY")</f>
        <v>https://xhslink.com/m/7l373Eo3QAY</v>
      </c>
      <c r="D589"/>
      <c r="E589">
        <v>2448</v>
      </c>
      <c r="F589">
        <v>25.9</v>
      </c>
      <c r="G589"/>
      <c r="H589">
        <v>500</v>
      </c>
      <c r="I589" t="inlineStr">
        <is>
          <t>韩系包包</t>
        </is>
      </c>
      <c r="J589" t="inlineStr">
        <is>
          <t>0.20</t>
        </is>
      </c>
      <c r="K589"/>
      <c r="L589" t="inlineStr">
        <is>
          <t>奶芙泡牛奶🐈的店</t>
        </is>
      </c>
      <c r="M589">
        <v>2250</v>
      </c>
      <c r="N589">
        <v>4.11</v>
      </c>
      <c r="O589">
        <v>27000</v>
      </c>
      <c r="P589" t="inlineStr">
        <is>
          <t>699c27d187daa00001aad3d6</t>
        </is>
      </c>
      <c r="Q589"/>
      <c r="R589" t="inlineStr">
        <is>
          <t>14周</t>
        </is>
      </c>
      <c r="S589" t="inlineStr">
        <is>
          <t>1.09</t>
        </is>
      </c>
      <c r="T589" t="inlineStr">
        <is>
          <t>服饰穿搭</t>
        </is>
      </c>
      <c r="U589" t="inlineStr">
        <is>
          <t>鞋靴箱包</t>
        </is>
      </c>
      <c r="V589" s="3">
        <v>46112.78107638889</v>
      </c>
      <c r="W589" t="inlineStr">
        <is>
          <t>2026-Q1</t>
        </is>
      </c>
    </row>
    <row r="590" ht="25.5" customHeight="1">
      <c r="A590" t="inlineStr">
        <is>
          <t>锅掌门 · 手工纯铁无涂层铁锅炒锅小铁锅圆肚锅一人食小锅平底锅不挑炉灶</t>
        </is>
      </c>
      <c r="B590" t="inlineStr">
        <is>
          <t>recvfvVmDwNQRE.jpg</t>
        </is>
      </c>
      <c r="C590" s="2" t="str">
        <f>=HYPERLINK("https://xhslink.com/m/1juUm4nijN4", "https://xhslink.com/m/1juUm4nijN4")</f>
        <v>https://xhslink.com/m/1juUm4nijN4</v>
      </c>
      <c r="D590"/>
      <c r="E590">
        <v>23000</v>
      </c>
      <c r="F590">
        <v>73.9</v>
      </c>
      <c r="G590"/>
      <c r="H590">
        <v>500</v>
      </c>
      <c r="I590" t="inlineStr">
        <is>
          <t>厨房用品</t>
        </is>
      </c>
      <c r="J590" t="inlineStr">
        <is>
          <t>0.02</t>
        </is>
      </c>
      <c r="K590"/>
      <c r="L590" t="inlineStr">
        <is>
          <t>羊阿羊厨具生活馆的店</t>
        </is>
      </c>
      <c r="M590">
        <v>9137</v>
      </c>
      <c r="N590">
        <v>4.76</v>
      </c>
      <c r="O590">
        <v>31000</v>
      </c>
      <c r="P590" t="inlineStr">
        <is>
          <t>674d7497250a740001e25181</t>
        </is>
      </c>
      <c r="Q590" t="inlineStr">
        <is>
          <t>🚫重复</t>
        </is>
      </c>
      <c r="R590" t="inlineStr">
        <is>
          <t>14周</t>
        </is>
      </c>
      <c r="S590" t="inlineStr">
        <is>
          <t>2.52</t>
        </is>
      </c>
      <c r="T590" t="inlineStr">
        <is>
          <t>家居生活</t>
        </is>
      </c>
      <c r="U590" t="inlineStr">
        <is>
          <t>厨房餐饮</t>
        </is>
      </c>
      <c r="V590" s="3">
        <v>46113.55826388889</v>
      </c>
      <c r="W590" t="inlineStr">
        <is>
          <t>2026-Q2</t>
        </is>
      </c>
    </row>
    <row r="591" ht="25.5" customHeight="1">
      <c r="A591" t="inlineStr">
        <is>
          <t>下厨房 · 【低脂】松叶蟹味柳阿拉斯加鳕鱼肉轻食火锅蟹棒寿司沙拉蟹柳早餐</t>
        </is>
      </c>
      <c r="B591" t="inlineStr">
        <is>
          <t>recvfvVmDwRsPe.jpg</t>
        </is>
      </c>
      <c r="C591" s="2" t="str">
        <f>=HYPERLINK("https://xhslink.com/m/ptWedRPBJz", "https://xhslink.com/m/ptWedRPBJz")</f>
        <v>https://xhslink.com/m/ptWedRPBJz</v>
      </c>
      <c r="D591"/>
      <c r="E591">
        <v>65000</v>
      </c>
      <c r="F591">
        <v>239.9</v>
      </c>
      <c r="G591">
        <v>159.9</v>
      </c>
      <c r="H591">
        <v>500</v>
      </c>
      <c r="I591" t="inlineStr">
        <is>
          <t>卤味肉干</t>
        </is>
      </c>
      <c r="J591" t="inlineStr">
        <is>
          <t>0.01</t>
        </is>
      </c>
      <c r="K591"/>
      <c r="L591" t="inlineStr">
        <is>
          <t>下厨房旗舰店</t>
        </is>
      </c>
      <c r="M591">
        <v>117000</v>
      </c>
      <c r="N591">
        <v>4.77</v>
      </c>
      <c r="O591">
        <v>765000</v>
      </c>
      <c r="P591" t="inlineStr">
        <is>
          <t>66decf92b39d0f000139e2fa</t>
        </is>
      </c>
      <c r="Q591" t="inlineStr">
        <is>
          <t>🚫重复</t>
        </is>
      </c>
      <c r="R591" t="inlineStr">
        <is>
          <t>14周</t>
        </is>
      </c>
      <c r="S591" t="inlineStr">
        <is>
          <t>0.56</t>
        </is>
      </c>
      <c r="T591" t="inlineStr">
        <is>
          <t>美食滋补</t>
        </is>
      </c>
      <c r="U591" t="inlineStr">
        <is>
          <t>休闲零食</t>
        </is>
      </c>
      <c r="V591" s="3">
        <v>46113.55826388889</v>
      </c>
      <c r="W591" t="inlineStr">
        <is>
          <t>2026-Q2</t>
        </is>
      </c>
    </row>
    <row r="592" ht="25.5" customHeight="1">
      <c r="A592" t="inlineStr">
        <is>
          <t>NETST · 美白烟酰胺身体乳保湿美白润肤乳提亮肤色改善暗沉秋冬滋润不黏腻</t>
        </is>
      </c>
      <c r="B592" t="inlineStr">
        <is>
          <t>recvfvVmDw0x04_fix.jpg</t>
        </is>
      </c>
      <c r="C592" s="2" t="str">
        <f>=HYPERLINK("https://xhslink.com/m/5Nx46cTPeMA", "https://xhslink.com/m/5Nx46cTPeMA")</f>
        <v>https://xhslink.com/m/5Nx46cTPeMA</v>
      </c>
      <c r="D592"/>
      <c r="E592">
        <v>6764</v>
      </c>
      <c r="F592">
        <v>28</v>
      </c>
      <c r="G592">
        <v>5.9</v>
      </c>
      <c r="H592">
        <v>500</v>
      </c>
      <c r="I592" t="inlineStr">
        <is>
          <t>身体护理</t>
        </is>
      </c>
      <c r="J592" t="inlineStr">
        <is>
          <t>0.07</t>
        </is>
      </c>
      <c r="K592" t="inlineStr">
        <is>
          <t>🔥低粉爆款</t>
        </is>
      </c>
      <c r="L592" t="inlineStr">
        <is>
          <t>透白肌社的店</t>
        </is>
      </c>
      <c r="M592">
        <v>310</v>
      </c>
      <c r="N592">
        <v>4.55</v>
      </c>
      <c r="O592">
        <v>7266</v>
      </c>
      <c r="P592" t="inlineStr">
        <is>
          <t>69664496adb6840001c550f0</t>
        </is>
      </c>
      <c r="Q592" t="inlineStr">
        <is>
          <t>🚫重复</t>
        </is>
      </c>
      <c r="R592" t="inlineStr">
        <is>
          <t>14周</t>
        </is>
      </c>
      <c r="S592" t="inlineStr">
        <is>
          <t>21.82</t>
        </is>
      </c>
      <c r="T592" t="inlineStr">
        <is>
          <t>美妆个护</t>
        </is>
      </c>
      <c r="U592" t="inlineStr">
        <is>
          <t>个人护理</t>
        </is>
      </c>
      <c r="V592" s="3">
        <v>46113.55826388889</v>
      </c>
      <c r="W592" t="inlineStr">
        <is>
          <t>2026-Q2</t>
        </is>
      </c>
    </row>
    <row r="593" ht="25.5" customHeight="1">
      <c r="A593" t="inlineStr">
        <is>
          <t>酵色 · 【118/2支】固体唇蜜全新不易沾杯镜面时髦口红推荐5585591990</t>
        </is>
      </c>
      <c r="B593" t="inlineStr">
        <is>
          <t>recvfvVmDw0XJY.jpg</t>
        </is>
      </c>
      <c r="C593" s="2" t="str">
        <f>=HYPERLINK("https://xhslink.com/m/4YsnmVzUf8h", "https://xhslink.com/m/4YsnmVzUf8h")</f>
        <v>https://xhslink.com/m/4YsnmVzUf8h</v>
      </c>
      <c r="D593"/>
      <c r="E593">
        <v>91000</v>
      </c>
      <c r="F593">
        <v>79</v>
      </c>
      <c r="G593">
        <v>69.52</v>
      </c>
      <c r="H593">
        <v>500</v>
      </c>
      <c r="I593" t="inlineStr">
        <is>
          <t>美护</t>
        </is>
      </c>
      <c r="J593" t="inlineStr">
        <is>
          <t>0.01</t>
        </is>
      </c>
      <c r="K593"/>
      <c r="L593" t="inlineStr">
        <is>
          <t>JOOCYEE酵色旗舰店</t>
        </is>
      </c>
      <c r="M593">
        <v>163000</v>
      </c>
      <c r="N593">
        <v>4.77</v>
      </c>
      <c r="O593">
        <v>841000</v>
      </c>
      <c r="P593" t="inlineStr">
        <is>
          <t>67ffd3c8b2c30c000104ea2a</t>
        </is>
      </c>
      <c r="Q593" t="inlineStr">
        <is>
          <t>🚫重复</t>
        </is>
      </c>
      <c r="R593" t="inlineStr">
        <is>
          <t>14周</t>
        </is>
      </c>
      <c r="S593" t="inlineStr">
        <is>
          <t>0.56</t>
        </is>
      </c>
      <c r="T593" t="inlineStr">
        <is>
          <t>美妆个护</t>
        </is>
      </c>
      <c r="U593" t="inlineStr">
        <is>
          <t>护肤彩妆</t>
        </is>
      </c>
      <c r="V593" s="3">
        <v>46113.55826388889</v>
      </c>
      <c r="W593" t="inlineStr">
        <is>
          <t>2026-Q2</t>
        </is>
      </c>
    </row>
    <row r="594" ht="25.5" customHeight="1">
      <c r="A594" t="inlineStr">
        <is>
          <t>酵色 · 【108/2支】多用霜唇釉腮红口红哑光不易沾杯低饱和推荐c33c13</t>
        </is>
      </c>
      <c r="B594" t="inlineStr">
        <is>
          <t>recvfvVmDwnvDO.jpg</t>
        </is>
      </c>
      <c r="C594" s="2" t="str">
        <f>=HYPERLINK("https://xhslink.com/m/5geja0iRwwk", "https://xhslink.com/m/5geja0iRwwk")</f>
        <v>https://xhslink.com/m/5geja0iRwwk</v>
      </c>
      <c r="D594"/>
      <c r="E594">
        <v>102000</v>
      </c>
      <c r="F594">
        <v>178</v>
      </c>
      <c r="G594">
        <v>108</v>
      </c>
      <c r="H594">
        <v>500</v>
      </c>
      <c r="I594" t="inlineStr">
        <is>
          <t>美护</t>
        </is>
      </c>
      <c r="J594" t="inlineStr">
        <is>
          <t>0.00</t>
        </is>
      </c>
      <c r="K594"/>
      <c r="L594" t="inlineStr">
        <is>
          <t>JOOCYEE酵色旗舰店</t>
        </is>
      </c>
      <c r="M594">
        <v>163000</v>
      </c>
      <c r="N594">
        <v>4.77</v>
      </c>
      <c r="O594">
        <v>841000</v>
      </c>
      <c r="P594" t="inlineStr">
        <is>
          <t>67bf460cf2389c0001b64578</t>
        </is>
      </c>
      <c r="Q594" t="inlineStr">
        <is>
          <t>🚫重复</t>
        </is>
      </c>
      <c r="R594" t="inlineStr">
        <is>
          <t>14周</t>
        </is>
      </c>
      <c r="S594" t="inlineStr">
        <is>
          <t>0.63</t>
        </is>
      </c>
      <c r="T594" t="inlineStr">
        <is>
          <t>美妆个护</t>
        </is>
      </c>
      <c r="U594" t="inlineStr">
        <is>
          <t>护肤彩妆</t>
        </is>
      </c>
      <c r="V594" s="3">
        <v>46113.55826388889</v>
      </c>
      <c r="W594" t="inlineStr">
        <is>
          <t>2026-Q2</t>
        </is>
      </c>
    </row>
    <row r="595" ht="25.5" customHeight="1">
      <c r="A595" t="inlineStr">
        <is>
          <t>优碧丝 · 焕颜3％烟酰胺+2％熊果苷滋润改善皮肤暗沉粗糙光滑透亮保湿精华</t>
        </is>
      </c>
      <c r="B595" t="inlineStr">
        <is>
          <t>recvfvVmDwbiUe.jpg</t>
        </is>
      </c>
      <c r="C595" s="2" t="str">
        <f>=HYPERLINK("https://xhslink.com/m/8dsJaNi5hE0", "https://xhslink.com/m/8dsJaNi5hE0")</f>
        <v>https://xhslink.com/m/8dsJaNi5hE0</v>
      </c>
      <c r="D595"/>
      <c r="E595">
        <v>96000</v>
      </c>
      <c r="F595">
        <v>89.9</v>
      </c>
      <c r="G595">
        <v>45.8</v>
      </c>
      <c r="H595">
        <v>500</v>
      </c>
      <c r="I595" t="inlineStr">
        <is>
          <t>美白</t>
        </is>
      </c>
      <c r="J595" t="inlineStr">
        <is>
          <t>0.01</t>
        </is>
      </c>
      <c r="K595" t="inlineStr">
        <is>
          <t>🔥低粉爆款</t>
        </is>
      </c>
      <c r="L595" t="inlineStr">
        <is>
          <t>优碧丝旗舰店</t>
        </is>
      </c>
      <c r="M595">
        <v>26000</v>
      </c>
      <c r="N595">
        <v>4.43</v>
      </c>
      <c r="O595">
        <v>136000</v>
      </c>
      <c r="P595" t="inlineStr">
        <is>
          <t>68282455f4a06d0001194368</t>
        </is>
      </c>
      <c r="Q595" t="inlineStr">
        <is>
          <t>🚫重复</t>
        </is>
      </c>
      <c r="R595" t="inlineStr">
        <is>
          <t>14周</t>
        </is>
      </c>
      <c r="S595" t="inlineStr">
        <is>
          <t>3.69</t>
        </is>
      </c>
      <c r="T595" t="inlineStr">
        <is>
          <t>美妆个护</t>
        </is>
      </c>
      <c r="U595" t="inlineStr">
        <is>
          <t>护肤彩妆</t>
        </is>
      </c>
      <c r="V595" s="3">
        <v>46113.55826388889</v>
      </c>
      <c r="W595" t="inlineStr">
        <is>
          <t>2026-Q2</t>
        </is>
      </c>
    </row>
    <row r="596" ht="25.5" customHeight="1">
      <c r="A596" t="inlineStr">
        <is>
          <t>NETST · 美白烟酰胺身体乳保湿美白润肤乳提亮肤色改善暗沉秋冬滋润不黏腻</t>
        </is>
      </c>
      <c r="B596" t="inlineStr">
        <is>
          <t>recvfvVmDwTqQ9.jpg</t>
        </is>
      </c>
      <c r="C596" s="2" t="str">
        <f>=HYPERLINK("https://xhslink.com/m/AHPy2IA8gH", "https://xhslink.com/m/AHPy2IA8gH")</f>
        <v>https://xhslink.com/m/AHPy2IA8gH</v>
      </c>
      <c r="D596"/>
      <c r="E596">
        <v>6892</v>
      </c>
      <c r="F596">
        <v>129.9</v>
      </c>
      <c r="G596">
        <v>42.9</v>
      </c>
      <c r="H596">
        <v>500</v>
      </c>
      <c r="I596" t="inlineStr">
        <is>
          <t>美白</t>
        </is>
      </c>
      <c r="J596" t="inlineStr">
        <is>
          <t>0.07</t>
        </is>
      </c>
      <c r="K596" t="inlineStr">
        <is>
          <t>🔥低粉爆款</t>
        </is>
      </c>
      <c r="L596" t="inlineStr">
        <is>
          <t>透白肌社的店</t>
        </is>
      </c>
      <c r="M596">
        <v>310</v>
      </c>
      <c r="N596">
        <v>4.55</v>
      </c>
      <c r="O596">
        <v>7266</v>
      </c>
      <c r="P596" t="inlineStr">
        <is>
          <t>696232b47d2846000151288b</t>
        </is>
      </c>
      <c r="Q596" t="inlineStr">
        <is>
          <t>🚫重复</t>
        </is>
      </c>
      <c r="R596" t="inlineStr">
        <is>
          <t>14周</t>
        </is>
      </c>
      <c r="S596" t="inlineStr">
        <is>
          <t>22.23</t>
        </is>
      </c>
      <c r="T596" t="inlineStr">
        <is>
          <t>美妆个护</t>
        </is>
      </c>
      <c r="U596" t="inlineStr">
        <is>
          <t>个人护理</t>
        </is>
      </c>
      <c r="V596" s="3">
        <v>46113.55826388889</v>
      </c>
      <c r="W596" t="inlineStr">
        <is>
          <t>2026-Q2</t>
        </is>
      </c>
    </row>
    <row r="597" ht="25.5" customHeight="1">
      <c r="A597" t="inlineStr">
        <is>
          <t>雅众 · 新疆乌斯玛草眼眉睫毛增长液变长滋养浓密纤长快速变长滋护睫毛JE</t>
        </is>
      </c>
      <c r="B597" t="inlineStr">
        <is>
          <t>recvfvVmDwg5IV.jpg</t>
        </is>
      </c>
      <c r="C597" s="2" t="str">
        <f>=HYPERLINK("https://xhslink.com/m/6Er14bULjyP", "https://xhslink.com/m/6Er14bULjyP")</f>
        <v>https://xhslink.com/m/6Er14bULjyP</v>
      </c>
      <c r="D597"/>
      <c r="E597">
        <v>2527</v>
      </c>
      <c r="F597">
        <v>22.9</v>
      </c>
      <c r="G597"/>
      <c r="H597">
        <v>500</v>
      </c>
      <c r="I597" t="inlineStr">
        <is>
          <t>睫毛生长液</t>
        </is>
      </c>
      <c r="J597" t="inlineStr">
        <is>
          <t>0.20</t>
        </is>
      </c>
      <c r="K597" t="inlineStr">
        <is>
          <t>🔥低粉爆款</t>
        </is>
      </c>
      <c r="L597" t="inlineStr">
        <is>
          <t>莲恩日化美妆专营店</t>
        </is>
      </c>
      <c r="M597">
        <v>17</v>
      </c>
      <c r="N597">
        <v>4.31</v>
      </c>
      <c r="O597">
        <v>3127</v>
      </c>
      <c r="P597" t="inlineStr">
        <is>
          <t>69afbe59ac2e190001701527</t>
        </is>
      </c>
      <c r="Q597"/>
      <c r="R597" t="inlineStr">
        <is>
          <t>14周</t>
        </is>
      </c>
      <c r="S597" t="inlineStr">
        <is>
          <t>148.65</t>
        </is>
      </c>
      <c r="T597" t="inlineStr">
        <is>
          <t>美妆个护</t>
        </is>
      </c>
      <c r="U597" t="inlineStr">
        <is>
          <t>护肤彩妆</t>
        </is>
      </c>
      <c r="V597" s="3">
        <v>46113.55826388889</v>
      </c>
      <c r="W597" t="inlineStr">
        <is>
          <t>2026-Q2</t>
        </is>
      </c>
    </row>
    <row r="598" ht="25.5" customHeight="1">
      <c r="A598" t="inlineStr">
        <is>
          <t>圆圆呀aaa__细闪绸缎高跟鞋气质优雅通勤女鞋</t>
        </is>
      </c>
      <c r="B598" t="inlineStr">
        <is>
          <t>recvfD7quwOG8a.jpg</t>
        </is>
      </c>
      <c r="C598" s="2" t="str">
        <f>=HYPERLINK("https://xhslink.com/m/9W1dtEre5Md", "https://xhslink.com/m/9W1dtEre5Md")</f>
        <v>https://xhslink.com/m/9W1dtEre5Md</v>
      </c>
      <c r="D598"/>
      <c r="E598">
        <v>26000</v>
      </c>
      <c r="F598">
        <v>185</v>
      </c>
      <c r="G598">
        <v>152</v>
      </c>
      <c r="H598">
        <v>500</v>
      </c>
      <c r="I598" t="inlineStr">
        <is>
          <t>百搭鞋子</t>
        </is>
      </c>
      <c r="J598" t="inlineStr">
        <is>
          <t>0.02</t>
        </is>
      </c>
      <c r="K598"/>
      <c r="L598" t="inlineStr">
        <is>
          <t>圆圆呀aaa__的店</t>
        </is>
      </c>
      <c r="M598">
        <v>12000</v>
      </c>
      <c r="N598">
        <v>4.59</v>
      </c>
      <c r="O598">
        <v>53000</v>
      </c>
      <c r="P598" t="inlineStr">
        <is>
          <t>6911e09cc8a3fa0001c76061</t>
        </is>
      </c>
      <c r="Q598" t="inlineStr">
        <is>
          <t>🚫重复</t>
        </is>
      </c>
      <c r="R598" t="inlineStr">
        <is>
          <t>14周</t>
        </is>
      </c>
      <c r="S598" t="inlineStr">
        <is>
          <t>2.17</t>
        </is>
      </c>
      <c r="T598" t="inlineStr">
        <is>
          <t>服饰穿搭</t>
        </is>
      </c>
      <c r="U598" t="inlineStr">
        <is>
          <t>鞋靴箱包</t>
        </is>
      </c>
      <c r="V598" s="3">
        <v>46114.78872685185</v>
      </c>
      <c r="W598" t="inlineStr">
        <is>
          <t>2026-Q2</t>
        </is>
      </c>
    </row>
    <row r="599" ht="25.5" customHeight="1">
      <c r="A599" t="inlineStr">
        <is>
          <t>【双份面饼188g】桶面泡面速食免煮汤面方便面宿舍加班夜宵多口味</t>
        </is>
      </c>
      <c r="B599" t="inlineStr">
        <is>
          <t>recvfD7quwIZJm.jpg</t>
        </is>
      </c>
      <c r="C599" s="2" t="str">
        <f>=HYPERLINK("https://xhslink.com/m/57YDrQbYmGT", "https://xhslink.com/m/57YDrQbYmGT")</f>
        <v>https://xhslink.com/m/57YDrQbYmGT</v>
      </c>
      <c r="D599"/>
      <c r="E599">
        <v>1224</v>
      </c>
      <c r="F599">
        <v>45.9</v>
      </c>
      <c r="G599">
        <v>25.9</v>
      </c>
      <c r="H599">
        <v>500</v>
      </c>
      <c r="I599" t="inlineStr">
        <is>
          <t>宿舍零食</t>
        </is>
      </c>
      <c r="J599" t="inlineStr">
        <is>
          <t>0.41</t>
        </is>
      </c>
      <c r="K599" t="inlineStr">
        <is>
          <t>🔥低粉爆款</t>
        </is>
      </c>
      <c r="L599" t="inlineStr">
        <is>
          <t>小馋猫优优🙈的店</t>
        </is>
      </c>
      <c r="M599">
        <v>25</v>
      </c>
      <c r="N599">
        <v>4.48</v>
      </c>
      <c r="O599">
        <v>2561</v>
      </c>
      <c r="P599" t="inlineStr">
        <is>
          <t>69abe31dbefcbd0001d68df5</t>
        </is>
      </c>
      <c r="Q599"/>
      <c r="R599" t="inlineStr">
        <is>
          <t>14周</t>
        </is>
      </c>
      <c r="S599" t="inlineStr">
        <is>
          <t>48.96</t>
        </is>
      </c>
      <c r="T599" t="inlineStr">
        <is>
          <t>美食滋补</t>
        </is>
      </c>
      <c r="U599" t="inlineStr">
        <is>
          <t>休闲零食</t>
        </is>
      </c>
      <c r="V599" s="3">
        <v>46114.78872685185</v>
      </c>
      <c r="W599" t="inlineStr">
        <is>
          <t>2026-Q2</t>
        </is>
      </c>
    </row>
    <row r="600" ht="25.5" customHeight="1">
      <c r="A600" t="inlineStr">
        <is>
          <t>区区欧阳 · 镂空长袖衬衫连衣裙女春季白色辣妹短裙收腰修身显瘦裙子</t>
        </is>
      </c>
      <c r="B600" t="inlineStr">
        <is>
          <t>recvfKbRx1RAfO.jpg</t>
        </is>
      </c>
      <c r="C600" s="2" t="str">
        <f>=HYPERLINK("https://xhslink.com/m/7oVrz4afEx9", "https://xhslink.com/m/7oVrz4afEx9")</f>
        <v>https://xhslink.com/m/7oVrz4afEx9</v>
      </c>
      <c r="D600"/>
      <c r="E600">
        <v>475</v>
      </c>
      <c r="F600">
        <v>339</v>
      </c>
      <c r="G600">
        <v>273.05</v>
      </c>
      <c r="H600">
        <v>500</v>
      </c>
      <c r="I600" t="inlineStr">
        <is>
          <t>裙子</t>
        </is>
      </c>
      <c r="J600" t="inlineStr">
        <is>
          <t>1.05</t>
        </is>
      </c>
      <c r="K600"/>
      <c r="L600" t="inlineStr">
        <is>
          <t>区区欧阳旗舰店</t>
        </is>
      </c>
      <c r="M600">
        <v>21000</v>
      </c>
      <c r="N600">
        <v>4.52</v>
      </c>
      <c r="O600">
        <v>26000</v>
      </c>
      <c r="P600" t="inlineStr">
        <is>
          <t>67ade4d1c3cf0a000194add9</t>
        </is>
      </c>
      <c r="Q600"/>
      <c r="R600" t="inlineStr">
        <is>
          <t>14周</t>
        </is>
      </c>
      <c r="S600" t="inlineStr">
        <is>
          <t>0.02</t>
        </is>
      </c>
      <c r="T600" t="inlineStr">
        <is>
          <t>服饰穿搭</t>
        </is>
      </c>
      <c r="U600" t="inlineStr">
        <is>
          <t>女装</t>
        </is>
      </c>
      <c r="V600" s="3">
        <v>46115.998090277775</v>
      </c>
      <c r="W600" t="inlineStr">
        <is>
          <t>2026-Q2</t>
        </is>
      </c>
    </row>
    <row r="601" ht="25.5" customHeight="1">
      <c r="A601" t="inlineStr">
        <is>
          <t>低腰不贴腿百搭喇叭裤拖地牛仔裤女美式辣妹阔腿裤</t>
        </is>
      </c>
      <c r="B601" t="inlineStr">
        <is>
          <t>recvfKbRx1KkBv.jpg</t>
        </is>
      </c>
      <c r="C601" s="2" t="str">
        <f>=HYPERLINK("https://xhslink.com/m/11XmgA1Ntvt", "https://xhslink.com/m/11XmgA1Ntvt")</f>
        <v>https://xhslink.com/m/11XmgA1Ntvt</v>
      </c>
      <c r="D601"/>
      <c r="E601">
        <v>136000</v>
      </c>
      <c r="F601">
        <v>95</v>
      </c>
      <c r="G601">
        <v>79</v>
      </c>
      <c r="H601">
        <v>500</v>
      </c>
      <c r="I601" t="inlineStr">
        <is>
          <t>裤子</t>
        </is>
      </c>
      <c r="J601" t="inlineStr">
        <is>
          <t>0.00</t>
        </is>
      </c>
      <c r="K601"/>
      <c r="L601" t="inlineStr">
        <is>
          <t>OKOKOK的店</t>
        </is>
      </c>
      <c r="M601">
        <v>234000</v>
      </c>
      <c r="N601">
        <v>4.52</v>
      </c>
      <c r="O601">
        <v>1132000</v>
      </c>
      <c r="P601" t="inlineStr">
        <is>
          <t>6741886d17e95f0001f5cef4</t>
        </is>
      </c>
      <c r="Q601" t="inlineStr">
        <is>
          <t>🚫重复</t>
        </is>
      </c>
      <c r="R601" t="inlineStr">
        <is>
          <t>14周</t>
        </is>
      </c>
      <c r="S601" t="inlineStr">
        <is>
          <t>0.58</t>
        </is>
      </c>
      <c r="T601" t="inlineStr">
        <is>
          <t>服饰穿搭</t>
        </is>
      </c>
      <c r="U601" t="inlineStr">
        <is>
          <t>女装</t>
        </is>
      </c>
      <c r="V601" s="3">
        <v>46115.998090277775</v>
      </c>
      <c r="W601" t="inlineStr">
        <is>
          <t>2026-Q2</t>
        </is>
      </c>
    </row>
    <row r="602" ht="25.5" customHeight="1">
      <c r="A602" t="inlineStr">
        <is>
          <t>白色直筒牛仔裤女夏季2026多色新款高腰宽松阔腿显瘦慵懒拖地裤子</t>
        </is>
      </c>
      <c r="B602" t="inlineStr">
        <is>
          <t>recvfKbRx14yWF.jpg</t>
        </is>
      </c>
      <c r="C602" s="2" t="str">
        <f>=HYPERLINK("https://xhslink.com/m/4gXYajblDSN", "https://xhslink.com/m/4gXYajblDSN")</f>
        <v>https://xhslink.com/m/4gXYajblDSN</v>
      </c>
      <c r="D602"/>
      <c r="E602">
        <v>20000</v>
      </c>
      <c r="F602">
        <v>109</v>
      </c>
      <c r="G602">
        <v>78</v>
      </c>
      <c r="H602">
        <v>500</v>
      </c>
      <c r="I602" t="inlineStr">
        <is>
          <t>裤子</t>
        </is>
      </c>
      <c r="J602" t="inlineStr">
        <is>
          <t>0.03</t>
        </is>
      </c>
      <c r="K602"/>
      <c r="L602" t="inlineStr">
        <is>
          <t>圈圈不转圈⭕的店</t>
        </is>
      </c>
      <c r="M602">
        <v>32000</v>
      </c>
      <c r="N602">
        <v>4.46</v>
      </c>
      <c r="O602">
        <v>246000</v>
      </c>
      <c r="P602" t="inlineStr">
        <is>
          <t>67d06c8501442700019c9479</t>
        </is>
      </c>
      <c r="Q602" t="inlineStr">
        <is>
          <t>🚫重复</t>
        </is>
      </c>
      <c r="R602" t="inlineStr">
        <is>
          <t>14周</t>
        </is>
      </c>
      <c r="S602" t="inlineStr">
        <is>
          <t>0.62</t>
        </is>
      </c>
      <c r="T602" t="inlineStr">
        <is>
          <t>服饰穿搭</t>
        </is>
      </c>
      <c r="U602" t="inlineStr">
        <is>
          <t>女装</t>
        </is>
      </c>
      <c r="V602" s="3">
        <v>46115.998090277775</v>
      </c>
      <c r="W602" t="inlineStr">
        <is>
          <t>2026-Q2</t>
        </is>
      </c>
    </row>
    <row r="603" ht="25.5" customHeight="1">
      <c r="A603" t="inlineStr">
        <is>
          <t>灰色阔腿牛仔工装裤女2026春季新款高腰休闲宽松显瘦垂感直筒裤子</t>
        </is>
      </c>
      <c r="B603" t="inlineStr">
        <is>
          <t>recvfKbRx15rAO.jpg</t>
        </is>
      </c>
      <c r="C603" s="2" t="str">
        <f>=HYPERLINK("https://xhslink.com/m/27eFdLAqVYv", "https://xhslink.com/m/27eFdLAqVYv")</f>
        <v>https://xhslink.com/m/27eFdLAqVYv</v>
      </c>
      <c r="D603"/>
      <c r="E603">
        <v>6683</v>
      </c>
      <c r="F603">
        <v>129</v>
      </c>
      <c r="G603">
        <v>89.9</v>
      </c>
      <c r="H603">
        <v>500</v>
      </c>
      <c r="I603" t="inlineStr">
        <is>
          <t>裤子</t>
        </is>
      </c>
      <c r="J603" t="inlineStr">
        <is>
          <t>0.07</t>
        </is>
      </c>
      <c r="K603"/>
      <c r="L603" t="inlineStr">
        <is>
          <t>XUYI叙衣的店</t>
        </is>
      </c>
      <c r="M603">
        <v>6916</v>
      </c>
      <c r="N603">
        <v>4.61</v>
      </c>
      <c r="O603">
        <v>37000</v>
      </c>
      <c r="P603" t="inlineStr">
        <is>
          <t>698debde2080aa0001373f87</t>
        </is>
      </c>
      <c r="Q603" t="inlineStr">
        <is>
          <t>🚫重复</t>
        </is>
      </c>
      <c r="R603" t="inlineStr">
        <is>
          <t>14周</t>
        </is>
      </c>
      <c r="S603" t="inlineStr">
        <is>
          <t>0.97</t>
        </is>
      </c>
      <c r="T603" t="inlineStr">
        <is>
          <t>服饰穿搭</t>
        </is>
      </c>
      <c r="U603" t="inlineStr">
        <is>
          <t>女装</t>
        </is>
      </c>
      <c r="V603" s="3">
        <v>46115.998090277775</v>
      </c>
      <c r="W603" t="inlineStr">
        <is>
          <t>2026-Q2</t>
        </is>
      </c>
    </row>
    <row r="604" ht="25.5" customHeight="1">
      <c r="A604" t="inlineStr">
        <is>
          <t>【海岛缎】波光粼粼松紧腰半身裙飘逸垂感气质缎面a字裙女</t>
        </is>
      </c>
      <c r="B604" t="inlineStr">
        <is>
          <t>recvfP5nJfihtS.jpg</t>
        </is>
      </c>
      <c r="C604" s="2" t="str">
        <f>=HYPERLINK("https://xhslink.com/m/9KqFHlPWxyM", "https://xhslink.com/m/9KqFHlPWxyM")</f>
        <v>https://xhslink.com/m/9KqFHlPWxyM</v>
      </c>
      <c r="D604"/>
      <c r="E604">
        <v>4894</v>
      </c>
      <c r="F604">
        <v>59</v>
      </c>
      <c r="G604"/>
      <c r="H604">
        <v>500</v>
      </c>
      <c r="I604" t="inlineStr">
        <is>
          <t>长裙</t>
        </is>
      </c>
      <c r="J604" t="inlineStr">
        <is>
          <t>0.10</t>
        </is>
      </c>
      <c r="K604"/>
      <c r="L604" t="inlineStr">
        <is>
          <t>云朵朵自制的店</t>
        </is>
      </c>
      <c r="M604">
        <v>1813</v>
      </c>
      <c r="N604">
        <v>4.57</v>
      </c>
      <c r="O604">
        <v>14000</v>
      </c>
      <c r="P604" t="inlineStr">
        <is>
          <t>67ceac414a59360001ad9907</t>
        </is>
      </c>
      <c r="Q604"/>
      <c r="R604" t="inlineStr">
        <is>
          <t>14周</t>
        </is>
      </c>
      <c r="S604" t="inlineStr">
        <is>
          <t>2.70</t>
        </is>
      </c>
      <c r="T604" t="inlineStr">
        <is>
          <t>服饰穿搭</t>
        </is>
      </c>
      <c r="U604" t="inlineStr">
        <is>
          <t>女装</t>
        </is>
      </c>
      <c r="V604" s="3">
        <v>46116.835335648146</v>
      </c>
      <c r="W604" t="inlineStr">
        <is>
          <t>2026-Q2</t>
        </is>
      </c>
    </row>
    <row r="605" ht="25.5" customHeight="1">
      <c r="A605" t="inlineStr">
        <is>
          <t>【前1000单限时19.6】景德镇爆火迪莫二创转转桌面摆件车载装饰</t>
        </is>
      </c>
      <c r="B605" t="inlineStr">
        <is>
          <t>recvfP5nJfsejI.jpg</t>
        </is>
      </c>
      <c r="C605" s="2" t="str">
        <f>=HYPERLINK("https://xhslink.com/m/9HwrQs41Ke5", "https://xhslink.com/m/9HwrQs41Ke5")</f>
        <v>https://xhslink.com/m/9HwrQs41Ke5</v>
      </c>
      <c r="D605"/>
      <c r="E605">
        <v>1354</v>
      </c>
      <c r="F605">
        <v>32.9</v>
      </c>
      <c r="G605">
        <v>19.6</v>
      </c>
      <c r="H605">
        <v>500</v>
      </c>
      <c r="I605" t="inlineStr">
        <is>
          <t>小物件</t>
        </is>
      </c>
      <c r="J605" t="inlineStr">
        <is>
          <t>0.37</t>
        </is>
      </c>
      <c r="K605"/>
      <c r="L605" t="inlineStr">
        <is>
          <t>粥粥陶瓷手作的店</t>
        </is>
      </c>
      <c r="M605">
        <v>728</v>
      </c>
      <c r="N605">
        <v>4.56</v>
      </c>
      <c r="O605">
        <v>11000</v>
      </c>
      <c r="P605" t="inlineStr">
        <is>
          <t>69bc07789c1465000147ead4</t>
        </is>
      </c>
      <c r="Q605" t="inlineStr">
        <is>
          <t>🚫重复</t>
        </is>
      </c>
      <c r="R605" t="inlineStr">
        <is>
          <t>14周</t>
        </is>
      </c>
      <c r="S605" t="inlineStr">
        <is>
          <t>1.86</t>
        </is>
      </c>
      <c r="T605" t="inlineStr">
        <is>
          <t>家居生活</t>
        </is>
      </c>
      <c r="U605" t="inlineStr">
        <is>
          <t>家具家装</t>
        </is>
      </c>
      <c r="V605" s="3">
        <v>46116.835335648146</v>
      </c>
      <c r="W605" t="inlineStr">
        <is>
          <t>2026-Q2</t>
        </is>
      </c>
    </row>
    <row r="606" ht="25.5" customHeight="1">
      <c r="A606" t="inlineStr">
        <is>
          <t>【限时特惠前1000单13.6】水果系列正版猫猫盲盒摆件桌面摆件礼物</t>
        </is>
      </c>
      <c r="B606" t="inlineStr">
        <is>
          <t>recvfP5nJfd9hN.jpg</t>
        </is>
      </c>
      <c r="C606" s="2" t="str">
        <f>=HYPERLINK("https://xhslink.com/m/5XsjVTZBSO9", "https://xhslink.com/m/5XsjVTZBSO9")</f>
        <v>https://xhslink.com/m/5XsjVTZBSO9</v>
      </c>
      <c r="D606"/>
      <c r="E606">
        <v>994</v>
      </c>
      <c r="F606">
        <v>20.6</v>
      </c>
      <c r="G606">
        <v>13.6</v>
      </c>
      <c r="H606">
        <v>500</v>
      </c>
      <c r="I606" t="inlineStr">
        <is>
          <t>小物件</t>
        </is>
      </c>
      <c r="J606" t="inlineStr">
        <is>
          <t>0.50</t>
        </is>
      </c>
      <c r="K606" t="inlineStr">
        <is>
          <t>🔥低粉爆款</t>
        </is>
      </c>
      <c r="L606" t="inlineStr">
        <is>
          <t>喵喵卷～的店</t>
        </is>
      </c>
      <c r="M606">
        <v>79</v>
      </c>
      <c r="N606">
        <v>4.61</v>
      </c>
      <c r="O606">
        <v>1099</v>
      </c>
      <c r="P606" t="inlineStr">
        <is>
          <t>69adaa371166fe0001c67dfa</t>
        </is>
      </c>
      <c r="Q606" t="inlineStr">
        <is>
          <t>🚫重复</t>
        </is>
      </c>
      <c r="R606" t="inlineStr">
        <is>
          <t>14周</t>
        </is>
      </c>
      <c r="S606" t="inlineStr">
        <is>
          <t>12.58</t>
        </is>
      </c>
      <c r="T606" t="inlineStr">
        <is>
          <t>家居生活</t>
        </is>
      </c>
      <c r="U606" t="inlineStr">
        <is>
          <t>家具家装</t>
        </is>
      </c>
      <c r="V606" s="3">
        <v>46116.835335648146</v>
      </c>
      <c r="W606" t="inlineStr">
        <is>
          <t>2026-Q2</t>
        </is>
      </c>
    </row>
    <row r="607" ht="25.5" customHeight="1">
      <c r="A607" t="inlineStr">
        <is>
          <t>正宗广西红心木瓜新鲜水果现摘应季水果软糯香甜营养丰富孕妇可吃</t>
        </is>
      </c>
      <c r="B607" t="inlineStr">
        <is>
          <t>recvfVt9jWQTNV.jpg</t>
        </is>
      </c>
      <c r="C607" s="2" t="str">
        <f>=HYPERLINK("https://xhslink.com/m/2IOdOgC1LNl", "https://xhslink.com/m/2IOdOgC1LNl")</f>
        <v>https://xhslink.com/m/2IOdOgC1LNl</v>
      </c>
      <c r="D607"/>
      <c r="E607">
        <v>12000</v>
      </c>
      <c r="F607">
        <v>20.8</v>
      </c>
      <c r="G607">
        <v>7.9</v>
      </c>
      <c r="H607">
        <v>500</v>
      </c>
      <c r="I607" t="inlineStr">
        <is>
          <t>水果</t>
        </is>
      </c>
      <c r="J607" t="inlineStr">
        <is>
          <t>0.04</t>
        </is>
      </c>
      <c r="K607" t="inlineStr">
        <is>
          <t>🔥低粉爆款</t>
        </is>
      </c>
      <c r="L607" t="inlineStr">
        <is>
          <t>柒个水果💨的店</t>
        </is>
      </c>
      <c r="M607">
        <v>56</v>
      </c>
      <c r="N607">
        <v>4.63</v>
      </c>
      <c r="O607">
        <v>2654</v>
      </c>
      <c r="P607" t="inlineStr">
        <is>
          <t>69ba36c7ca64b30001013db6</t>
        </is>
      </c>
      <c r="Q607"/>
      <c r="R607" t="inlineStr">
        <is>
          <t>14周</t>
        </is>
      </c>
      <c r="S607" t="inlineStr">
        <is>
          <t>214.29</t>
        </is>
      </c>
      <c r="T607" t="inlineStr">
        <is>
          <t>美食滋补</t>
        </is>
      </c>
      <c r="U607" t="inlineStr">
        <is>
          <t>生鲜特产</t>
        </is>
      </c>
      <c r="V607" s="3">
        <v>46117.927083333336</v>
      </c>
      <c r="W607" t="inlineStr">
        <is>
          <t>2026-Q2</t>
        </is>
      </c>
    </row>
    <row r="608" ht="25.5" customHeight="1">
      <c r="A608" t="inlineStr">
        <is>
          <t>带胸垫睡衣夏天女短袖短裤薄款甜美风夏季小个子宽松可外穿</t>
        </is>
      </c>
      <c r="B608" t="inlineStr">
        <is>
          <t>recvfVt9jWkp7g.jpg</t>
        </is>
      </c>
      <c r="C608" s="2" t="str">
        <f>=HYPERLINK("https://xhslink.com/m/Az2PPdyCW03", "https://xhslink.com/m/Az2PPdyCW03")</f>
        <v>https://xhslink.com/m/Az2PPdyCW03</v>
      </c>
      <c r="D608"/>
      <c r="E608">
        <v>480</v>
      </c>
      <c r="F608">
        <v>39.9</v>
      </c>
      <c r="G608"/>
      <c r="H608">
        <v>500</v>
      </c>
      <c r="I608" t="inlineStr">
        <is>
          <t>睡衣</t>
        </is>
      </c>
      <c r="J608" t="inlineStr">
        <is>
          <t>1.04</t>
        </is>
      </c>
      <c r="K608"/>
      <c r="L608" t="inlineStr">
        <is>
          <t>李小小服饰的店</t>
        </is>
      </c>
      <c r="M608">
        <v>908</v>
      </c>
      <c r="N608">
        <v>4.53</v>
      </c>
      <c r="O608">
        <v>16000</v>
      </c>
      <c r="P608" t="inlineStr">
        <is>
          <t>69b2b8d49b4aae0001fe9df5</t>
        </is>
      </c>
      <c r="Q608" t="inlineStr">
        <is>
          <t>🚫重复</t>
        </is>
      </c>
      <c r="R608" t="inlineStr">
        <is>
          <t>14周</t>
        </is>
      </c>
      <c r="S608" t="inlineStr">
        <is>
          <t>0.53</t>
        </is>
      </c>
      <c r="T608" t="inlineStr">
        <is>
          <t>服饰穿搭</t>
        </is>
      </c>
      <c r="U608" t="inlineStr">
        <is>
          <t>女装</t>
        </is>
      </c>
      <c r="V608" s="3">
        <v>46117.927083333336</v>
      </c>
      <c r="W608" t="inlineStr">
        <is>
          <t>2026-Q2</t>
        </is>
      </c>
    </row>
    <row r="609" ht="25.5" customHeight="1">
      <c r="A609" t="inlineStr">
        <is>
          <t>Z · 『V腰显瘦神裤』/v腰喇叭裤/v腰牛仔裤 炒鸡显腰细显瘦 显腿长！</t>
        </is>
      </c>
      <c r="B609" t="inlineStr">
        <is>
          <t>recvfVt9jW8SAW.jpg</t>
        </is>
      </c>
      <c r="C609" s="2" t="str">
        <f>=HYPERLINK("https://xhslink.com/m/74NvN6beyhI", "https://xhslink.com/m/74NvN6beyhI")</f>
        <v>https://xhslink.com/m/74NvN6beyhI</v>
      </c>
      <c r="D609"/>
      <c r="E609">
        <v>116000</v>
      </c>
      <c r="F609">
        <v>149.9</v>
      </c>
      <c r="G609"/>
      <c r="H609">
        <v>500</v>
      </c>
      <c r="I609" t="inlineStr">
        <is>
          <t>裤子</t>
        </is>
      </c>
      <c r="J609" t="inlineStr">
        <is>
          <t>0.00</t>
        </is>
      </c>
      <c r="K609" t="inlineStr">
        <is>
          <t>🔥低粉爆款</t>
        </is>
      </c>
      <c r="L609" t="inlineStr">
        <is>
          <t>Sunny‘女装店的店</t>
        </is>
      </c>
      <c r="M609">
        <v>26000</v>
      </c>
      <c r="N609">
        <v>4.53</v>
      </c>
      <c r="O609">
        <v>146000</v>
      </c>
      <c r="P609" t="inlineStr">
        <is>
          <t>69451aea30effa0001163747</t>
        </is>
      </c>
      <c r="Q609" t="inlineStr">
        <is>
          <t>🚫重复</t>
        </is>
      </c>
      <c r="R609" t="inlineStr">
        <is>
          <t>14周</t>
        </is>
      </c>
      <c r="S609" t="inlineStr">
        <is>
          <t>4.46</t>
        </is>
      </c>
      <c r="T609" t="inlineStr">
        <is>
          <t>服饰穿搭</t>
        </is>
      </c>
      <c r="U609" t="inlineStr">
        <is>
          <t>女装</t>
        </is>
      </c>
      <c r="V609" s="3">
        <v>46117.927083333336</v>
      </c>
      <c r="W609" t="inlineStr">
        <is>
          <t>2026-Q2</t>
        </is>
      </c>
    </row>
    <row r="610" ht="25.5" customHeight="1">
      <c r="A610" t="inlineStr">
        <is>
          <t>『蚂蚁腰7.0骨相修容牛仔裤』蚂蚁腰+短骨盆+细直腿/女团高光裤</t>
        </is>
      </c>
      <c r="B610" t="inlineStr">
        <is>
          <t>recvfVt9jWBHFb.jpg</t>
        </is>
      </c>
      <c r="C610" s="2" t="str">
        <f>=HYPERLINK("https://xhslink.com/m/5O4ndjufOwm", "https://xhslink.com/m/5O4ndjufOwm")</f>
        <v>https://xhslink.com/m/5O4ndjufOwm</v>
      </c>
      <c r="D610"/>
      <c r="E610">
        <v>7112</v>
      </c>
      <c r="F610">
        <v>198</v>
      </c>
      <c r="G610"/>
      <c r="H610">
        <v>500</v>
      </c>
      <c r="I610" t="inlineStr">
        <is>
          <t>裤子</t>
        </is>
      </c>
      <c r="J610" t="inlineStr">
        <is>
          <t>0.07</t>
        </is>
      </c>
      <c r="K610"/>
      <c r="L610" t="inlineStr">
        <is>
          <t>158的微胖佳崽的店</t>
        </is>
      </c>
      <c r="M610">
        <v>117000</v>
      </c>
      <c r="N610">
        <v>4.43</v>
      </c>
      <c r="O610">
        <v>270000</v>
      </c>
      <c r="P610" t="inlineStr">
        <is>
          <t>69997e025b50a300014503af</t>
        </is>
      </c>
      <c r="Q610" t="inlineStr">
        <is>
          <t>🚫重复</t>
        </is>
      </c>
      <c r="R610" t="inlineStr">
        <is>
          <t>14周</t>
        </is>
      </c>
      <c r="S610" t="inlineStr">
        <is>
          <t>0.06</t>
        </is>
      </c>
      <c r="T610" t="inlineStr">
        <is>
          <t>美妆个护</t>
        </is>
      </c>
      <c r="U610" t="inlineStr">
        <is>
          <t>护肤彩妆</t>
        </is>
      </c>
      <c r="V610" s="3">
        <v>46117.927083333336</v>
      </c>
      <c r="W610" t="inlineStr">
        <is>
          <t>2026-Q2</t>
        </is>
      </c>
    </row>
    <row r="611" ht="25.5" customHeight="1">
      <c r="A611" t="inlineStr">
        <is>
          <t>随机花材普快基地直发售后无忧</t>
        </is>
      </c>
      <c r="B611" t="inlineStr">
        <is>
          <t>recvfVt9jWbp9p.jpg</t>
        </is>
      </c>
      <c r="C611" s="2" t="str">
        <f>=HYPERLINK("https://xhslink.com/m/g3iVcZlSDP", "https://xhslink.com/m/g3iVcZlSDP")</f>
        <v>https://xhslink.com/m/g3iVcZlSDP</v>
      </c>
      <c r="D611"/>
      <c r="E611">
        <v>193000</v>
      </c>
      <c r="F611">
        <v>18.8</v>
      </c>
      <c r="G611"/>
      <c r="H611">
        <v>500</v>
      </c>
      <c r="I611" t="inlineStr">
        <is>
          <t>花草</t>
        </is>
      </c>
      <c r="J611" t="inlineStr">
        <is>
          <t>0.00</t>
        </is>
      </c>
      <c r="K611" t="inlineStr">
        <is>
          <t>🔥低粉爆款</t>
        </is>
      </c>
      <c r="L611" t="inlineStr">
        <is>
          <t>长花原野的店</t>
        </is>
      </c>
      <c r="M611">
        <v>32000</v>
      </c>
      <c r="N611">
        <v>4.02</v>
      </c>
      <c r="O611">
        <v>226000</v>
      </c>
      <c r="P611" t="inlineStr">
        <is>
          <t>6857c249e47da70001ce9f23</t>
        </is>
      </c>
      <c r="Q611" t="inlineStr">
        <is>
          <t>🚫重复</t>
        </is>
      </c>
      <c r="R611" t="inlineStr">
        <is>
          <t>14周</t>
        </is>
      </c>
      <c r="S611" t="inlineStr">
        <is>
          <t>6.03</t>
        </is>
      </c>
      <c r="T611" t="inlineStr">
        <is>
          <t>家居生活</t>
        </is>
      </c>
      <c r="U611" t="inlineStr">
        <is>
          <t>家具家装</t>
        </is>
      </c>
      <c r="V611" s="3">
        <v>46117.927083333336</v>
      </c>
      <c r="W611" t="inlineStr">
        <is>
          <t>2026-Q2</t>
        </is>
      </c>
    </row>
    <row r="612" ht="25.5" customHeight="1">
      <c r="A612" t="inlineStr">
        <is>
          <t>【小飞袖𝟮.𝟬版】新升级!!韩系粉色短袖正肩T恤v领上衣女夏</t>
        </is>
      </c>
      <c r="B612" t="inlineStr">
        <is>
          <t>recvg1BDH5lWGT.jpg</t>
        </is>
      </c>
      <c r="C612" s="2" t="str">
        <f>=HYPERLINK("https://xhslink.com/m/3lA0kilGSsI", "https://xhslink.com/m/3lA0kilGSsI")</f>
        <v>https://xhslink.com/m/3lA0kilGSsI</v>
      </c>
      <c r="D612"/>
      <c r="E612">
        <v>72000</v>
      </c>
      <c r="F612">
        <v>39.9</v>
      </c>
      <c r="G612"/>
      <c r="H612">
        <v>500</v>
      </c>
      <c r="I612" t="inlineStr">
        <is>
          <t>T恤</t>
        </is>
      </c>
      <c r="J612" t="inlineStr">
        <is>
          <t>0.01</t>
        </is>
      </c>
      <c r="K612"/>
      <c r="L612" t="inlineStr">
        <is>
          <t>海鸥服装厂的店</t>
        </is>
      </c>
      <c r="M612">
        <v>83000</v>
      </c>
      <c r="N612">
        <v>4.48</v>
      </c>
      <c r="O612">
        <v>1054000</v>
      </c>
      <c r="P612" t="inlineStr">
        <is>
          <t>67f5532538d47000011907b1</t>
        </is>
      </c>
      <c r="Q612" t="inlineStr">
        <is>
          <t>🚫重复</t>
        </is>
      </c>
      <c r="R612" t="inlineStr">
        <is>
          <t>15周</t>
        </is>
      </c>
      <c r="S612" t="inlineStr">
        <is>
          <t>0.87</t>
        </is>
      </c>
      <c r="T612" t="inlineStr">
        <is>
          <t>服饰穿搭</t>
        </is>
      </c>
      <c r="U612" t="inlineStr">
        <is>
          <t>女装</t>
        </is>
      </c>
      <c r="V612" s="3">
        <v>46118.97659722222</v>
      </c>
      <c r="W612" t="inlineStr">
        <is>
          <t>2026-Q2</t>
        </is>
      </c>
    </row>
    <row r="613" ht="25.5" customHeight="1">
      <c r="A613" t="inlineStr">
        <is>
          <t>潇淑雅 · 七分微喇瑜伽裤女款春季长裤高腰提臀休闲裤健身跑步运动喇叭裤子</t>
        </is>
      </c>
      <c r="B613" t="inlineStr">
        <is>
          <t>recvg1BDH5YQJL.jpg</t>
        </is>
      </c>
      <c r="C613" s="2" t="str">
        <f>=HYPERLINK("https://xhslink.com/m/1Ws8qhbnTSI", "https://xhslink.com/m/1Ws8qhbnTSI")</f>
        <v>https://xhslink.com/m/1Ws8qhbnTSI</v>
      </c>
      <c r="D613"/>
      <c r="E613">
        <v>13000</v>
      </c>
      <c r="F613">
        <v>79.9</v>
      </c>
      <c r="G613">
        <v>59.9</v>
      </c>
      <c r="H613">
        <v>500</v>
      </c>
      <c r="I613" t="inlineStr">
        <is>
          <t>健身</t>
        </is>
      </c>
      <c r="J613" t="inlineStr">
        <is>
          <t>0.04</t>
        </is>
      </c>
      <c r="K613"/>
      <c r="L613" t="inlineStr">
        <is>
          <t>潇淑雅旗舰店</t>
        </is>
      </c>
      <c r="M613">
        <v>10000</v>
      </c>
      <c r="N613">
        <v>4.6</v>
      </c>
      <c r="O613">
        <v>144000</v>
      </c>
      <c r="P613" t="inlineStr">
        <is>
          <t>68060a69f0736500153346fa</t>
        </is>
      </c>
      <c r="Q613" t="inlineStr">
        <is>
          <t>🚫重复</t>
        </is>
      </c>
      <c r="R613" t="inlineStr">
        <is>
          <t>15周</t>
        </is>
      </c>
      <c r="S613" t="inlineStr">
        <is>
          <t>1.30</t>
        </is>
      </c>
      <c r="T613" t="inlineStr">
        <is>
          <t>服饰穿搭</t>
        </is>
      </c>
      <c r="U613" t="inlineStr">
        <is>
          <t>女装</t>
        </is>
      </c>
      <c r="V613" s="3">
        <v>46118.97659722222</v>
      </c>
      <c r="W613" t="inlineStr">
        <is>
          <t>2026-Q2</t>
        </is>
      </c>
    </row>
    <row r="614" ht="25.5" customHeight="1">
      <c r="A614" t="inlineStr">
        <is>
          <t>瑜伽服运动速干衣女健身房跑步训练T恤紧身短袖上衣套装修身背心</t>
        </is>
      </c>
      <c r="B614" t="inlineStr">
        <is>
          <t>recvg1BDH5jN41.jpg</t>
        </is>
      </c>
      <c r="C614" s="2" t="str">
        <f>=HYPERLINK("https://xhslink.com/m/AZ2NSbnmO3Z", "https://xhslink.com/m/AZ2NSbnmO3Z")</f>
        <v>https://xhslink.com/m/AZ2NSbnmO3Z</v>
      </c>
      <c r="D614"/>
      <c r="E614">
        <v>28000</v>
      </c>
      <c r="F614">
        <v>59</v>
      </c>
      <c r="G614">
        <v>39</v>
      </c>
      <c r="H614">
        <v>500</v>
      </c>
      <c r="I614" t="inlineStr">
        <is>
          <t>健身</t>
        </is>
      </c>
      <c r="J614" t="inlineStr">
        <is>
          <t>0.02</t>
        </is>
      </c>
      <c r="K614" t="inlineStr">
        <is>
          <t>🔥低粉爆款</t>
        </is>
      </c>
      <c r="L614" t="inlineStr">
        <is>
          <t>韵宝Yoga的店</t>
        </is>
      </c>
      <c r="M614">
        <v>1884</v>
      </c>
      <c r="N614">
        <v>4.65</v>
      </c>
      <c r="O614">
        <v>40000</v>
      </c>
      <c r="P614" t="inlineStr">
        <is>
          <t>6858a797d67cc200011fe1a4</t>
        </is>
      </c>
      <c r="Q614" t="inlineStr">
        <is>
          <t>🚫重复</t>
        </is>
      </c>
      <c r="R614" t="inlineStr">
        <is>
          <t>15周</t>
        </is>
      </c>
      <c r="S614" t="inlineStr">
        <is>
          <t>14.86</t>
        </is>
      </c>
      <c r="T614" t="inlineStr">
        <is>
          <t>服饰穿搭</t>
        </is>
      </c>
      <c r="U614" t="inlineStr">
        <is>
          <t>女装</t>
        </is>
      </c>
      <c r="V614" s="3">
        <v>46118.97659722222</v>
      </c>
      <c r="W614" t="inlineStr">
        <is>
          <t>2026-Q2</t>
        </is>
      </c>
    </row>
    <row r="615" ht="25.5" customHeight="1">
      <c r="A615" t="inlineStr">
        <is>
          <t>CrzYoga · 瑜伽喇叭七分裤 capri卡普里裤女高腰紧身运动 | Butterluxe黄油</t>
        </is>
      </c>
      <c r="B615" t="inlineStr">
        <is>
          <t>recvg1BDH52yIb.jpg</t>
        </is>
      </c>
      <c r="C615" s="2" t="str">
        <f>=HYPERLINK("https://xhslink.com/m/1qpaHRHztu4", "https://xhslink.com/m/1qpaHRHztu4")</f>
        <v>https://xhslink.com/m/1qpaHRHztu4</v>
      </c>
      <c r="D615"/>
      <c r="E615">
        <v>2258</v>
      </c>
      <c r="F615">
        <v>199</v>
      </c>
      <c r="G615"/>
      <c r="H615">
        <v>500</v>
      </c>
      <c r="I615" t="inlineStr">
        <is>
          <t>健身</t>
        </is>
      </c>
      <c r="J615" t="inlineStr">
        <is>
          <t>0.22</t>
        </is>
      </c>
      <c r="K615"/>
      <c r="L615" t="inlineStr">
        <is>
          <t>CrzYoga旗舰店</t>
        </is>
      </c>
      <c r="M615">
        <v>23000</v>
      </c>
      <c r="N615">
        <v>4.68</v>
      </c>
      <c r="O615">
        <v>108000</v>
      </c>
      <c r="P615" t="inlineStr">
        <is>
          <t>67dcfdd029b9f70001dd51ee</t>
        </is>
      </c>
      <c r="Q615" t="inlineStr">
        <is>
          <t>🚫重复</t>
        </is>
      </c>
      <c r="R615" t="inlineStr">
        <is>
          <t>15周</t>
        </is>
      </c>
      <c r="S615" t="inlineStr">
        <is>
          <t>0.10</t>
        </is>
      </c>
      <c r="T615" t="inlineStr">
        <is>
          <t>运动潮玩</t>
        </is>
      </c>
      <c r="U615" t="inlineStr">
        <is>
          <t>运动户外装备</t>
        </is>
      </c>
      <c r="V615" s="3">
        <v>46118.97659722222</v>
      </c>
      <c r="W615" t="inlineStr">
        <is>
          <t>2026-Q2</t>
        </is>
      </c>
    </row>
    <row r="616" ht="25.5" customHeight="1">
      <c r="A616" t="inlineStr">
        <is>
          <t>韩系复古条纹遮阳帽春夏棉麻款方圆脸显脸小百搭时尚</t>
        </is>
      </c>
      <c r="B616" t="inlineStr">
        <is>
          <t>recvg1BDH5qjng.jpg</t>
        </is>
      </c>
      <c r="C616" s="2" t="str">
        <f>=HYPERLINK("https://xhslink.com/m/8JBaMldwT5Y", "https://xhslink.com/m/8JBaMldwT5Y")</f>
        <v>https://xhslink.com/m/8JBaMldwT5Y</v>
      </c>
      <c r="D616"/>
      <c r="E616">
        <v>868</v>
      </c>
      <c r="F616">
        <v>32.8</v>
      </c>
      <c r="G616"/>
      <c r="H616">
        <v>500</v>
      </c>
      <c r="I616" t="inlineStr">
        <is>
          <t>防晒帽</t>
        </is>
      </c>
      <c r="J616" t="inlineStr">
        <is>
          <t>0.58</t>
        </is>
      </c>
      <c r="K616"/>
      <c r="L616" t="inlineStr">
        <is>
          <t>丸子家帽舍的店</t>
        </is>
      </c>
      <c r="M616">
        <v>29000</v>
      </c>
      <c r="N616">
        <v>4.55</v>
      </c>
      <c r="O616">
        <v>225000</v>
      </c>
      <c r="P616" t="inlineStr">
        <is>
          <t>69ca0b602fb62900010b3698</t>
        </is>
      </c>
      <c r="Q616"/>
      <c r="R616" t="inlineStr">
        <is>
          <t>15周</t>
        </is>
      </c>
      <c r="S616" t="inlineStr">
        <is>
          <t>0.03</t>
        </is>
      </c>
      <c r="T616" t="inlineStr">
        <is>
          <t>服饰穿搭</t>
        </is>
      </c>
      <c r="U616" t="inlineStr">
        <is>
          <t>鞋靴箱包</t>
        </is>
      </c>
      <c r="V616" s="3">
        <v>46118.97659722222</v>
      </c>
      <c r="W616" t="inlineStr">
        <is>
          <t>2026-Q2</t>
        </is>
      </c>
    </row>
    <row r="617" ht="25.5" customHeight="1">
      <c r="A617" t="inlineStr">
        <is>
          <t>大头渔夫帽女百搭情侣盆帽街头遮阳帽大头围帽子加大加深显脸小</t>
        </is>
      </c>
      <c r="B617" t="inlineStr">
        <is>
          <t>recvg1BDH5Q0cF.jpg</t>
        </is>
      </c>
      <c r="C617" s="2" t="str">
        <f>=HYPERLINK("https://xhslink.com/m/AyDsvA15ARk", "https://xhslink.com/m/AyDsvA15ARk")</f>
        <v>https://xhslink.com/m/AyDsvA15ARk</v>
      </c>
      <c r="D617"/>
      <c r="E617">
        <v>62000</v>
      </c>
      <c r="F617">
        <v>29.9</v>
      </c>
      <c r="G617"/>
      <c r="H617">
        <v>500</v>
      </c>
      <c r="I617" t="inlineStr">
        <is>
          <t>防晒帽</t>
        </is>
      </c>
      <c r="J617" t="inlineStr">
        <is>
          <t>0.01</t>
        </is>
      </c>
      <c r="K617"/>
      <c r="L617" t="inlineStr">
        <is>
          <t>盖个帽儿总店铺的店</t>
        </is>
      </c>
      <c r="M617">
        <v>155000</v>
      </c>
      <c r="N617">
        <v>4.6</v>
      </c>
      <c r="O617">
        <v>1607000</v>
      </c>
      <c r="P617" t="inlineStr">
        <is>
          <t>661152a263221900018ae113</t>
        </is>
      </c>
      <c r="Q617" t="inlineStr">
        <is>
          <t>🚫重复</t>
        </is>
      </c>
      <c r="R617" t="inlineStr">
        <is>
          <t>15周</t>
        </is>
      </c>
      <c r="S617" t="inlineStr">
        <is>
          <t>0.40</t>
        </is>
      </c>
      <c r="T617" t="inlineStr">
        <is>
          <t>服饰穿搭</t>
        </is>
      </c>
      <c r="U617" t="inlineStr">
        <is>
          <t>配饰</t>
        </is>
      </c>
      <c r="V617" s="3">
        <v>46118.97659722222</v>
      </c>
      <c r="W617" t="inlineStr">
        <is>
          <t>2026-Q2</t>
        </is>
      </c>
    </row>
    <row r="618" ht="25.5" customHeight="1">
      <c r="A618" t="inlineStr">
        <is>
          <t>Spes · 【宋佳同款】多肽蓬蓬瓶精华洗发水控油蓬松去屑止痒洗发露</t>
        </is>
      </c>
      <c r="B618" t="inlineStr">
        <is>
          <t>recvg1BDH5hkZL.jpg</t>
        </is>
      </c>
      <c r="C618" s="2" t="str">
        <f>=HYPERLINK("https://xhslink.com/m/6h4MsPJxJEf", "https://xhslink.com/m/6h4MsPJxJEf")</f>
        <v>https://xhslink.com/m/6h4MsPJxJEf</v>
      </c>
      <c r="D618"/>
      <c r="E618">
        <v>12000</v>
      </c>
      <c r="F618">
        <v>89</v>
      </c>
      <c r="G618"/>
      <c r="H618">
        <v>500</v>
      </c>
      <c r="I618" t="inlineStr">
        <is>
          <t>洗发水</t>
        </is>
      </c>
      <c r="J618" t="inlineStr">
        <is>
          <t>0.04</t>
        </is>
      </c>
      <c r="K618"/>
      <c r="L618" t="inlineStr">
        <is>
          <t>Spes诗裴丝旗舰店</t>
        </is>
      </c>
      <c r="M618">
        <v>52000</v>
      </c>
      <c r="N618">
        <v>4.59</v>
      </c>
      <c r="O618">
        <v>265000</v>
      </c>
      <c r="P618" t="inlineStr">
        <is>
          <t>6916f2931b787900015f2e8c</t>
        </is>
      </c>
      <c r="Q618" t="inlineStr">
        <is>
          <t>🚫重复</t>
        </is>
      </c>
      <c r="R618" t="inlineStr">
        <is>
          <t>15周</t>
        </is>
      </c>
      <c r="S618" t="inlineStr">
        <is>
          <t>0.23</t>
        </is>
      </c>
      <c r="T618" t="inlineStr">
        <is>
          <t>美妆个护</t>
        </is>
      </c>
      <c r="U618" t="inlineStr">
        <is>
          <t>个人护理</t>
        </is>
      </c>
      <c r="V618" s="3">
        <v>46118.97659722222</v>
      </c>
      <c r="W618" t="inlineStr">
        <is>
          <t>2026-Q2</t>
        </is>
      </c>
    </row>
    <row r="619" ht="25.5" customHeight="1">
      <c r="A619" t="inlineStr">
        <is>
          <t>OTHER · 仿剑麻地毯日式客厅茶几地毯飘窗毯拍照猫抓毯门口大面积地毯</t>
        </is>
      </c>
      <c r="B619" t="inlineStr">
        <is>
          <t>recvg1BDH5EIlT.jpg</t>
        </is>
      </c>
      <c r="C619" s="2" t="str">
        <f>=HYPERLINK("https://xhslink.com/m/5dgFuGoALr2", "https://xhslink.com/m/5dgFuGoALr2")</f>
        <v>https://xhslink.com/m/5dgFuGoALr2</v>
      </c>
      <c r="D619"/>
      <c r="E619">
        <v>11000</v>
      </c>
      <c r="F619">
        <v>82.23</v>
      </c>
      <c r="G619">
        <v>69.9</v>
      </c>
      <c r="H619">
        <v>500</v>
      </c>
      <c r="I619" t="inlineStr">
        <is>
          <t>地毯</t>
        </is>
      </c>
      <c r="J619" t="inlineStr">
        <is>
          <t>0.05</t>
        </is>
      </c>
      <c r="K619" t="inlineStr">
        <is>
          <t>🔥低粉爆款</t>
        </is>
      </c>
      <c r="L619" t="inlineStr">
        <is>
          <t>壹枕的店</t>
        </is>
      </c>
      <c r="M619">
        <v>758</v>
      </c>
      <c r="N619">
        <v>4.49</v>
      </c>
      <c r="O619">
        <v>18000</v>
      </c>
      <c r="P619" t="inlineStr">
        <is>
          <t>684a72970b26930015135b18</t>
        </is>
      </c>
      <c r="Q619" t="inlineStr">
        <is>
          <t>🚫重复</t>
        </is>
      </c>
      <c r="R619" t="inlineStr">
        <is>
          <t>15周</t>
        </is>
      </c>
      <c r="S619" t="inlineStr">
        <is>
          <t>14.51</t>
        </is>
      </c>
      <c r="T619" t="inlineStr">
        <is>
          <t>家居生活</t>
        </is>
      </c>
      <c r="U619" t="inlineStr">
        <is>
          <t>家居日用</t>
        </is>
      </c>
      <c r="V619" s="3">
        <v>46118.97659722222</v>
      </c>
      <c r="W619" t="inlineStr">
        <is>
          <t>2026-Q2</t>
        </is>
      </c>
    </row>
    <row r="620" ht="25.5" customHeight="1">
      <c r="A620" t="inlineStr">
        <is>
          <t>OTHER · 仿剑麻地毯日式客厅茶几地毯飘窗毯拍照猫抓毯门口大面积地毯</t>
        </is>
      </c>
      <c r="B620" t="inlineStr">
        <is>
          <t>recvg1BDH5VU1H.jpg</t>
        </is>
      </c>
      <c r="C620" s="2" t="str">
        <f>=HYPERLINK("https://xhslink.com/m/TAG3dwN1w3", "https://xhslink.com/m/TAG3dwN1w3")</f>
        <v>https://xhslink.com/m/TAG3dwN1w3</v>
      </c>
      <c r="D620"/>
      <c r="E620">
        <v>11000</v>
      </c>
      <c r="F620">
        <v>123.53</v>
      </c>
      <c r="G620">
        <v>105.01</v>
      </c>
      <c r="H620">
        <v>500</v>
      </c>
      <c r="I620" t="inlineStr">
        <is>
          <t>地毯</t>
        </is>
      </c>
      <c r="J620" t="inlineStr">
        <is>
          <t>0.05</t>
        </is>
      </c>
      <c r="K620" t="inlineStr">
        <is>
          <t>🔥低粉爆款</t>
        </is>
      </c>
      <c r="L620" t="inlineStr">
        <is>
          <t>壹枕的店</t>
        </is>
      </c>
      <c r="M620">
        <v>758</v>
      </c>
      <c r="N620">
        <v>4.49</v>
      </c>
      <c r="O620">
        <v>18000</v>
      </c>
      <c r="P620" t="inlineStr">
        <is>
          <t>684a72970b26930015135b20</t>
        </is>
      </c>
      <c r="Q620" t="inlineStr">
        <is>
          <t>🚫重复</t>
        </is>
      </c>
      <c r="R620" t="inlineStr">
        <is>
          <t>15周</t>
        </is>
      </c>
      <c r="S620" t="inlineStr">
        <is>
          <t>14.51</t>
        </is>
      </c>
      <c r="T620" t="inlineStr">
        <is>
          <t>家居生活</t>
        </is>
      </c>
      <c r="U620" t="inlineStr">
        <is>
          <t>家居日用</t>
        </is>
      </c>
      <c r="V620" s="3">
        <v>46118.97659722222</v>
      </c>
      <c r="W620" t="inlineStr">
        <is>
          <t>2026-Q2</t>
        </is>
      </c>
    </row>
    <row r="621" ht="25.5" customHeight="1">
      <c r="A621" t="inlineStr">
        <is>
          <t>Lelez Studio · 蓝瓷梦 复古法式碎花纯棉收腰少女大摆长裙夏连衣裙</t>
        </is>
      </c>
      <c r="B621" t="inlineStr">
        <is>
          <t>recvgd5oYItx39.jpg</t>
        </is>
      </c>
      <c r="C621" s="2" t="str">
        <f>=HYPERLINK("https://xhslink.com/m/2lY8SCgGmxn", "https://xhslink.com/m/2lY8SCgGmxn")</f>
        <v>https://xhslink.com/m/2lY8SCgGmxn</v>
      </c>
      <c r="D621"/>
      <c r="E621">
        <v>1108</v>
      </c>
      <c r="F621">
        <v>379</v>
      </c>
      <c r="G621">
        <v>339</v>
      </c>
      <c r="H621">
        <v>500</v>
      </c>
      <c r="I621" t="inlineStr">
        <is>
          <t>连衣裙</t>
        </is>
      </c>
      <c r="J621" t="inlineStr">
        <is>
          <t>0.45</t>
        </is>
      </c>
      <c r="K621"/>
      <c r="L621" t="inlineStr">
        <is>
          <t>Lelez Studio的店</t>
        </is>
      </c>
      <c r="M621">
        <v>6827</v>
      </c>
      <c r="N621">
        <v>4.37</v>
      </c>
      <c r="O621">
        <v>4474</v>
      </c>
      <c r="P621" t="inlineStr">
        <is>
          <t>69c51f2e4839a200017161b5</t>
        </is>
      </c>
      <c r="Q621"/>
      <c r="R621" t="inlineStr">
        <is>
          <t>15周</t>
        </is>
      </c>
      <c r="S621" t="inlineStr">
        <is>
          <t>0.16</t>
        </is>
      </c>
      <c r="T621" t="inlineStr">
        <is>
          <t>服饰穿搭</t>
        </is>
      </c>
      <c r="U621" t="inlineStr">
        <is>
          <t>女装</t>
        </is>
      </c>
      <c r="V621" s="3">
        <v>46120.939930555556</v>
      </c>
      <c r="W621" t="inlineStr">
        <is>
          <t>2026-Q2</t>
        </is>
      </c>
    </row>
    <row r="622" ht="25.5" customHeight="1">
      <c r="A622" t="inlineStr">
        <is>
          <t>运动背心螺纹带胸垫瑜伽上衣透气健身服</t>
        </is>
      </c>
      <c r="B622" t="inlineStr">
        <is>
          <t>recvgjaKnc4X1N.jpg</t>
        </is>
      </c>
      <c r="C622" s="2" t="str">
        <f>=HYPERLINK("https://xhslink.com/m/ADK3gorqOW6", "https://xhslink.com/m/ADK3gorqOW6")</f>
        <v>https://xhslink.com/m/ADK3gorqOW6</v>
      </c>
      <c r="D622"/>
      <c r="E622">
        <v>13000</v>
      </c>
      <c r="F622">
        <v>89</v>
      </c>
      <c r="G622"/>
      <c r="H622">
        <v>500</v>
      </c>
      <c r="I622" t="inlineStr">
        <is>
          <t>背心吊带</t>
        </is>
      </c>
      <c r="J622" t="inlineStr">
        <is>
          <t>0.04</t>
        </is>
      </c>
      <c r="K622" t="inlineStr">
        <is>
          <t>🔥低粉爆款</t>
        </is>
      </c>
      <c r="L622" t="inlineStr">
        <is>
          <t>小橙子YO的店</t>
        </is>
      </c>
      <c r="M622">
        <v>1933</v>
      </c>
      <c r="N622">
        <v>4.59</v>
      </c>
      <c r="O622">
        <v>23000</v>
      </c>
      <c r="P622" t="inlineStr">
        <is>
          <t>669a84d59d3e660001f28eb5</t>
        </is>
      </c>
      <c r="Q622" t="inlineStr">
        <is>
          <t>🚫重复</t>
        </is>
      </c>
      <c r="R622" t="inlineStr">
        <is>
          <t>15周</t>
        </is>
      </c>
      <c r="S622" t="inlineStr">
        <is>
          <t>6.73</t>
        </is>
      </c>
      <c r="T622" t="inlineStr">
        <is>
          <t>运动潮玩</t>
        </is>
      </c>
      <c r="U622" t="inlineStr">
        <is>
          <t>运动户外装备</t>
        </is>
      </c>
      <c r="V622" s="3">
        <v>46121.98079861111</v>
      </c>
      <c r="W622" t="inlineStr">
        <is>
          <t>2026-Q2</t>
        </is>
      </c>
    </row>
    <row r="623" ht="25.5" customHeight="1">
      <c r="A623" t="inlineStr">
        <is>
          <t>小众厚底包头半拖鞋女夏外穿2026新款复古勃肯鞋一脚蹬休闲小白鞋</t>
        </is>
      </c>
      <c r="B623" t="inlineStr">
        <is>
          <t>recvgjaKnc8V19.jpg</t>
        </is>
      </c>
      <c r="C623" s="2" t="str">
        <f>=HYPERLINK("https://xhslink.com/m/7nqDn0y27em", "https://xhslink.com/m/7nqDn0y27em")</f>
        <v>https://xhslink.com/m/7nqDn0y27em</v>
      </c>
      <c r="D623"/>
      <c r="E623">
        <v>905</v>
      </c>
      <c r="F623">
        <v>268</v>
      </c>
      <c r="G623">
        <v>79</v>
      </c>
      <c r="H623">
        <v>500</v>
      </c>
      <c r="I623" t="inlineStr">
        <is>
          <t>夏日拖鞋</t>
        </is>
      </c>
      <c r="J623" t="inlineStr">
        <is>
          <t>0.55</t>
        </is>
      </c>
      <c r="K623"/>
      <c r="L623" t="inlineStr">
        <is>
          <t>半夏倾颜的店</t>
        </is>
      </c>
      <c r="M623">
        <v>589</v>
      </c>
      <c r="N623">
        <v>4.6</v>
      </c>
      <c r="O623">
        <v>7908</v>
      </c>
      <c r="P623" t="inlineStr">
        <is>
          <t>69c682ca46fe2a000137271f</t>
        </is>
      </c>
      <c r="Q623" t="inlineStr">
        <is>
          <t>🚫重复</t>
        </is>
      </c>
      <c r="R623" t="inlineStr">
        <is>
          <t>15周</t>
        </is>
      </c>
      <c r="S623" t="inlineStr">
        <is>
          <t>1.54</t>
        </is>
      </c>
      <c r="T623" t="inlineStr">
        <is>
          <t>服饰穿搭</t>
        </is>
      </c>
      <c r="U623" t="inlineStr">
        <is>
          <t>鞋靴箱包</t>
        </is>
      </c>
      <c r="V623" s="3">
        <v>46121.98079861111</v>
      </c>
      <c r="W623" t="inlineStr">
        <is>
          <t>2026-Q2</t>
        </is>
      </c>
    </row>
    <row r="624" ht="25.5" customHeight="1">
      <c r="A624" t="inlineStr">
        <is>
          <t>【拼豆包边粗纹理烘焙布】耐高温不搓泥拼豆包边烘焙布0.25mm</t>
        </is>
      </c>
      <c r="B624" t="inlineStr">
        <is>
          <t>recvgjaKncQzHe.jpg</t>
        </is>
      </c>
      <c r="C624" s="2" t="str">
        <f>=HYPERLINK("https://xhslink.com/m/73jz8XkF077", "https://xhslink.com/m/73jz8XkF077")</f>
        <v>https://xhslink.com/m/73jz8XkF077</v>
      </c>
      <c r="D624"/>
      <c r="E624">
        <v>73000</v>
      </c>
      <c r="F624">
        <v>17.9</v>
      </c>
      <c r="G624">
        <v>15.9</v>
      </c>
      <c r="H624">
        <v>500</v>
      </c>
      <c r="I624" t="inlineStr">
        <is>
          <t>拼豆</t>
        </is>
      </c>
      <c r="J624" t="inlineStr">
        <is>
          <t>0.01</t>
        </is>
      </c>
      <c r="K624" t="inlineStr">
        <is>
          <t>🔥低粉爆款</t>
        </is>
      </c>
      <c r="L624" t="inlineStr">
        <is>
          <t>扁豆豆烘焙布的店</t>
        </is>
      </c>
      <c r="M624">
        <v>22000</v>
      </c>
      <c r="N624">
        <v>4.67</v>
      </c>
      <c r="O624">
        <v>158000</v>
      </c>
      <c r="P624" t="inlineStr">
        <is>
          <t>68fde456e379430001930171</t>
        </is>
      </c>
      <c r="Q624"/>
      <c r="R624" t="inlineStr">
        <is>
          <t>15周</t>
        </is>
      </c>
      <c r="S624" t="inlineStr">
        <is>
          <t>3.32</t>
        </is>
      </c>
      <c r="T624" t="inlineStr">
        <is>
          <t>家居生活</t>
        </is>
      </c>
      <c r="U624" t="inlineStr">
        <is>
          <t>厨房餐饮</t>
        </is>
      </c>
      <c r="V624" s="3">
        <v>46121.98079861111</v>
      </c>
      <c r="W624" t="inlineStr">
        <is>
          <t>2026-Q2</t>
        </is>
      </c>
    </row>
    <row r="625" ht="25.5" customHeight="1">
      <c r="A625" t="inlineStr">
        <is>
          <t>轻便双肩包女大学生高中韩版迷你包包旅行电脑背包通勤包袋小书包</t>
        </is>
      </c>
      <c r="B625" t="inlineStr">
        <is>
          <t>recvgjaKncnqER.jpg</t>
        </is>
      </c>
      <c r="C625" s="2" t="str">
        <f>=HYPERLINK("https://xhslink.com/m/9ODnQCGFk4K", "https://xhslink.com/m/9ODnQCGFk4K")</f>
        <v>https://xhslink.com/m/9ODnQCGFk4K</v>
      </c>
      <c r="D625"/>
      <c r="E625">
        <v>11000</v>
      </c>
      <c r="F625">
        <v>59.9</v>
      </c>
      <c r="G625"/>
      <c r="H625">
        <v>500</v>
      </c>
      <c r="I625" t="inlineStr">
        <is>
          <t>通勤电脑包</t>
        </is>
      </c>
      <c r="J625" t="inlineStr">
        <is>
          <t>0.05</t>
        </is>
      </c>
      <c r="K625" t="inlineStr">
        <is>
          <t>🔥低粉爆款</t>
        </is>
      </c>
      <c r="L625" t="inlineStr">
        <is>
          <t>甜妹旅行的店</t>
        </is>
      </c>
      <c r="M625">
        <v>1338</v>
      </c>
      <c r="N625">
        <v>4.72</v>
      </c>
      <c r="O625">
        <v>12000</v>
      </c>
      <c r="P625" t="inlineStr">
        <is>
          <t>691adec160f5970001706969</t>
        </is>
      </c>
      <c r="Q625" t="inlineStr">
        <is>
          <t>🚫重复</t>
        </is>
      </c>
      <c r="R625" t="inlineStr">
        <is>
          <t>15周</t>
        </is>
      </c>
      <c r="S625" t="inlineStr">
        <is>
          <t>8.22</t>
        </is>
      </c>
      <c r="T625" t="inlineStr">
        <is>
          <t>服饰穿搭</t>
        </is>
      </c>
      <c r="U625" t="inlineStr">
        <is>
          <t>鞋靴箱包</t>
        </is>
      </c>
      <c r="V625" s="3">
        <v>46121.98079861111</v>
      </c>
      <c r="W625" t="inlineStr">
        <is>
          <t>2026-Q2</t>
        </is>
      </c>
    </row>
    <row r="626" ht="25.5" customHeight="1">
      <c r="A626" t="inlineStr">
        <is>
          <t>正宗海南金钻凤梨！香甜多汁！产地直发！热带水果！孕妇水果</t>
        </is>
      </c>
      <c r="B626" t="inlineStr">
        <is>
          <t>recvgjaKncsNUv.jpg</t>
        </is>
      </c>
      <c r="C626" s="2" t="str">
        <f>=HYPERLINK("https://xhslink.com/m/5V10mGvGDdj", "https://xhslink.com/m/5V10mGvGDdj")</f>
        <v>https://xhslink.com/m/5V10mGvGDdj</v>
      </c>
      <c r="D626"/>
      <c r="E626">
        <v>28000</v>
      </c>
      <c r="F626">
        <v>23.9</v>
      </c>
      <c r="G626">
        <v>11.9</v>
      </c>
      <c r="H626">
        <v>500</v>
      </c>
      <c r="I626" t="inlineStr">
        <is>
          <t>水果</t>
        </is>
      </c>
      <c r="J626" t="inlineStr">
        <is>
          <t>0.02</t>
        </is>
      </c>
      <c r="K626" t="inlineStr">
        <is>
          <t>🔥低粉爆款</t>
        </is>
      </c>
      <c r="L626" t="inlineStr">
        <is>
          <t>小英家的鲜果园的店</t>
        </is>
      </c>
      <c r="M626">
        <v>2141</v>
      </c>
      <c r="N626">
        <v>4.18</v>
      </c>
      <c r="O626">
        <v>55000</v>
      </c>
      <c r="P626" t="inlineStr">
        <is>
          <t>699daf4dd5afea00010e081f</t>
        </is>
      </c>
      <c r="Q626"/>
      <c r="R626" t="inlineStr">
        <is>
          <t>15周</t>
        </is>
      </c>
      <c r="S626" t="inlineStr">
        <is>
          <t>13.08</t>
        </is>
      </c>
      <c r="T626" t="inlineStr">
        <is>
          <t>美食滋补</t>
        </is>
      </c>
      <c r="U626" t="inlineStr">
        <is>
          <t>生鲜特产</t>
        </is>
      </c>
      <c r="V626" s="3">
        <v>46121.98079861111</v>
      </c>
      <c r="W626" t="inlineStr">
        <is>
          <t>2026-Q2</t>
        </is>
      </c>
    </row>
    <row r="627" ht="25.5" customHeight="1">
      <c r="A627" t="inlineStr">
        <is>
          <t>【洋洋】超火拼接弹力喇叭牛仔裤新款高腰宽松遮肉遮腿型阔腿裤</t>
        </is>
      </c>
      <c r="B627" t="inlineStr">
        <is>
          <t>recvgjaKncFPvq.jpg</t>
        </is>
      </c>
      <c r="C627" s="2" t="str">
        <f>=HYPERLINK("https://xhslink.com/m/2FX8zzcqAkH", "https://xhslink.com/m/2FX8zzcqAkH")</f>
        <v>https://xhslink.com/m/2FX8zzcqAkH</v>
      </c>
      <c r="D627"/>
      <c r="E627">
        <v>9364</v>
      </c>
      <c r="F627">
        <v>139.99</v>
      </c>
      <c r="G627">
        <v>89.99</v>
      </c>
      <c r="H627">
        <v>500</v>
      </c>
      <c r="I627" t="inlineStr">
        <is>
          <t>裤子</t>
        </is>
      </c>
      <c r="J627" t="inlineStr">
        <is>
          <t>0.05</t>
        </is>
      </c>
      <c r="K627"/>
      <c r="L627" t="inlineStr">
        <is>
          <t>洋洋梨形穿搭的店</t>
        </is>
      </c>
      <c r="M627">
        <v>24000</v>
      </c>
      <c r="N627">
        <v>4.44</v>
      </c>
      <c r="O627">
        <v>152000</v>
      </c>
      <c r="P627" t="inlineStr">
        <is>
          <t>69400be77245350001cd0ccf</t>
        </is>
      </c>
      <c r="Q627" t="inlineStr">
        <is>
          <t>🚫重复</t>
        </is>
      </c>
      <c r="R627" t="inlineStr">
        <is>
          <t>15周</t>
        </is>
      </c>
      <c r="S627" t="inlineStr">
        <is>
          <t>0.39</t>
        </is>
      </c>
      <c r="T627" t="inlineStr">
        <is>
          <t>服饰穿搭</t>
        </is>
      </c>
      <c r="U627" t="inlineStr">
        <is>
          <t>女装</t>
        </is>
      </c>
      <c r="V627" s="3">
        <v>46121.98079861111</v>
      </c>
      <c r="W627" t="inlineStr">
        <is>
          <t>2026-Q2</t>
        </is>
      </c>
    </row>
    <row r="628" ht="25.5" customHeight="1">
      <c r="A628" t="inlineStr">
        <is>
          <t>「春夏·直腿神裤」微胖大码高品质四面弹显瘦宽松九分直筒牛仔裤</t>
        </is>
      </c>
      <c r="B628" t="inlineStr">
        <is>
          <t>recvgjaKncZYrH.jpg</t>
        </is>
      </c>
      <c r="C628" s="2" t="str">
        <f>=HYPERLINK("https://xhslink.com/m/4FIqB2BuhZ4", "https://xhslink.com/m/4FIqB2BuhZ4")</f>
        <v>https://xhslink.com/m/4FIqB2BuhZ4</v>
      </c>
      <c r="D628"/>
      <c r="E628">
        <v>4735</v>
      </c>
      <c r="F628">
        <v>229</v>
      </c>
      <c r="G628">
        <v>199</v>
      </c>
      <c r="H628">
        <v>500</v>
      </c>
      <c r="I628" t="inlineStr">
        <is>
          <t>裤子</t>
        </is>
      </c>
      <c r="J628" t="inlineStr">
        <is>
          <t>0.11</t>
        </is>
      </c>
      <c r="K628"/>
      <c r="L628" t="inlineStr">
        <is>
          <t>小吕不天真的店</t>
        </is>
      </c>
      <c r="M628">
        <v>65000</v>
      </c>
      <c r="N628">
        <v>4.71</v>
      </c>
      <c r="O628">
        <v>110000</v>
      </c>
      <c r="P628" t="inlineStr">
        <is>
          <t>69b93947e6196b0001523c76</t>
        </is>
      </c>
      <c r="Q628"/>
      <c r="R628" t="inlineStr">
        <is>
          <t>15周</t>
        </is>
      </c>
      <c r="S628" t="inlineStr">
        <is>
          <t>0.07</t>
        </is>
      </c>
      <c r="T628" t="inlineStr">
        <is>
          <t>服饰穿搭</t>
        </is>
      </c>
      <c r="U628" t="inlineStr">
        <is>
          <t>女装</t>
        </is>
      </c>
      <c r="V628" s="3">
        <v>46121.98079861111</v>
      </c>
      <c r="W628" t="inlineStr">
        <is>
          <t>2026-Q2</t>
        </is>
      </c>
    </row>
    <row r="629" ht="25.5" customHeight="1">
      <c r="A629" t="inlineStr">
        <is>
          <t>【顺丰特快/空运】云南蓝莓抚仙湖蓝莓高山蓝莓25号花香蓝莓</t>
        </is>
      </c>
      <c r="B629" t="inlineStr">
        <is>
          <t>recvgoYCuBoGw6.jpg</t>
        </is>
      </c>
      <c r="C629" s="2" t="str">
        <f>=HYPERLINK("https://xhslink.com/m/99PKeAAxOz9", "https://xhslink.com/m/99PKeAAxOz9")</f>
        <v>https://xhslink.com/m/99PKeAAxOz9</v>
      </c>
      <c r="D629"/>
      <c r="E629">
        <v>439000</v>
      </c>
      <c r="F629">
        <v>81.8</v>
      </c>
      <c r="G629"/>
      <c r="H629">
        <v>500</v>
      </c>
      <c r="I629" t="inlineStr">
        <is>
          <t>水果</t>
        </is>
      </c>
      <c r="J629" t="inlineStr">
        <is>
          <t>0.00</t>
        </is>
      </c>
      <c r="K629"/>
      <c r="L629" t="inlineStr">
        <is>
          <t>洋洋乡村生活~的店</t>
        </is>
      </c>
      <c r="M629">
        <v>148000</v>
      </c>
      <c r="N629">
        <v>4.63</v>
      </c>
      <c r="O629">
        <v>1810000</v>
      </c>
      <c r="P629" t="inlineStr">
        <is>
          <t>67d9157b5fc3f7000134f524</t>
        </is>
      </c>
      <c r="Q629" t="inlineStr">
        <is>
          <t>🚫重复</t>
        </is>
      </c>
      <c r="R629" t="inlineStr">
        <is>
          <t>15周</t>
        </is>
      </c>
      <c r="S629" t="inlineStr">
        <is>
          <t>2.97</t>
        </is>
      </c>
      <c r="T629" t="inlineStr">
        <is>
          <t>美食滋补</t>
        </is>
      </c>
      <c r="U629" t="inlineStr">
        <is>
          <t>生鲜特产</t>
        </is>
      </c>
      <c r="V629" s="3">
        <v>46122.97351851852</v>
      </c>
      <c r="W629" t="inlineStr">
        <is>
          <t>2026-Q2</t>
        </is>
      </c>
    </row>
    <row r="630" ht="25.5" customHeight="1">
      <c r="A630" t="inlineStr">
        <is>
          <t>小个子a字高腰白色短裤棉麻阔腿裤潮ins开叉超短裤女夏季薄款热裤</t>
        </is>
      </c>
      <c r="B630" t="inlineStr">
        <is>
          <t>recvgoYCuBhHck.jpg</t>
        </is>
      </c>
      <c r="C630" s="2" t="str">
        <f>=HYPERLINK("https://xhslink.com/m/1zMCKu8GPjZ", "https://xhslink.com/m/1zMCKu8GPjZ")</f>
        <v>https://xhslink.com/m/1zMCKu8GPjZ</v>
      </c>
      <c r="D630"/>
      <c r="E630">
        <v>56000</v>
      </c>
      <c r="F630">
        <v>69.8</v>
      </c>
      <c r="G630">
        <v>59.8</v>
      </c>
      <c r="H630">
        <v>500</v>
      </c>
      <c r="I630" t="inlineStr">
        <is>
          <t>短裤</t>
        </is>
      </c>
      <c r="J630" t="inlineStr">
        <is>
          <t>0.01</t>
        </is>
      </c>
      <c r="K630" t="inlineStr">
        <is>
          <t>🔥低粉爆款</t>
        </is>
      </c>
      <c r="L630" t="inlineStr">
        <is>
          <t>158的阿柠的店</t>
        </is>
      </c>
      <c r="M630">
        <v>7274</v>
      </c>
      <c r="N630">
        <v>4.7</v>
      </c>
      <c r="O630">
        <v>89000</v>
      </c>
      <c r="P630" t="inlineStr">
        <is>
          <t>66798824afc41c00012fda2a</t>
        </is>
      </c>
      <c r="Q630" t="inlineStr">
        <is>
          <t>🚫重复</t>
        </is>
      </c>
      <c r="R630" t="inlineStr">
        <is>
          <t>15周</t>
        </is>
      </c>
      <c r="S630" t="inlineStr">
        <is>
          <t>7.70</t>
        </is>
      </c>
      <c r="T630" t="inlineStr">
        <is>
          <t>服饰穿搭</t>
        </is>
      </c>
      <c r="U630" t="inlineStr">
        <is>
          <t>女装</t>
        </is>
      </c>
      <c r="V630" s="3">
        <v>46122.97351851852</v>
      </c>
      <c r="W630" t="inlineStr">
        <is>
          <t>2026-Q2</t>
        </is>
      </c>
    </row>
    <row r="631" ht="25.5" customHeight="1">
      <c r="A631" t="inlineStr">
        <is>
          <t>宝宝好习惯养成绘本0-3岁适合儿童读物儿童益智玩具早教翻翻书</t>
        </is>
      </c>
      <c r="B631" t="inlineStr">
        <is>
          <t>recvgoYCuBxzpB.jpg</t>
        </is>
      </c>
      <c r="C631" s="2" t="str">
        <f>=HYPERLINK("https://xhslink.com/m/8sb6kqjUNPh", "https://xhslink.com/m/8sb6kqjUNPh")</f>
        <v>https://xhslink.com/m/8sb6kqjUNPh</v>
      </c>
      <c r="D631"/>
      <c r="E631">
        <v>94000</v>
      </c>
      <c r="F631">
        <v>56.8</v>
      </c>
      <c r="G631"/>
      <c r="H631">
        <v>500</v>
      </c>
      <c r="I631" t="inlineStr">
        <is>
          <t>原始绘本</t>
        </is>
      </c>
      <c r="J631" t="inlineStr">
        <is>
          <t>0.01</t>
        </is>
      </c>
      <c r="K631" t="inlineStr">
        <is>
          <t>🔥低粉爆款</t>
        </is>
      </c>
      <c r="L631" t="inlineStr">
        <is>
          <t>洋洋童书屋的店</t>
        </is>
      </c>
      <c r="M631">
        <v>10000</v>
      </c>
      <c r="N631">
        <v>4.45</v>
      </c>
      <c r="O631">
        <v>214000</v>
      </c>
      <c r="P631" t="inlineStr">
        <is>
          <t>6971b0e34748400001c46803</t>
        </is>
      </c>
      <c r="Q631" t="inlineStr">
        <is>
          <t>🚫重复</t>
        </is>
      </c>
      <c r="R631" t="inlineStr">
        <is>
          <t>15周</t>
        </is>
      </c>
      <c r="S631" t="inlineStr">
        <is>
          <t>9.40</t>
        </is>
      </c>
      <c r="T631" t="inlineStr">
        <is>
          <t>母婴亲子</t>
        </is>
      </c>
      <c r="U631" t="inlineStr">
        <is>
          <t>玩具早教</t>
        </is>
      </c>
      <c r="V631" s="3">
        <v>46122.97351851852</v>
      </c>
      <c r="W631" t="inlineStr">
        <is>
          <t>2026-Q2</t>
        </is>
      </c>
    </row>
    <row r="632" ht="25.5" customHeight="1">
      <c r="A632" t="inlineStr">
        <is>
          <t>拼豆格利特布烫拼豆烫豆布拼豆团专用纸格利特粉白粗闪细粉细闪</t>
        </is>
      </c>
      <c r="B632" t="inlineStr">
        <is>
          <t>recvguTbC1JB5z.jpg</t>
        </is>
      </c>
      <c r="C632" s="2" t="str">
        <f>=HYPERLINK("https://xhslink.com/m/2gHcin2ys8R", "https://xhslink.com/m/2gHcin2ys8R")</f>
        <v>https://xhslink.com/m/2gHcin2ys8R</v>
      </c>
      <c r="D632"/>
      <c r="E632">
        <v>5488</v>
      </c>
      <c r="F632">
        <v>23.3</v>
      </c>
      <c r="G632">
        <v>18.64</v>
      </c>
      <c r="H632">
        <v>500</v>
      </c>
      <c r="I632" t="inlineStr">
        <is>
          <t>拼豆</t>
        </is>
      </c>
      <c r="J632" t="inlineStr">
        <is>
          <t>0.09</t>
        </is>
      </c>
      <c r="K632" t="inlineStr">
        <is>
          <t>🔥低粉爆款</t>
        </is>
      </c>
      <c r="L632" t="inlineStr">
        <is>
          <t>趣贴贴吧的店</t>
        </is>
      </c>
      <c r="M632">
        <v>293</v>
      </c>
      <c r="N632">
        <v>4.46</v>
      </c>
      <c r="O632">
        <v>20000</v>
      </c>
      <c r="P632" t="inlineStr">
        <is>
          <t>69b1c0ab4cdf2e0001c2a174</t>
        </is>
      </c>
      <c r="Q632" t="inlineStr">
        <is>
          <t>🚫重复</t>
        </is>
      </c>
      <c r="R632" t="inlineStr">
        <is>
          <t>15周</t>
        </is>
      </c>
      <c r="S632" t="inlineStr">
        <is>
          <t>18.73</t>
        </is>
      </c>
      <c r="T632" t="inlineStr">
        <is>
          <t>运动潮玩</t>
        </is>
      </c>
      <c r="U632" t="inlineStr">
        <is>
          <t>潮玩手办</t>
        </is>
      </c>
      <c r="V632" s="3">
        <v>46123.98462962963</v>
      </c>
      <c r="W632" t="inlineStr">
        <is>
          <t>2026-Q2</t>
        </is>
      </c>
    </row>
    <row r="633" ht="25.5" customHeight="1">
      <c r="A633" t="inlineStr">
        <is>
          <t>暴躁拼豆2.6mm超高透明豆彩色豆补充包融合豆1000粒袋装mard同款</t>
        </is>
      </c>
      <c r="B633" t="inlineStr">
        <is>
          <t>recvguTbC1RooQ.jpg</t>
        </is>
      </c>
      <c r="C633" s="2" t="str">
        <f>=HYPERLINK("https://xhslink.com/m/7X5lCQpbqsC", "https://xhslink.com/m/7X5lCQpbqsC")</f>
        <v>https://xhslink.com/m/7X5lCQpbqsC</v>
      </c>
      <c r="D633"/>
      <c r="E633">
        <v>13000</v>
      </c>
      <c r="F633">
        <v>2.5</v>
      </c>
      <c r="G633">
        <v>1</v>
      </c>
      <c r="H633">
        <v>500</v>
      </c>
      <c r="I633" t="inlineStr">
        <is>
          <t>拼豆</t>
        </is>
      </c>
      <c r="J633" t="inlineStr">
        <is>
          <t>0.04</t>
        </is>
      </c>
      <c r="K633"/>
      <c r="L633" t="inlineStr">
        <is>
          <t>暴躁拼豆Angry Bean的店</t>
        </is>
      </c>
      <c r="M633">
        <v>9695</v>
      </c>
      <c r="N633">
        <v>4.66</v>
      </c>
      <c r="O633">
        <v>222000</v>
      </c>
      <c r="P633" t="inlineStr">
        <is>
          <t>69880dfbd5afea00016846f1</t>
        </is>
      </c>
      <c r="Q633" t="inlineStr">
        <is>
          <t>🚫重复</t>
        </is>
      </c>
      <c r="R633" t="inlineStr">
        <is>
          <t>15周</t>
        </is>
      </c>
      <c r="S633" t="inlineStr">
        <is>
          <t>1.34</t>
        </is>
      </c>
      <c r="T633" t="inlineStr">
        <is>
          <t>运动潮玩</t>
        </is>
      </c>
      <c r="U633" t="inlineStr">
        <is>
          <t>潮玩手办</t>
        </is>
      </c>
      <c r="V633" s="3">
        <v>46123.98462962963</v>
      </c>
      <c r="W633" t="inlineStr">
        <is>
          <t>2026-Q2</t>
        </is>
      </c>
    </row>
    <row r="634" ht="25.5" customHeight="1">
      <c r="A634" t="inlineStr">
        <is>
          <t>现货【前4000单立减 19.9 r】景德镇萌粒转转桌面摆件可爱礼物</t>
        </is>
      </c>
      <c r="B634" t="inlineStr">
        <is>
          <t>recvguTbC1NSeT.jpg</t>
        </is>
      </c>
      <c r="C634" s="2" t="str">
        <f>=HYPERLINK("https://xhslink.com/m/4Dg5hSDOCrx", "https://xhslink.com/m/4Dg5hSDOCrx")</f>
        <v>https://xhslink.com/m/4Dg5hSDOCrx</v>
      </c>
      <c r="D634"/>
      <c r="E634">
        <v>3830</v>
      </c>
      <c r="F634">
        <v>35.9</v>
      </c>
      <c r="G634">
        <v>19.9</v>
      </c>
      <c r="H634">
        <v>500</v>
      </c>
      <c r="I634" t="inlineStr">
        <is>
          <t>小物件</t>
        </is>
      </c>
      <c r="J634" t="inlineStr">
        <is>
          <t>0.13</t>
        </is>
      </c>
      <c r="K634" t="inlineStr">
        <is>
          <t>🔥低粉爆款</t>
        </is>
      </c>
      <c r="L634" t="inlineStr">
        <is>
          <t>媛子蛋（陶瓷手艺版）的店</t>
        </is>
      </c>
      <c r="M634">
        <v>939</v>
      </c>
      <c r="N634">
        <v>4.41</v>
      </c>
      <c r="O634">
        <v>18000</v>
      </c>
      <c r="P634" t="inlineStr">
        <is>
          <t>69c7e0ef51d7aa000143edeb</t>
        </is>
      </c>
      <c r="Q634"/>
      <c r="R634" t="inlineStr">
        <is>
          <t>15周</t>
        </is>
      </c>
      <c r="S634" t="inlineStr">
        <is>
          <t>4.08</t>
        </is>
      </c>
      <c r="T634" t="inlineStr">
        <is>
          <t>家居生活</t>
        </is>
      </c>
      <c r="U634" t="inlineStr">
        <is>
          <t>家具家装</t>
        </is>
      </c>
      <c r="V634" s="3">
        <v>46123.98462962963</v>
      </c>
      <c r="W634" t="inlineStr">
        <is>
          <t>2026-Q2</t>
        </is>
      </c>
    </row>
    <row r="635" ht="25.5" customHeight="1">
      <c r="A635" t="inlineStr">
        <is>
          <t>复古工装裙2026春夏遮胯半身裙</t>
        </is>
      </c>
      <c r="B635" t="inlineStr">
        <is>
          <t>recvguTbC1Fgel.jpg</t>
        </is>
      </c>
      <c r="C635" s="2" t="str">
        <f>=HYPERLINK("https://xhslink.com/m/2ckRYW0DFt9", "https://xhslink.com/m/2ckRYW0DFt9")</f>
        <v>https://xhslink.com/m/2ckRYW0DFt9</v>
      </c>
      <c r="D635"/>
      <c r="E635">
        <v>3597</v>
      </c>
      <c r="F635">
        <v>68.5</v>
      </c>
      <c r="G635"/>
      <c r="H635">
        <v>500</v>
      </c>
      <c r="I635" t="inlineStr">
        <is>
          <t>半身裙</t>
        </is>
      </c>
      <c r="J635" t="inlineStr">
        <is>
          <t>0.14</t>
        </is>
      </c>
      <c r="K635"/>
      <c r="L635" t="inlineStr">
        <is>
          <t>八宫妃的店</t>
        </is>
      </c>
      <c r="M635">
        <v>10000</v>
      </c>
      <c r="N635">
        <v>4.44</v>
      </c>
      <c r="O635">
        <v>75000</v>
      </c>
      <c r="P635" t="inlineStr">
        <is>
          <t>68611e9848753b00013d2c80</t>
        </is>
      </c>
      <c r="Q635" t="inlineStr">
        <is>
          <t>🚫重复</t>
        </is>
      </c>
      <c r="R635" t="inlineStr">
        <is>
          <t>15周</t>
        </is>
      </c>
      <c r="S635" t="inlineStr">
        <is>
          <t>0.36</t>
        </is>
      </c>
      <c r="T635" t="inlineStr">
        <is>
          <t>服饰穿搭</t>
        </is>
      </c>
      <c r="U635" t="inlineStr">
        <is>
          <t>女装</t>
        </is>
      </c>
      <c r="V635" s="3">
        <v>46123.98462962963</v>
      </c>
      <c r="W635" t="inlineStr">
        <is>
          <t>2026-Q2</t>
        </is>
      </c>
    </row>
    <row r="636" ht="25.5" customHeight="1">
      <c r="A636" t="inlineStr">
        <is>
          <t>春夏新款碎花高腰显瘦A字半身裙女薄款百搭仙女气质纱裙大码女</t>
        </is>
      </c>
      <c r="B636" t="inlineStr">
        <is>
          <t>recvguTbC1Uu7W.jpg</t>
        </is>
      </c>
      <c r="C636" s="2" t="str">
        <f>=HYPERLINK("https://xhslink.com/m/3Sx6g87W7iV", "https://xhslink.com/m/3Sx6g87W7iV")</f>
        <v>https://xhslink.com/m/3Sx6g87W7iV</v>
      </c>
      <c r="D636"/>
      <c r="E636">
        <v>2419</v>
      </c>
      <c r="F636">
        <v>99</v>
      </c>
      <c r="G636"/>
      <c r="H636">
        <v>500</v>
      </c>
      <c r="I636" t="inlineStr">
        <is>
          <t>半身裙</t>
        </is>
      </c>
      <c r="J636" t="inlineStr">
        <is>
          <t>0.21</t>
        </is>
      </c>
      <c r="K636"/>
      <c r="L636" t="inlineStr">
        <is>
          <t>夕文的店</t>
        </is>
      </c>
      <c r="M636">
        <v>58000</v>
      </c>
      <c r="N636">
        <v>4.63</v>
      </c>
      <c r="O636">
        <v>287000</v>
      </c>
      <c r="P636" t="inlineStr">
        <is>
          <t>69c14663ec666400014d1aa7</t>
        </is>
      </c>
      <c r="Q636" t="inlineStr">
        <is>
          <t>🚫重复</t>
        </is>
      </c>
      <c r="R636" t="inlineStr">
        <is>
          <t>15周</t>
        </is>
      </c>
      <c r="S636" t="inlineStr">
        <is>
          <t>0.04</t>
        </is>
      </c>
      <c r="T636" t="inlineStr">
        <is>
          <t>服饰穿搭</t>
        </is>
      </c>
      <c r="U636" t="inlineStr">
        <is>
          <t>女装</t>
        </is>
      </c>
      <c r="V636" s="3">
        <v>46123.98462962963</v>
      </c>
      <c r="W636" t="inlineStr">
        <is>
          <t>2026-Q2</t>
        </is>
      </c>
    </row>
    <row r="637" ht="25.5" customHeight="1">
      <c r="A637" t="inlineStr">
        <is>
          <t>任选八枚【29.9/8包邮】手作碱水面包碱水棒套餐健身代餐早餐</t>
        </is>
      </c>
      <c r="B637" t="inlineStr">
        <is>
          <t>recvguTbC1kjBS.jpg</t>
        </is>
      </c>
      <c r="C637" s="2" t="str">
        <f>=HYPERLINK("https://xhslink.com/m/4zwiNKV1q2L", "https://xhslink.com/m/4zwiNKV1q2L")</f>
        <v>https://xhslink.com/m/4zwiNKV1q2L</v>
      </c>
      <c r="D637"/>
      <c r="E637">
        <v>595000</v>
      </c>
      <c r="F637">
        <v>20</v>
      </c>
      <c r="G637">
        <v>11.6</v>
      </c>
      <c r="H637">
        <v>500</v>
      </c>
      <c r="I637" t="inlineStr">
        <is>
          <t>碱水面包</t>
        </is>
      </c>
      <c r="J637" t="inlineStr">
        <is>
          <t>0.00</t>
        </is>
      </c>
      <c r="K637" t="inlineStr">
        <is>
          <t>🔥低粉爆款</t>
        </is>
      </c>
      <c r="L637" t="inlineStr">
        <is>
          <t>谷味侬手作的店</t>
        </is>
      </c>
      <c r="M637">
        <v>9073</v>
      </c>
      <c r="N637">
        <v>4.28</v>
      </c>
      <c r="O637">
        <v>1505000</v>
      </c>
      <c r="P637" t="inlineStr">
        <is>
          <t>68e71c577d3b3f0001fc0a05</t>
        </is>
      </c>
      <c r="Q637" t="inlineStr">
        <is>
          <t>🚫重复</t>
        </is>
      </c>
      <c r="R637" t="inlineStr">
        <is>
          <t>15周</t>
        </is>
      </c>
      <c r="S637" t="inlineStr">
        <is>
          <t>65.58</t>
        </is>
      </c>
      <c r="T637" t="inlineStr">
        <is>
          <t>美食滋补</t>
        </is>
      </c>
      <c r="U637" t="inlineStr">
        <is>
          <t>休闲零食</t>
        </is>
      </c>
      <c r="V637" s="3">
        <v>46123.98462962963</v>
      </c>
      <c r="W637" t="inlineStr">
        <is>
          <t>2026-Q2</t>
        </is>
      </c>
    </row>
    <row r="638" ht="25.5" customHeight="1">
      <c r="A638" t="inlineStr">
        <is>
          <t>【小爱果脯】加酸版酸梅粒无核厚切酸梅条桃梅肉蜜饯果脯酸爽零食</t>
        </is>
      </c>
      <c r="B638" t="inlineStr">
        <is>
          <t>__upload_recvgAET7x2vOE.jpg</t>
        </is>
      </c>
      <c r="C638" s="2" t="str">
        <f>=HYPERLINK("https://xhslink.com/m/AwdELhW5kMU", "https://xhslink.com/m/AwdELhW5kMU")</f>
        <v>https://xhslink.com/m/AwdELhW5kMU</v>
      </c>
      <c r="D638"/>
      <c r="E638">
        <v>271000</v>
      </c>
      <c r="F638">
        <v>31.8</v>
      </c>
      <c r="G638">
        <v>16.8</v>
      </c>
      <c r="H638">
        <v>500</v>
      </c>
      <c r="I638" t="inlineStr">
        <is>
          <t>零食</t>
        </is>
      </c>
      <c r="J638" t="inlineStr">
        <is>
          <t>0.00</t>
        </is>
      </c>
      <c r="K638" t="inlineStr">
        <is>
          <t>🔥低粉爆款</t>
        </is>
      </c>
      <c r="L638" t="inlineStr">
        <is>
          <t>小爱糯叽叽果脯的店</t>
        </is>
      </c>
      <c r="M638">
        <v>5100</v>
      </c>
      <c r="N638">
        <v>4.38</v>
      </c>
      <c r="O638">
        <v>300000</v>
      </c>
      <c r="P638" t="inlineStr">
        <is>
          <t>6894dd628fe347000147bdcb</t>
        </is>
      </c>
      <c r="Q638" t="inlineStr">
        <is>
          <t>🚫重复</t>
        </is>
      </c>
      <c r="R638" t="inlineStr">
        <is>
          <t>15周</t>
        </is>
      </c>
      <c r="S638" t="inlineStr">
        <is>
          <t>53.14</t>
        </is>
      </c>
      <c r="T638" t="inlineStr">
        <is>
          <t>美食滋补</t>
        </is>
      </c>
      <c r="U638" t="inlineStr">
        <is>
          <t>休闲零食</t>
        </is>
      </c>
      <c r="V638" s="3">
        <v>46124.971342592595</v>
      </c>
      <c r="W638" t="inlineStr">
        <is>
          <t>2026-Q2</t>
        </is>
      </c>
    </row>
    <row r="639" ht="25.5" customHeight="1">
      <c r="A639" t="inlineStr">
        <is>
          <t>第7星际 · 【全新正品】5G全网通智能电话手表双系统摩斯密码自由下载</t>
        </is>
      </c>
      <c r="B639" t="inlineStr">
        <is>
          <t>__upload_recvgAET7xcKbW.jpg</t>
        </is>
      </c>
      <c r="C639" s="2" t="str">
        <f>=HYPERLINK("https://xhslink.com/m/Ag7LcP4wDkQ", "https://xhslink.com/m/Ag7LcP4wDkQ")</f>
        <v>https://xhslink.com/m/Ag7LcP4wDkQ</v>
      </c>
      <c r="D639"/>
      <c r="E639">
        <v>7769</v>
      </c>
      <c r="F639">
        <v>298</v>
      </c>
      <c r="G639">
        <v>268</v>
      </c>
      <c r="H639">
        <v>500</v>
      </c>
      <c r="I639" t="inlineStr">
        <is>
          <t>AI硬件</t>
        </is>
      </c>
      <c r="J639" t="inlineStr">
        <is>
          <t>0.06</t>
        </is>
      </c>
      <c r="K639"/>
      <c r="L639" t="inlineStr">
        <is>
          <t>腕百科严选数码的店</t>
        </is>
      </c>
      <c r="M639">
        <v>6908</v>
      </c>
      <c r="N639">
        <v>4.31</v>
      </c>
      <c r="O639">
        <v>9547</v>
      </c>
      <c r="P639" t="inlineStr">
        <is>
          <t>687328436fea660001b653f9</t>
        </is>
      </c>
      <c r="Q639"/>
      <c r="R639" t="inlineStr">
        <is>
          <t>15周</t>
        </is>
      </c>
      <c r="S639" t="inlineStr">
        <is>
          <t>1.12</t>
        </is>
      </c>
      <c r="T639" t="inlineStr">
        <is>
          <t>服饰穿搭</t>
        </is>
      </c>
      <c r="U639" t="inlineStr">
        <is>
          <t>配饰</t>
        </is>
      </c>
      <c r="V639" s="3">
        <v>46124.971342592595</v>
      </c>
      <c r="W639" t="inlineStr">
        <is>
          <t>2026-Q2</t>
        </is>
      </c>
    </row>
    <row r="640" ht="25.5" customHeight="1">
      <c r="A640" t="inlineStr">
        <is>
          <t>磁吸挂脖手机支架第一人称视角拍摄设备运动相机骑行直播</t>
        </is>
      </c>
      <c r="B640" t="inlineStr">
        <is>
          <t>__upload_recvgAET7x4CIw.jpg</t>
        </is>
      </c>
      <c r="C640" s="2" t="str">
        <f>=HYPERLINK("https://xhslink.com/m/A3ueKAImfDL", "https://xhslink.com/m/A3ueKAImfDL")</f>
        <v>https://xhslink.com/m/A3ueKAImfDL</v>
      </c>
      <c r="D640"/>
      <c r="E640">
        <v>8176</v>
      </c>
      <c r="F640">
        <v>128</v>
      </c>
      <c r="G640">
        <v>102</v>
      </c>
      <c r="H640">
        <v>500</v>
      </c>
      <c r="I640" t="inlineStr">
        <is>
          <t>手机支架</t>
        </is>
      </c>
      <c r="J640" t="inlineStr">
        <is>
          <t>0.06</t>
        </is>
      </c>
      <c r="K640" t="inlineStr">
        <is>
          <t>🔥低粉爆款</t>
        </is>
      </c>
      <c r="L640" t="inlineStr">
        <is>
          <t>Fleursvlog的店</t>
        </is>
      </c>
      <c r="M640">
        <v>497</v>
      </c>
      <c r="N640">
        <v>4.64</v>
      </c>
      <c r="O640">
        <v>10000</v>
      </c>
      <c r="P640" t="inlineStr">
        <is>
          <t>690c663a84cf4200019b7d34</t>
        </is>
      </c>
      <c r="Q640" t="inlineStr">
        <is>
          <t>🚫重复</t>
        </is>
      </c>
      <c r="R640" t="inlineStr">
        <is>
          <t>15周</t>
        </is>
      </c>
      <c r="S640" t="inlineStr">
        <is>
          <t>16.45</t>
        </is>
      </c>
      <c r="T640" t="inlineStr">
        <is>
          <t>数码家电</t>
        </is>
      </c>
      <c r="U640" t="inlineStr">
        <is>
          <t>数码配件</t>
        </is>
      </c>
      <c r="V640" s="3">
        <v>46124.971342592595</v>
      </c>
      <c r="W640" t="inlineStr">
        <is>
          <t>2026-Q2</t>
        </is>
      </c>
    </row>
    <row r="641" ht="25.5" customHeight="1">
      <c r="A641" t="inlineStr">
        <is>
          <t>自制跑量款！260g克重 夏季修身正肩掐腰T恤 小圆领/圆U领</t>
        </is>
      </c>
      <c r="B641" t="inlineStr">
        <is>
          <t>__upload_recvgAET7xXSJq.jpg</t>
        </is>
      </c>
      <c r="C641" s="2" t="str">
        <f>=HYPERLINK("https://xhslink.com/m/5liRAkK3Ene", "https://xhslink.com/m/5liRAkK3Ene")</f>
        <v>https://xhslink.com/m/5liRAkK3Ene</v>
      </c>
      <c r="D641"/>
      <c r="E641">
        <v>20000</v>
      </c>
      <c r="F641">
        <v>75</v>
      </c>
      <c r="G641">
        <v>59</v>
      </c>
      <c r="H641">
        <v>500</v>
      </c>
      <c r="I641" t="inlineStr">
        <is>
          <t>T恤</t>
        </is>
      </c>
      <c r="J641" t="inlineStr">
        <is>
          <t>0.03</t>
        </is>
      </c>
      <c r="K641"/>
      <c r="L641" t="inlineStr">
        <is>
          <t>你的小面包little bread的店</t>
        </is>
      </c>
      <c r="M641">
        <v>29000</v>
      </c>
      <c r="N641">
        <v>4.59</v>
      </c>
      <c r="O641">
        <v>175000</v>
      </c>
      <c r="P641" t="inlineStr">
        <is>
          <t>67a4655397ab01000185f821</t>
        </is>
      </c>
      <c r="Q641" t="inlineStr">
        <is>
          <t>🚫重复</t>
        </is>
      </c>
      <c r="R641" t="inlineStr">
        <is>
          <t>15周</t>
        </is>
      </c>
      <c r="S641" t="inlineStr">
        <is>
          <t>0.69</t>
        </is>
      </c>
      <c r="T641" t="inlineStr">
        <is>
          <t>服饰穿搭</t>
        </is>
      </c>
      <c r="U641" t="inlineStr">
        <is>
          <t>女装</t>
        </is>
      </c>
      <c r="V641" s="3">
        <v>46124.971342592595</v>
      </c>
      <c r="W641" t="inlineStr">
        <is>
          <t>2026-Q2</t>
        </is>
      </c>
    </row>
    <row r="642" ht="25.5" customHeight="1">
      <c r="A642" t="inlineStr">
        <is>
          <t>【小飞袖𝟮.𝟬版】新升级!!韩系粉色短袖正肩T恤v领上衣女夏</t>
        </is>
      </c>
      <c r="B642" t="inlineStr">
        <is>
          <t>__upload_recvgAET7xoM2G.jpg</t>
        </is>
      </c>
      <c r="C642" s="2" t="str">
        <f>=HYPERLINK("https://xhslink.com/m/4VPveCwrpEJ", "https://xhslink.com/m/4VPveCwrpEJ")</f>
        <v>https://xhslink.com/m/4VPveCwrpEJ</v>
      </c>
      <c r="D642"/>
      <c r="E642">
        <v>73000</v>
      </c>
      <c r="F642">
        <v>39.9</v>
      </c>
      <c r="G642"/>
      <c r="H642">
        <v>500</v>
      </c>
      <c r="I642" t="inlineStr">
        <is>
          <t>T恤</t>
        </is>
      </c>
      <c r="J642" t="inlineStr">
        <is>
          <t>0.01</t>
        </is>
      </c>
      <c r="K642"/>
      <c r="L642" t="inlineStr">
        <is>
          <t>海鸥服装厂的店</t>
        </is>
      </c>
      <c r="M642">
        <v>88000</v>
      </c>
      <c r="N642">
        <v>4.48</v>
      </c>
      <c r="O642">
        <v>1090000</v>
      </c>
      <c r="P642" t="inlineStr">
        <is>
          <t>69c3a9ef58e96300014b6c47</t>
        </is>
      </c>
      <c r="Q642" t="inlineStr">
        <is>
          <t>🚫重复</t>
        </is>
      </c>
      <c r="R642" t="inlineStr">
        <is>
          <t>15周</t>
        </is>
      </c>
      <c r="S642" t="inlineStr">
        <is>
          <t>0.83</t>
        </is>
      </c>
      <c r="T642" t="inlineStr">
        <is>
          <t>服饰穿搭</t>
        </is>
      </c>
      <c r="U642" t="inlineStr">
        <is>
          <t>女装</t>
        </is>
      </c>
      <c r="V642" s="3">
        <v>46124.971342592595</v>
      </c>
      <c r="W642" t="inlineStr">
        <is>
          <t>2026-Q2</t>
        </is>
      </c>
    </row>
    <row r="643" ht="25.5" customHeight="1">
      <c r="A643" t="inlineStr">
        <is>
          <t>【朴大艺】U然自在 新款韩版慕斯U领短袖T恤显瘦百搭短袖6505</t>
        </is>
      </c>
      <c r="B643" t="inlineStr">
        <is>
          <t>__upload_recvgAET7xKK2N.jpg</t>
        </is>
      </c>
      <c r="C643" s="2" t="str">
        <f>=HYPERLINK("https://xhslink.com/m/67TmgXSEHDi", "https://xhslink.com/m/67TmgXSEHDi")</f>
        <v>https://xhslink.com/m/67TmgXSEHDi</v>
      </c>
      <c r="D643"/>
      <c r="E643">
        <v>5978</v>
      </c>
      <c r="F643">
        <v>69</v>
      </c>
      <c r="G643"/>
      <c r="H643">
        <v>500</v>
      </c>
      <c r="I643" t="inlineStr">
        <is>
          <t>T恤</t>
        </is>
      </c>
      <c r="J643" t="inlineStr">
        <is>
          <t>0.08</t>
        </is>
      </c>
      <c r="K643"/>
      <c r="L643" t="inlineStr">
        <is>
          <t>朴大艺是150呀的店</t>
        </is>
      </c>
      <c r="M643">
        <v>95000</v>
      </c>
      <c r="N643">
        <v>4.73</v>
      </c>
      <c r="O643">
        <v>310000</v>
      </c>
      <c r="P643" t="inlineStr">
        <is>
          <t>683151aee60e770001a27d51</t>
        </is>
      </c>
      <c r="Q643" t="inlineStr">
        <is>
          <t>🚫重复</t>
        </is>
      </c>
      <c r="R643" t="inlineStr">
        <is>
          <t>15周</t>
        </is>
      </c>
      <c r="S643" t="inlineStr">
        <is>
          <t>0.06</t>
        </is>
      </c>
      <c r="T643" t="inlineStr">
        <is>
          <t>服饰穿搭</t>
        </is>
      </c>
      <c r="U643" t="inlineStr">
        <is>
          <t>女装</t>
        </is>
      </c>
      <c r="V643" s="3">
        <v>46124.971342592595</v>
      </c>
      <c r="W643" t="inlineStr">
        <is>
          <t>2026-Q2</t>
        </is>
      </c>
    </row>
    <row r="644" ht="25.5" customHeight="1">
      <c r="A644" t="inlineStr">
        <is>
          <t>原创反光星星雨伞女晴雨两用自动超好看防风防晒紫外线太阳伞ins</t>
        </is>
      </c>
      <c r="B644" t="inlineStr">
        <is>
          <t>recvgGy5hQTupq.jpg</t>
        </is>
      </c>
      <c r="C644" s="2" t="str">
        <f>=HYPERLINK("https://xhslink.com/m/5y0pu2a2t7e", "https://xhslink.com/m/5y0pu2a2t7e")</f>
        <v>https://xhslink.com/m/5y0pu2a2t7e</v>
      </c>
      <c r="D644"/>
      <c r="E644">
        <v>4283</v>
      </c>
      <c r="F644">
        <v>45.9</v>
      </c>
      <c r="G644">
        <v>42.9</v>
      </c>
      <c r="H644">
        <v>500</v>
      </c>
      <c r="I644" t="inlineStr">
        <is>
          <t>伞</t>
        </is>
      </c>
      <c r="J644" t="inlineStr">
        <is>
          <t>0.12</t>
        </is>
      </c>
      <c r="K644"/>
      <c r="L644" t="inlineStr">
        <is>
          <t>卖伞的阿渔。的店</t>
        </is>
      </c>
      <c r="M644">
        <v>2486</v>
      </c>
      <c r="N644">
        <v>4.59</v>
      </c>
      <c r="O644">
        <v>19000</v>
      </c>
      <c r="P644" t="inlineStr">
        <is>
          <t>68776add64e96a00011af13a</t>
        </is>
      </c>
      <c r="Q644" t="inlineStr">
        <is>
          <t>🚫重复</t>
        </is>
      </c>
      <c r="R644" t="inlineStr">
        <is>
          <t>16周</t>
        </is>
      </c>
      <c r="S644" t="inlineStr">
        <is>
          <t>1.72</t>
        </is>
      </c>
      <c r="T644" t="inlineStr">
        <is>
          <t>家居生活</t>
        </is>
      </c>
      <c r="U644" t="inlineStr">
        <is>
          <t>家居日用</t>
        </is>
      </c>
      <c r="V644" s="3">
        <v>46125.978738425925</v>
      </c>
      <c r="W644" t="inlineStr">
        <is>
          <t>2026-Q2</t>
        </is>
      </c>
    </row>
    <row r="645" ht="25.5" customHeight="1">
      <c r="A645" t="inlineStr">
        <is>
          <t>PUPU•冰淇淋碗ins韩系陶瓷釉下彩奶油可爱酸奶碗泡面碗早餐碗</t>
        </is>
      </c>
      <c r="B645" t="inlineStr">
        <is>
          <t>recvgGy5hQEM4x.jpg</t>
        </is>
      </c>
      <c r="C645" s="2" t="str">
        <f>=HYPERLINK("https://xhslink.com/m/5BQOOx1qHwX", "https://xhslink.com/m/5BQOOx1qHwX")</f>
        <v>https://xhslink.com/m/5BQOOx1qHwX</v>
      </c>
      <c r="D645"/>
      <c r="E645">
        <v>34000</v>
      </c>
      <c r="F645">
        <v>23.99</v>
      </c>
      <c r="G645">
        <v>8.99</v>
      </c>
      <c r="H645">
        <v>500</v>
      </c>
      <c r="I645" t="inlineStr">
        <is>
          <t>陶瓷碗</t>
        </is>
      </c>
      <c r="J645" t="inlineStr">
        <is>
          <t>0.01</t>
        </is>
      </c>
      <c r="K645" t="inlineStr">
        <is>
          <t>🔥低粉爆款</t>
        </is>
      </c>
      <c r="L645" t="inlineStr">
        <is>
          <t>Pupu Mimi*的店</t>
        </is>
      </c>
      <c r="M645">
        <v>7555</v>
      </c>
      <c r="N645">
        <v>4.62</v>
      </c>
      <c r="O645">
        <v>87000</v>
      </c>
      <c r="P645" t="inlineStr">
        <is>
          <t>6800b2d6190ed7000147f0e0</t>
        </is>
      </c>
      <c r="Q645" t="inlineStr">
        <is>
          <t>🚫重复</t>
        </is>
      </c>
      <c r="R645" t="inlineStr">
        <is>
          <t>16周</t>
        </is>
      </c>
      <c r="S645" t="inlineStr">
        <is>
          <t>4.50</t>
        </is>
      </c>
      <c r="T645" t="inlineStr">
        <is>
          <t>家居生活</t>
        </is>
      </c>
      <c r="U645" t="inlineStr">
        <is>
          <t>厨房餐饮</t>
        </is>
      </c>
      <c r="V645" s="3">
        <v>46125.978738425925</v>
      </c>
      <c r="W645" t="inlineStr">
        <is>
          <t>2026-Q2</t>
        </is>
      </c>
    </row>
    <row r="646" ht="25.5" customHeight="1">
      <c r="A646" t="inlineStr">
        <is>
          <t>铭创优趣长脖子动物毛绒玩具邪恶挂件可爱治愈挂饰装饰玩偶送礼物</t>
        </is>
      </c>
      <c r="B646" t="inlineStr">
        <is>
          <t>recvgGy5hQ79FB.jpg</t>
        </is>
      </c>
      <c r="C646" s="2" t="str">
        <f>=HYPERLINK("https://xhslink.com/m/62HpaHadaX1", "https://xhslink.com/m/62HpaHadaX1")</f>
        <v>https://xhslink.com/m/62HpaHadaX1</v>
      </c>
      <c r="D646"/>
      <c r="E646">
        <v>3663</v>
      </c>
      <c r="F646">
        <v>21.8</v>
      </c>
      <c r="G646"/>
      <c r="H646">
        <v>500</v>
      </c>
      <c r="I646" t="inlineStr">
        <is>
          <t>毛绒玩具</t>
        </is>
      </c>
      <c r="J646" t="inlineStr">
        <is>
          <t>0.14</t>
        </is>
      </c>
      <c r="K646"/>
      <c r="L646" t="inlineStr">
        <is>
          <t>铭创优趣的店</t>
        </is>
      </c>
      <c r="M646">
        <v>123000</v>
      </c>
      <c r="N646">
        <v>4.54</v>
      </c>
      <c r="O646">
        <v>115000</v>
      </c>
      <c r="P646" t="inlineStr">
        <is>
          <t>69ac0d2af1fe0f0015694e9f</t>
        </is>
      </c>
      <c r="Q646" t="inlineStr">
        <is>
          <t>🚫重复</t>
        </is>
      </c>
      <c r="R646" t="inlineStr">
        <is>
          <t>16周</t>
        </is>
      </c>
      <c r="S646" t="inlineStr">
        <is>
          <t>0.03</t>
        </is>
      </c>
      <c r="T646" t="inlineStr">
        <is>
          <t>母婴亲子</t>
        </is>
      </c>
      <c r="U646" t="inlineStr">
        <is>
          <t>玩具早教</t>
        </is>
      </c>
      <c r="V646" s="3">
        <v>46125.978738425925</v>
      </c>
      <c r="W646" t="inlineStr">
        <is>
          <t>2026-Q2</t>
        </is>
      </c>
    </row>
    <row r="647" ht="25.5" customHeight="1">
      <c r="A647" t="inlineStr">
        <is>
          <t>前11w单立减 30!女春夏季高腰宽松显瘦休闲直筒运动裤卫裤60%棉</t>
        </is>
      </c>
      <c r="B647" t="inlineStr">
        <is>
          <t>recvgGy5hQYXRK.jpg</t>
        </is>
      </c>
      <c r="C647" s="2" t="str">
        <f>=HYPERLINK("https://xhslink.com/m/8GTwhxV7WHW", "https://xhslink.com/m/8GTwhxV7WHW")</f>
        <v>https://xhslink.com/m/8GTwhxV7WHW</v>
      </c>
      <c r="D647"/>
      <c r="E647">
        <v>111000</v>
      </c>
      <c r="F647">
        <v>99.9</v>
      </c>
      <c r="G647">
        <v>64.5</v>
      </c>
      <c r="H647">
        <v>500</v>
      </c>
      <c r="I647" t="inlineStr">
        <is>
          <t>上衣</t>
        </is>
      </c>
      <c r="J647" t="inlineStr">
        <is>
          <t>0.00</t>
        </is>
      </c>
      <c r="K647" t="inlineStr">
        <is>
          <t>🔥低粉爆款</t>
        </is>
      </c>
      <c r="L647" t="inlineStr">
        <is>
          <t>哆哆米米米的店</t>
        </is>
      </c>
      <c r="M647">
        <v>12000</v>
      </c>
      <c r="N647">
        <v>4.55</v>
      </c>
      <c r="O647">
        <v>111000</v>
      </c>
      <c r="P647" t="inlineStr">
        <is>
          <t>68e87b2f6a569a0015aabbdd</t>
        </is>
      </c>
      <c r="Q647" t="inlineStr">
        <is>
          <t>🚫重复</t>
        </is>
      </c>
      <c r="R647" t="inlineStr">
        <is>
          <t>16周</t>
        </is>
      </c>
      <c r="S647" t="inlineStr">
        <is>
          <t>9.25</t>
        </is>
      </c>
      <c r="T647" t="inlineStr">
        <is>
          <t>服饰穿搭</t>
        </is>
      </c>
      <c r="U647" t="inlineStr">
        <is>
          <t>女装</t>
        </is>
      </c>
      <c r="V647" s="3">
        <v>46125.978738425925</v>
      </c>
      <c r="W647" t="inlineStr">
        <is>
          <t>2026-Q2</t>
        </is>
      </c>
    </row>
    <row r="648" ht="25.5" customHeight="1">
      <c r="A648" t="inlineStr">
        <is>
          <t>复古碎花连衣裙 超难买！</t>
        </is>
      </c>
      <c r="B648" t="inlineStr">
        <is>
          <t>recvgGy5hQW257.jpg</t>
        </is>
      </c>
      <c r="C648" s="2" t="str">
        <f>=HYPERLINK("https://xhslink.com/m/9it69fRskWc", "https://xhslink.com/m/9it69fRskWc")</f>
        <v>https://xhslink.com/m/9it69fRskWc</v>
      </c>
      <c r="D648"/>
      <c r="E648">
        <v>13000</v>
      </c>
      <c r="F648">
        <v>329</v>
      </c>
      <c r="G648"/>
      <c r="H648">
        <v>500</v>
      </c>
      <c r="I648" t="inlineStr">
        <is>
          <t>上衣</t>
        </is>
      </c>
      <c r="J648" t="inlineStr">
        <is>
          <t>0.04</t>
        </is>
      </c>
      <c r="K648"/>
      <c r="L648" t="inlineStr">
        <is>
          <t>Thetwo的店</t>
        </is>
      </c>
      <c r="M648">
        <v>13000</v>
      </c>
      <c r="N648">
        <v>4.79</v>
      </c>
      <c r="O648">
        <v>26000</v>
      </c>
      <c r="P648" t="inlineStr">
        <is>
          <t>69686736397bf50001ae3e1c</t>
        </is>
      </c>
      <c r="Q648"/>
      <c r="R648" t="inlineStr">
        <is>
          <t>16周</t>
        </is>
      </c>
      <c r="S648" t="inlineStr">
        <is>
          <t>1.00</t>
        </is>
      </c>
      <c r="T648" t="inlineStr">
        <is>
          <t>服饰穿搭</t>
        </is>
      </c>
      <c r="U648" t="inlineStr">
        <is>
          <t>女装</t>
        </is>
      </c>
      <c r="V648" s="3">
        <v>46125.978738425925</v>
      </c>
      <c r="W648" t="inlineStr">
        <is>
          <t>2026-Q2</t>
        </is>
      </c>
    </row>
    <row r="649" ht="25.5" customHeight="1">
      <c r="A649" t="inlineStr">
        <is>
          <t>铭创优趣长脖子动物毛绒玩具邪恶挂件可爱治愈挂饰装饰玩偶送礼物</t>
        </is>
      </c>
      <c r="B649" t="inlineStr">
        <is>
          <t>recvgGy5hQ07Wv.jpg</t>
        </is>
      </c>
      <c r="C649" s="2" t="str">
        <f>=HYPERLINK("https://xhslink.com/m/66AVl76kW9u", "https://xhslink.com/m/66AVl76kW9u")</f>
        <v>https://xhslink.com/m/66AVl76kW9u</v>
      </c>
      <c r="D649"/>
      <c r="E649">
        <v>3630</v>
      </c>
      <c r="F649">
        <v>19.8</v>
      </c>
      <c r="G649"/>
      <c r="H649">
        <v>500</v>
      </c>
      <c r="I649" t="inlineStr">
        <is>
          <t>挂件</t>
        </is>
      </c>
      <c r="J649" t="inlineStr">
        <is>
          <t>0.14</t>
        </is>
      </c>
      <c r="K649"/>
      <c r="L649" t="inlineStr">
        <is>
          <t>铭创优趣的店</t>
        </is>
      </c>
      <c r="M649">
        <v>123000</v>
      </c>
      <c r="N649">
        <v>4.54</v>
      </c>
      <c r="O649">
        <v>115000</v>
      </c>
      <c r="P649" t="inlineStr">
        <is>
          <t>69ad4a4ac125ae0001e87c63</t>
        </is>
      </c>
      <c r="Q649" t="inlineStr">
        <is>
          <t>🚫重复</t>
        </is>
      </c>
      <c r="R649" t="inlineStr">
        <is>
          <t>16周</t>
        </is>
      </c>
      <c r="S649" t="inlineStr">
        <is>
          <t>0.03</t>
        </is>
      </c>
      <c r="T649" t="inlineStr">
        <is>
          <t>母婴亲子</t>
        </is>
      </c>
      <c r="U649" t="inlineStr">
        <is>
          <t>玩具早教</t>
        </is>
      </c>
      <c r="V649" s="3">
        <v>46125.978738425925</v>
      </c>
      <c r="W649" t="inlineStr">
        <is>
          <t>2026-Q2</t>
        </is>
      </c>
    </row>
    <row r="650" ht="25.5" customHeight="1">
      <c r="A650" t="inlineStr">
        <is>
          <t>铭创优趣长脖子动物毛绒玩具邪恶挂件可爱治愈挂饰装饰玩偶送礼物</t>
        </is>
      </c>
      <c r="B650" t="inlineStr">
        <is>
          <t>recvgGy5hQET4E.jpg</t>
        </is>
      </c>
      <c r="C650" s="2" t="str">
        <f>=HYPERLINK("https://xhslink.com/m/7RLBtlk8xWS", "https://xhslink.com/m/7RLBtlk8xWS")</f>
        <v>https://xhslink.com/m/7RLBtlk8xWS</v>
      </c>
      <c r="D650"/>
      <c r="E650">
        <v>3630</v>
      </c>
      <c r="F650">
        <v>19.8</v>
      </c>
      <c r="G650"/>
      <c r="H650">
        <v>500</v>
      </c>
      <c r="I650" t="inlineStr">
        <is>
          <t>挂件</t>
        </is>
      </c>
      <c r="J650" t="inlineStr">
        <is>
          <t>0.14</t>
        </is>
      </c>
      <c r="K650"/>
      <c r="L650" t="inlineStr">
        <is>
          <t>铭创优趣的店</t>
        </is>
      </c>
      <c r="M650">
        <v>123000</v>
      </c>
      <c r="N650">
        <v>4.54</v>
      </c>
      <c r="O650">
        <v>115000</v>
      </c>
      <c r="P650" t="inlineStr">
        <is>
          <t>69afedce3250830001b4f59a</t>
        </is>
      </c>
      <c r="Q650" t="inlineStr">
        <is>
          <t>🚫重复</t>
        </is>
      </c>
      <c r="R650" t="inlineStr">
        <is>
          <t>16周</t>
        </is>
      </c>
      <c r="S650" t="inlineStr">
        <is>
          <t>0.03</t>
        </is>
      </c>
      <c r="T650" t="inlineStr">
        <is>
          <t>母婴亲子</t>
        </is>
      </c>
      <c r="U650" t="inlineStr">
        <is>
          <t>玩具早教</t>
        </is>
      </c>
      <c r="V650" s="3">
        <v>46125.978738425925</v>
      </c>
      <c r="W650" t="inlineStr">
        <is>
          <t>2026-Q2</t>
        </is>
      </c>
    </row>
    <row r="651" ht="25.5" customHeight="1">
      <c r="A651" t="inlineStr">
        <is>
          <t>【顺丰冷链包邮】正宗潮汕牛肉丸牛筋丸手工制作无添加潮汕特产</t>
        </is>
      </c>
      <c r="B651" t="inlineStr">
        <is>
          <t>recvgGy5hQASe6.jpg</t>
        </is>
      </c>
      <c r="C651" s="2" t="str">
        <f>=HYPERLINK("https://xhslink.com/m/257MyWKEnTN", "https://xhslink.com/m/257MyWKEnTN")</f>
        <v>https://xhslink.com/m/257MyWKEnTN</v>
      </c>
      <c r="D651"/>
      <c r="E651">
        <v>4667</v>
      </c>
      <c r="F651">
        <v>47</v>
      </c>
      <c r="G651">
        <v>37</v>
      </c>
      <c r="H651">
        <v>500</v>
      </c>
      <c r="I651" t="inlineStr">
        <is>
          <t>牛肉丸子</t>
        </is>
      </c>
      <c r="J651" t="inlineStr">
        <is>
          <t>0.11</t>
        </is>
      </c>
      <c r="K651" t="inlineStr">
        <is>
          <t>🔥低粉爆款</t>
        </is>
      </c>
      <c r="L651" t="inlineStr">
        <is>
          <t>君君正宗潮汕牛肉丸的店</t>
        </is>
      </c>
      <c r="M651">
        <v>412</v>
      </c>
      <c r="N651">
        <v>4.5</v>
      </c>
      <c r="O651">
        <v>4689</v>
      </c>
      <c r="P651" t="inlineStr">
        <is>
          <t>689ef0d0d3dd4d00013c02fd</t>
        </is>
      </c>
      <c r="Q651"/>
      <c r="R651" t="inlineStr">
        <is>
          <t>16周</t>
        </is>
      </c>
      <c r="S651" t="inlineStr">
        <is>
          <t>11.33</t>
        </is>
      </c>
      <c r="T651" t="inlineStr">
        <is>
          <t>美食滋补</t>
        </is>
      </c>
      <c r="U651" t="inlineStr">
        <is>
          <t>生鲜特产</t>
        </is>
      </c>
      <c r="V651" s="3">
        <v>46125.978738425925</v>
      </c>
      <c r="W651" t="inlineStr">
        <is>
          <t>2026-Q2</t>
        </is>
      </c>
    </row>
    <row r="652" ht="25.5" customHeight="1">
      <c r="A652" t="inlineStr">
        <is>
          <t>夏季睡衣女休闲长裤圆领纯色简约宽松短袖套头带胸垫款家居服套装</t>
        </is>
      </c>
      <c r="B652" t="inlineStr">
        <is>
          <t>__upload_recvgMo2ZYixE5.jpg</t>
        </is>
      </c>
      <c r="C652" s="2" t="str">
        <f>=HYPERLINK("https://xhslink.com/m/5XTSIHHPkLO", "https://xhslink.com/m/5XTSIHHPkLO")</f>
        <v>https://xhslink.com/m/5XTSIHHPkLO</v>
      </c>
      <c r="D652"/>
      <c r="E652">
        <v>1578</v>
      </c>
      <c r="F652">
        <v>69.9</v>
      </c>
      <c r="G652"/>
      <c r="H652">
        <v>500</v>
      </c>
      <c r="I652" t="inlineStr">
        <is>
          <t>夏天睡衣</t>
        </is>
      </c>
      <c r="J652" t="inlineStr">
        <is>
          <t>0.32</t>
        </is>
      </c>
      <c r="K652"/>
      <c r="L652" t="inlineStr">
        <is>
          <t>今天穿什么的店</t>
        </is>
      </c>
      <c r="M652">
        <v>765</v>
      </c>
      <c r="N652">
        <v>4.44</v>
      </c>
      <c r="O652">
        <v>13000</v>
      </c>
      <c r="P652" t="inlineStr">
        <is>
          <t>6855a4dfaa1e7b001594770a</t>
        </is>
      </c>
      <c r="Q652"/>
      <c r="R652" t="inlineStr">
        <is>
          <t>16周</t>
        </is>
      </c>
      <c r="S652" t="inlineStr">
        <is>
          <t>2.06</t>
        </is>
      </c>
      <c r="T652" t="inlineStr">
        <is>
          <t>服饰穿搭</t>
        </is>
      </c>
      <c r="U652" t="inlineStr">
        <is>
          <t>女装</t>
        </is>
      </c>
      <c r="V652" s="3">
        <v>46126.97719907408</v>
      </c>
      <c r="W652" t="inlineStr">
        <is>
          <t>2026-Q2</t>
        </is>
      </c>
    </row>
    <row r="653" ht="25.5" customHeight="1">
      <c r="A653" t="inlineStr">
        <is>
          <t>bela dolca · 上新39r！！蜘蛛背心868~无钢圈 辣妹穿搭必备！</t>
        </is>
      </c>
      <c r="B653" t="inlineStr">
        <is>
          <t>__upload_recvgMo2ZYNjqp.jpg</t>
        </is>
      </c>
      <c r="C653" s="2" t="str">
        <f>=HYPERLINK("https://xhslink.com/m/9nPQMQL4DBe", "https://xhslink.com/m/9nPQMQL4DBe")</f>
        <v>https://xhslink.com/m/9nPQMQL4DBe</v>
      </c>
      <c r="D653"/>
      <c r="E653">
        <v>52000</v>
      </c>
      <c r="F653">
        <v>49</v>
      </c>
      <c r="G653">
        <v>39</v>
      </c>
      <c r="H653">
        <v>500</v>
      </c>
      <c r="I653" t="inlineStr">
        <is>
          <t>背心吊带</t>
        </is>
      </c>
      <c r="J653" t="inlineStr">
        <is>
          <t>0.01</t>
        </is>
      </c>
      <c r="K653"/>
      <c r="L653" t="inlineStr">
        <is>
          <t>糖味儿旗舰店</t>
        </is>
      </c>
      <c r="M653">
        <v>37000</v>
      </c>
      <c r="N653">
        <v>4.44</v>
      </c>
      <c r="O653">
        <v>109000</v>
      </c>
      <c r="P653" t="inlineStr">
        <is>
          <t>67ca9e94e15c910001ffc527</t>
        </is>
      </c>
      <c r="Q653" t="inlineStr">
        <is>
          <t>🚫重复</t>
        </is>
      </c>
      <c r="R653" t="inlineStr">
        <is>
          <t>16周</t>
        </is>
      </c>
      <c r="S653" t="inlineStr">
        <is>
          <t>1.41</t>
        </is>
      </c>
      <c r="T653" t="inlineStr">
        <is>
          <t>服饰穿搭</t>
        </is>
      </c>
      <c r="U653" t="inlineStr">
        <is>
          <t>女装</t>
        </is>
      </c>
      <c r="V653" s="3">
        <v>46126.97719907408</v>
      </c>
      <c r="W653" t="inlineStr">
        <is>
          <t>2026-Q2</t>
        </is>
      </c>
    </row>
    <row r="654" ht="25.5" customHeight="1">
      <c r="A654" t="inlineStr">
        <is>
          <t>HelloooEat 多色基础款卷边显瘦T恤春夏休闲圆领套头短袖EM4196</t>
        </is>
      </c>
      <c r="B654" t="inlineStr">
        <is>
          <t>__upload_recvgMo2ZYmv3q.jpg</t>
        </is>
      </c>
      <c r="C654" s="2" t="str">
        <f>=HYPERLINK("https://xhslink.com/m/1vwxlCSrbQ2", "https://xhslink.com/m/1vwxlCSrbQ2")</f>
        <v>https://xhslink.com/m/1vwxlCSrbQ2</v>
      </c>
      <c r="D654"/>
      <c r="E654">
        <v>4424</v>
      </c>
      <c r="F654">
        <v>69</v>
      </c>
      <c r="G654">
        <v>60.72</v>
      </c>
      <c r="H654">
        <v>500</v>
      </c>
      <c r="I654" t="inlineStr">
        <is>
          <t>上衣</t>
        </is>
      </c>
      <c r="J654" t="inlineStr">
        <is>
          <t>0.11</t>
        </is>
      </c>
      <c r="K654"/>
      <c r="L654" t="inlineStr">
        <is>
          <t>HelloooEat online的店</t>
        </is>
      </c>
      <c r="M654">
        <v>185000</v>
      </c>
      <c r="N654">
        <v>4.65</v>
      </c>
      <c r="O654">
        <v>285000</v>
      </c>
      <c r="P654" t="inlineStr">
        <is>
          <t>69c627231b42610015d750ba</t>
        </is>
      </c>
      <c r="Q654" t="inlineStr">
        <is>
          <t>🚫重复</t>
        </is>
      </c>
      <c r="R654" t="inlineStr">
        <is>
          <t>16周</t>
        </is>
      </c>
      <c r="S654" t="inlineStr">
        <is>
          <t>0.02</t>
        </is>
      </c>
      <c r="T654" t="inlineStr">
        <is>
          <t>服饰穿搭</t>
        </is>
      </c>
      <c r="U654" t="inlineStr">
        <is>
          <t>女装</t>
        </is>
      </c>
      <c r="V654" s="3">
        <v>46126.97719907408</v>
      </c>
      <c r="W654" t="inlineStr">
        <is>
          <t>2026-Q2</t>
        </is>
      </c>
    </row>
    <row r="655" ht="25.5" customHeight="1">
      <c r="A655" t="inlineStr">
        <is>
          <t>【48小时发】美式黑蓝牛仔裤显瘦宽松阔腿拖地裤【掉色介意慎拍】</t>
        </is>
      </c>
      <c r="B655" t="inlineStr">
        <is>
          <t>__upload_recvgMo2ZYMwrV.jpg</t>
        </is>
      </c>
      <c r="C655" s="2" t="str">
        <f>=HYPERLINK("https://xhslink.com/m/7HXf8LFoVi6", "https://xhslink.com/m/7HXf8LFoVi6")</f>
        <v>https://xhslink.com/m/7HXf8LFoVi6</v>
      </c>
      <c r="D655"/>
      <c r="E655">
        <v>41000</v>
      </c>
      <c r="F655">
        <v>199</v>
      </c>
      <c r="G655">
        <v>89.99</v>
      </c>
      <c r="H655">
        <v>500</v>
      </c>
      <c r="I655" t="inlineStr">
        <is>
          <t>牛仔裤</t>
        </is>
      </c>
      <c r="J655" t="inlineStr">
        <is>
          <t>0.01</t>
        </is>
      </c>
      <c r="K655" t="inlineStr">
        <is>
          <t>🔥低粉爆款</t>
        </is>
      </c>
      <c r="L655" t="inlineStr">
        <is>
          <t>一只雯的店</t>
        </is>
      </c>
      <c r="M655">
        <v>12000</v>
      </c>
      <c r="N655">
        <v>4.6</v>
      </c>
      <c r="O655">
        <v>259000</v>
      </c>
      <c r="P655" t="inlineStr">
        <is>
          <t>67c682197198db0001860175</t>
        </is>
      </c>
      <c r="Q655" t="inlineStr">
        <is>
          <t>🚫重复</t>
        </is>
      </c>
      <c r="R655" t="inlineStr">
        <is>
          <t>16周</t>
        </is>
      </c>
      <c r="S655" t="inlineStr">
        <is>
          <t>3.42</t>
        </is>
      </c>
      <c r="T655" t="inlineStr">
        <is>
          <t>服饰穿搭</t>
        </is>
      </c>
      <c r="U655" t="inlineStr">
        <is>
          <t>女装</t>
        </is>
      </c>
      <c r="V655" s="3">
        <v>46126.97719907408</v>
      </c>
      <c r="W655" t="inlineStr">
        <is>
          <t>2026-Q2</t>
        </is>
      </c>
    </row>
    <row r="656" ht="25.5" customHeight="1">
      <c r="A656" t="inlineStr">
        <is>
          <t>小满手作.原创果壳风铃摇铃包挂清新治愈系钥匙扣包包挂件饰品</t>
        </is>
      </c>
      <c r="B656" t="inlineStr">
        <is>
          <t>__upload_recvgMo2ZYC7LB.jpg</t>
        </is>
      </c>
      <c r="C656" s="2" t="str">
        <f>=HYPERLINK("https://xhslink.com/m/9mY7wnIUd0Z", "https://xhslink.com/m/9mY7wnIUd0Z")</f>
        <v>https://xhslink.com/m/9mY7wnIUd0Z</v>
      </c>
      <c r="D656"/>
      <c r="E656">
        <v>7092</v>
      </c>
      <c r="F656">
        <v>57.8</v>
      </c>
      <c r="G656">
        <v>19.9</v>
      </c>
      <c r="H656">
        <v>500</v>
      </c>
      <c r="I656" t="inlineStr">
        <is>
          <t>手工</t>
        </is>
      </c>
      <c r="J656" t="inlineStr">
        <is>
          <t>0.07</t>
        </is>
      </c>
      <c r="K656" t="inlineStr">
        <is>
          <t>🔥低粉爆款</t>
        </is>
      </c>
      <c r="L656" t="inlineStr">
        <is>
          <t>小满手作研究所的店</t>
        </is>
      </c>
      <c r="M656">
        <v>445</v>
      </c>
      <c r="N656">
        <v>4.49</v>
      </c>
      <c r="O656">
        <v>7294</v>
      </c>
      <c r="P656" t="inlineStr">
        <is>
          <t>68d25335d6d2a60001ad716e</t>
        </is>
      </c>
      <c r="Q656"/>
      <c r="R656" t="inlineStr">
        <is>
          <t>16周</t>
        </is>
      </c>
      <c r="S656" t="inlineStr">
        <is>
          <t>15.94</t>
        </is>
      </c>
      <c r="T656" t="inlineStr">
        <is>
          <t>服饰穿搭</t>
        </is>
      </c>
      <c r="U656" t="inlineStr">
        <is>
          <t>鞋靴箱包</t>
        </is>
      </c>
      <c r="V656" s="3">
        <v>46126.97719907408</v>
      </c>
      <c r="W656" t="inlineStr">
        <is>
          <t>2026-Q2</t>
        </is>
      </c>
    </row>
    <row r="657" ht="25.5" customHeight="1">
      <c r="A657" t="inlineStr">
        <is>
          <t>『微胖小白花存子T』正肩收腰藏拜拜肉显瘦短袖/微胖韩系夏季上衣</t>
        </is>
      </c>
      <c r="B657" t="inlineStr">
        <is>
          <t>__upload_recvgSimhWUSHd.jpg</t>
        </is>
      </c>
      <c r="C657" s="2" t="str">
        <f>=HYPERLINK("https://xhslink.com/m/4ZeZ6GIUb3l", "https://xhslink.com/m/4ZeZ6GIUb3l")</f>
        <v>https://xhslink.com/m/4ZeZ6GIUb3l</v>
      </c>
      <c r="D657"/>
      <c r="E657">
        <v>451</v>
      </c>
      <c r="F657">
        <v>79</v>
      </c>
      <c r="G657"/>
      <c r="H657">
        <v>500</v>
      </c>
      <c r="I657" t="inlineStr">
        <is>
          <t>短袖</t>
        </is>
      </c>
      <c r="J657" t="inlineStr">
        <is>
          <t>1.11</t>
        </is>
      </c>
      <c r="K657"/>
      <c r="L657" t="inlineStr">
        <is>
          <t>158的微胖佳崽的店</t>
        </is>
      </c>
      <c r="M657">
        <v>118000</v>
      </c>
      <c r="N657">
        <v>4.43</v>
      </c>
      <c r="O657">
        <v>274000</v>
      </c>
      <c r="P657" t="inlineStr">
        <is>
          <t>69da38986932b70001486528</t>
        </is>
      </c>
      <c r="Q657" t="inlineStr">
        <is>
          <t>🚫重复</t>
        </is>
      </c>
      <c r="R657" t="inlineStr">
        <is>
          <t>16周</t>
        </is>
      </c>
      <c r="S657" t="inlineStr">
        <is>
          <t>0.00</t>
        </is>
      </c>
      <c r="T657" t="inlineStr">
        <is>
          <t>服饰穿搭</t>
        </is>
      </c>
      <c r="U657" t="inlineStr">
        <is>
          <t>女装</t>
        </is>
      </c>
      <c r="V657" s="3">
        <v>46127.98767361111</v>
      </c>
      <c r="W657" t="inlineStr">
        <is>
          <t>2026-Q2</t>
        </is>
      </c>
    </row>
    <row r="658" ht="25.5" customHeight="1">
      <c r="A658" t="inlineStr">
        <is>
          <t>运动套装女显瘦夏瑜伽服羽毛球v领短袖宽松透气休闲学生党两件套</t>
        </is>
      </c>
      <c r="B658" t="inlineStr">
        <is>
          <t>__upload_recvgSimhW3al7.jpg</t>
        </is>
      </c>
      <c r="C658" s="2" t="str">
        <f>=HYPERLINK("https://xhslink.com/m/5kaPIYPjKsy", "https://xhslink.com/m/5kaPIYPjKsy")</f>
        <v>https://xhslink.com/m/5kaPIYPjKsy</v>
      </c>
      <c r="D658"/>
      <c r="E658">
        <v>24000</v>
      </c>
      <c r="F658">
        <v>49.9</v>
      </c>
      <c r="G658">
        <v>29.9</v>
      </c>
      <c r="H658">
        <v>500</v>
      </c>
      <c r="I658" t="inlineStr">
        <is>
          <t>短袖</t>
        </is>
      </c>
      <c r="J658" t="inlineStr">
        <is>
          <t>0.02</t>
        </is>
      </c>
      <c r="K658"/>
      <c r="L658" t="inlineStr">
        <is>
          <t>云感Yoga瑜伽的店</t>
        </is>
      </c>
      <c r="M658">
        <v>32000</v>
      </c>
      <c r="N658">
        <v>4.51</v>
      </c>
      <c r="O658">
        <v>344000</v>
      </c>
      <c r="P658" t="inlineStr">
        <is>
          <t>686fb94e64e96a0001c42402</t>
        </is>
      </c>
      <c r="Q658" t="inlineStr">
        <is>
          <t>🚫重复</t>
        </is>
      </c>
      <c r="R658" t="inlineStr">
        <is>
          <t>16周</t>
        </is>
      </c>
      <c r="S658" t="inlineStr">
        <is>
          <t>0.75</t>
        </is>
      </c>
      <c r="T658" t="inlineStr">
        <is>
          <t>运动潮玩</t>
        </is>
      </c>
      <c r="U658" t="inlineStr">
        <is>
          <t>运动户外装备</t>
        </is>
      </c>
      <c r="V658" s="3">
        <v>46127.98767361111</v>
      </c>
      <c r="W658" t="inlineStr">
        <is>
          <t>2026-Q2</t>
        </is>
      </c>
    </row>
    <row r="659" ht="25.5" customHeight="1">
      <c r="A659" t="inlineStr">
        <is>
          <t>美女日常莱赛尔面料裸感斜肩纯欲修身短袖T恤夏</t>
        </is>
      </c>
      <c r="B659" t="inlineStr">
        <is>
          <t>__upload_recvgSimhWdoij.jpg</t>
        </is>
      </c>
      <c r="C659" s="2" t="str">
        <f>=HYPERLINK("https://xhslink.com/m/63SuZ0ypLG0", "https://xhslink.com/m/63SuZ0ypLG0")</f>
        <v>https://xhslink.com/m/63SuZ0ypLG0</v>
      </c>
      <c r="D659"/>
      <c r="E659">
        <v>16000</v>
      </c>
      <c r="F659">
        <v>59.9</v>
      </c>
      <c r="G659"/>
      <c r="H659">
        <v>500</v>
      </c>
      <c r="I659" t="inlineStr">
        <is>
          <t>短袖</t>
        </is>
      </c>
      <c r="J659" t="inlineStr">
        <is>
          <t>0.03</t>
        </is>
      </c>
      <c r="K659"/>
      <c r="L659" t="inlineStr">
        <is>
          <t>PIYU STUDIO的店</t>
        </is>
      </c>
      <c r="M659">
        <v>21000</v>
      </c>
      <c r="N659">
        <v>4.53</v>
      </c>
      <c r="O659">
        <v>80000</v>
      </c>
      <c r="P659" t="inlineStr">
        <is>
          <t>68cd790739f90c00011ded6b</t>
        </is>
      </c>
      <c r="Q659"/>
      <c r="R659" t="inlineStr">
        <is>
          <t>16周</t>
        </is>
      </c>
      <c r="S659" t="inlineStr">
        <is>
          <t>0.76</t>
        </is>
      </c>
      <c r="T659" t="inlineStr">
        <is>
          <t>服饰穿搭</t>
        </is>
      </c>
      <c r="U659" t="inlineStr">
        <is>
          <t>女装</t>
        </is>
      </c>
      <c r="V659" s="3">
        <v>46127.98767361111</v>
      </c>
      <c r="W659" t="inlineStr">
        <is>
          <t>2026-Q2</t>
        </is>
      </c>
    </row>
    <row r="660" ht="25.5" customHeight="1">
      <c r="A660" t="inlineStr">
        <is>
          <t>基础款圆领正肩短袖t恤纯棉打底体恤显瘦修身气质大码上衣女</t>
        </is>
      </c>
      <c r="B660" t="inlineStr">
        <is>
          <t>__upload_recvgSimhWsHWH.jpg</t>
        </is>
      </c>
      <c r="C660" s="2" t="str">
        <f>=HYPERLINK("https://xhslink.com/m/6VtI6Wak84M", "https://xhslink.com/m/6VtI6Wak84M")</f>
        <v>https://xhslink.com/m/6VtI6Wak84M</v>
      </c>
      <c r="D660"/>
      <c r="E660">
        <v>122000</v>
      </c>
      <c r="F660">
        <v>69</v>
      </c>
      <c r="G660"/>
      <c r="H660">
        <v>500</v>
      </c>
      <c r="I660" t="inlineStr">
        <is>
          <t>短袖</t>
        </is>
      </c>
      <c r="J660" t="inlineStr">
        <is>
          <t>0.00</t>
        </is>
      </c>
      <c r="K660"/>
      <c r="L660" t="inlineStr">
        <is>
          <t>夕文的店</t>
        </is>
      </c>
      <c r="M660">
        <v>58000</v>
      </c>
      <c r="N660">
        <v>4.65</v>
      </c>
      <c r="O660">
        <v>291000</v>
      </c>
      <c r="P660" t="inlineStr">
        <is>
          <t>65f31b855563ee000117cc18</t>
        </is>
      </c>
      <c r="Q660" t="inlineStr">
        <is>
          <t>🚫重复</t>
        </is>
      </c>
      <c r="R660" t="inlineStr">
        <is>
          <t>16周</t>
        </is>
      </c>
      <c r="S660" t="inlineStr">
        <is>
          <t>2.10</t>
        </is>
      </c>
      <c r="T660" t="inlineStr">
        <is>
          <t>服饰穿搭</t>
        </is>
      </c>
      <c r="U660" t="inlineStr">
        <is>
          <t>女装</t>
        </is>
      </c>
      <c r="V660" s="3">
        <v>46127.98767361111</v>
      </c>
      <c r="W660" t="inlineStr">
        <is>
          <t>2026-Q2</t>
        </is>
      </c>
    </row>
    <row r="661" ht="25.5" customHeight="1">
      <c r="A661" t="inlineStr">
        <is>
          <t>大V领掐腰t正肩显瘦短袖显身材薄款天丝上衣女</t>
        </is>
      </c>
      <c r="B661" t="inlineStr">
        <is>
          <t>__upload_recvgSimhWjOWk.jpg</t>
        </is>
      </c>
      <c r="C661" s="2" t="str">
        <f>=HYPERLINK("https://xhslink.com/m/2YEZA9JmQrI", "https://xhslink.com/m/2YEZA9JmQrI")</f>
        <v>https://xhslink.com/m/2YEZA9JmQrI</v>
      </c>
      <c r="D661"/>
      <c r="E661">
        <v>46000</v>
      </c>
      <c r="F661">
        <v>52.8</v>
      </c>
      <c r="G661">
        <v>42.8</v>
      </c>
      <c r="H661">
        <v>500</v>
      </c>
      <c r="I661" t="inlineStr">
        <is>
          <t>短袖</t>
        </is>
      </c>
      <c r="J661" t="inlineStr">
        <is>
          <t>0.01</t>
        </is>
      </c>
      <c r="K661"/>
      <c r="L661" t="inlineStr">
        <is>
          <t>1mo饼的店</t>
        </is>
      </c>
      <c r="M661">
        <v>97000</v>
      </c>
      <c r="N661">
        <v>4.66</v>
      </c>
      <c r="O661">
        <v>477000</v>
      </c>
      <c r="P661" t="inlineStr">
        <is>
          <t>69b977959c14650001e3e8e7</t>
        </is>
      </c>
      <c r="Q661" t="inlineStr">
        <is>
          <t>🚫重复</t>
        </is>
      </c>
      <c r="R661" t="inlineStr">
        <is>
          <t>16周</t>
        </is>
      </c>
      <c r="S661" t="inlineStr">
        <is>
          <t>0.47</t>
        </is>
      </c>
      <c r="T661" t="inlineStr">
        <is>
          <t>服饰穿搭</t>
        </is>
      </c>
      <c r="U661" t="inlineStr">
        <is>
          <t>女装</t>
        </is>
      </c>
      <c r="V661" s="3">
        <v>46127.98767361111</v>
      </c>
      <c r="W661" t="inlineStr">
        <is>
          <t>2026-Q2</t>
        </is>
      </c>
    </row>
    <row r="662" ht="25.5" customHeight="1">
      <c r="A662" t="inlineStr">
        <is>
          <t>【天丝长绒棉】品质挂！！凉感圆领修身显瘦短袖T恤女韩版</t>
        </is>
      </c>
      <c r="B662" t="inlineStr">
        <is>
          <t>__upload_recvgSimhWDxuo.jpg</t>
        </is>
      </c>
      <c r="C662" s="2" t="str">
        <f>=HYPERLINK("https://xhslink.com/m/7ZVHbWUTUjc", "https://xhslink.com/m/7ZVHbWUTUjc")</f>
        <v>https://xhslink.com/m/7ZVHbWUTUjc</v>
      </c>
      <c r="D662"/>
      <c r="E662">
        <v>2698</v>
      </c>
      <c r="F662">
        <v>78.8</v>
      </c>
      <c r="G662">
        <v>29.8</v>
      </c>
      <c r="H662">
        <v>500</v>
      </c>
      <c r="I662" t="inlineStr">
        <is>
          <t>短袖</t>
        </is>
      </c>
      <c r="J662" t="inlineStr">
        <is>
          <t>0.19</t>
        </is>
      </c>
      <c r="K662"/>
      <c r="L662" t="inlineStr">
        <is>
          <t>韩圆圆OVO的店</t>
        </is>
      </c>
      <c r="M662">
        <v>14000</v>
      </c>
      <c r="N662">
        <v>4.51</v>
      </c>
      <c r="O662">
        <v>351000</v>
      </c>
      <c r="P662" t="inlineStr">
        <is>
          <t>69b3d54a5e5f05000118b2f3</t>
        </is>
      </c>
      <c r="Q662" t="inlineStr">
        <is>
          <t>🚫重复</t>
        </is>
      </c>
      <c r="R662" t="inlineStr">
        <is>
          <t>16周</t>
        </is>
      </c>
      <c r="S662" t="inlineStr">
        <is>
          <t>0.19</t>
        </is>
      </c>
      <c r="T662" t="inlineStr">
        <is>
          <t>服饰穿搭</t>
        </is>
      </c>
      <c r="U662" t="inlineStr">
        <is>
          <t>女装</t>
        </is>
      </c>
      <c r="V662" s="3">
        <v>46127.98767361111</v>
      </c>
      <c r="W662" t="inlineStr">
        <is>
          <t>2026-Q2</t>
        </is>
      </c>
    </row>
    <row r="663" ht="25.5" customHeight="1">
      <c r="A663" t="inlineStr">
        <is>
          <t>夏季防紫外线可折叠大檐草帽女显脸小网红同款出游度假百搭遮阳帽</t>
        </is>
      </c>
      <c r="B663" t="inlineStr">
        <is>
          <t>__upload_recvgSimhWSN0p.jpg</t>
        </is>
      </c>
      <c r="C663" s="2" t="str">
        <f>=HYPERLINK("https://xhslink.com/m/8JPFWSCwaM2", "https://xhslink.com/m/8JPFWSCwaM2")</f>
        <v>https://xhslink.com/m/8JPFWSCwaM2</v>
      </c>
      <c r="D663"/>
      <c r="E663">
        <v>920</v>
      </c>
      <c r="F663">
        <v>68</v>
      </c>
      <c r="G663"/>
      <c r="H663">
        <v>500</v>
      </c>
      <c r="I663" t="inlineStr">
        <is>
          <t>遮阳帽</t>
        </is>
      </c>
      <c r="J663" t="inlineStr">
        <is>
          <t>0.54</t>
        </is>
      </c>
      <c r="K663"/>
      <c r="L663" t="inlineStr">
        <is>
          <t>大大轻奢配饰的店</t>
        </is>
      </c>
      <c r="M663">
        <v>22000</v>
      </c>
      <c r="N663">
        <v>4.74</v>
      </c>
      <c r="O663">
        <v>281000</v>
      </c>
      <c r="P663" t="inlineStr">
        <is>
          <t>69ce8adcc0b0790015675947</t>
        </is>
      </c>
      <c r="Q663" t="inlineStr">
        <is>
          <t>🚫重复</t>
        </is>
      </c>
      <c r="R663" t="inlineStr">
        <is>
          <t>16周</t>
        </is>
      </c>
      <c r="S663" t="inlineStr">
        <is>
          <t>0.04</t>
        </is>
      </c>
      <c r="T663" t="inlineStr">
        <is>
          <t>服饰穿搭</t>
        </is>
      </c>
      <c r="U663" t="inlineStr">
        <is>
          <t>鞋靴箱包</t>
        </is>
      </c>
      <c r="V663" s="3">
        <v>46127.98767361111</v>
      </c>
      <c r="W663" t="inlineStr">
        <is>
          <t>2026-Q2</t>
        </is>
      </c>
    </row>
    <row r="664" ht="25.5" customHeight="1">
      <c r="A664" t="inlineStr">
        <is>
          <t>Uno Dos Tres · “必入款”！自带收纳包的100%色纺亚麻藕粉色系慵懒单肩包棉布袋</t>
        </is>
      </c>
      <c r="B664" t="inlineStr">
        <is>
          <t>__upload_recvgSimhWy5ME.jpg</t>
        </is>
      </c>
      <c r="C664" s="2" t="str">
        <f>=HYPERLINK("https://xhslink.com/m/9DJzDj7p92h", "https://xhslink.com/m/9DJzDj7p92h")</f>
        <v>https://xhslink.com/m/9DJzDj7p92h</v>
      </c>
      <c r="D664"/>
      <c r="E664">
        <v>1830</v>
      </c>
      <c r="F664">
        <v>289</v>
      </c>
      <c r="G664"/>
      <c r="H664">
        <v>500</v>
      </c>
      <c r="I664" t="inlineStr">
        <is>
          <t>单肩包</t>
        </is>
      </c>
      <c r="J664" t="inlineStr">
        <is>
          <t>0.27</t>
        </is>
      </c>
      <c r="K664"/>
      <c r="L664" t="inlineStr">
        <is>
          <t>Uno Dos Tres的店</t>
        </is>
      </c>
      <c r="M664">
        <v>4555</v>
      </c>
      <c r="N664">
        <v>4.73</v>
      </c>
      <c r="O664">
        <v>7539</v>
      </c>
      <c r="P664" t="inlineStr">
        <is>
          <t>67ffb46581dea70001d717ea</t>
        </is>
      </c>
      <c r="Q664"/>
      <c r="R664" t="inlineStr">
        <is>
          <t>16周</t>
        </is>
      </c>
      <c r="S664" t="inlineStr">
        <is>
          <t>0.40</t>
        </is>
      </c>
      <c r="T664" t="inlineStr">
        <is>
          <t>家居生活</t>
        </is>
      </c>
      <c r="U664" t="inlineStr">
        <is>
          <t>家居日用</t>
        </is>
      </c>
      <c r="V664" s="3">
        <v>46127.98767361111</v>
      </c>
      <c r="W664" t="inlineStr">
        <is>
          <t>2026-Q2</t>
        </is>
      </c>
    </row>
    <row r="665" ht="25.5" customHeight="1">
      <c r="A665" t="inlineStr">
        <is>
          <t>宽松直筒阔腿裤女2026新款春秋垂感显瘦高腰休闲运动瑜伽长裤</t>
        </is>
      </c>
      <c r="B665" t="inlineStr">
        <is>
          <t>__upload_recvgY7N5zIrlY.jpg</t>
        </is>
      </c>
      <c r="C665" s="2" t="str">
        <f>=HYPERLINK("https://xhslink.com/m/1MJmfH2uZ7t", "https://xhslink.com/m/1MJmfH2uZ7t")</f>
        <v>https://xhslink.com/m/1MJmfH2uZ7t</v>
      </c>
      <c r="D665"/>
      <c r="E665">
        <v>27000</v>
      </c>
      <c r="F665">
        <v>59.9</v>
      </c>
      <c r="G665">
        <v>39.9</v>
      </c>
      <c r="H665">
        <v>500</v>
      </c>
      <c r="I665" t="inlineStr">
        <is>
          <t>裤子</t>
        </is>
      </c>
      <c r="J665" t="inlineStr">
        <is>
          <t>0.02</t>
        </is>
      </c>
      <c r="K665"/>
      <c r="L665" t="inlineStr">
        <is>
          <t>云感Yoga瑜伽的店</t>
        </is>
      </c>
      <c r="M665">
        <v>32000</v>
      </c>
      <c r="N665">
        <v>4.53</v>
      </c>
      <c r="O665">
        <v>346000</v>
      </c>
      <c r="P665" t="inlineStr">
        <is>
          <t>69bbc269ffa26d0001610907</t>
        </is>
      </c>
      <c r="Q665" t="inlineStr">
        <is>
          <t>🚫重复</t>
        </is>
      </c>
      <c r="R665" t="inlineStr">
        <is>
          <t>16周</t>
        </is>
      </c>
      <c r="S665" t="inlineStr">
        <is>
          <t>0.84</t>
        </is>
      </c>
      <c r="T665" t="inlineStr">
        <is>
          <t>服饰穿搭</t>
        </is>
      </c>
      <c r="U665" t="inlineStr">
        <is>
          <t>女装</t>
        </is>
      </c>
      <c r="V665" s="3">
        <v>46128.98467592592</v>
      </c>
      <c r="W665" t="inlineStr">
        <is>
          <t>2026-Q2</t>
        </is>
      </c>
    </row>
    <row r="666" ht="25.5" customHeight="1">
      <c r="A666" t="inlineStr">
        <is>
          <t>【正版 出版社直发】儿童好奇心大百科 思考世界的孩子科普4-12岁</t>
        </is>
      </c>
      <c r="B666" t="inlineStr">
        <is>
          <t>__upload_recvgY7N5z54UN.jpg</t>
        </is>
      </c>
      <c r="C666" s="2" t="str">
        <f>=HYPERLINK("https://xhslink.com/m/1E8sdp50sqG", "https://xhslink.com/m/1E8sdp50sqG")</f>
        <v>https://xhslink.com/m/1E8sdp50sqG</v>
      </c>
      <c r="D666"/>
      <c r="E666">
        <v>70000</v>
      </c>
      <c r="F666">
        <v>65</v>
      </c>
      <c r="G666"/>
      <c r="H666">
        <v>500</v>
      </c>
      <c r="I666" t="inlineStr">
        <is>
          <t>科普百科</t>
        </is>
      </c>
      <c r="J666" t="inlineStr">
        <is>
          <t>0.01</t>
        </is>
      </c>
      <c r="K666"/>
      <c r="L666" t="inlineStr">
        <is>
          <t>小宇的书屋的店</t>
        </is>
      </c>
      <c r="M666">
        <v>52000</v>
      </c>
      <c r="N666">
        <v>4.62</v>
      </c>
      <c r="O666">
        <v>493000</v>
      </c>
      <c r="P666" t="inlineStr">
        <is>
          <t>66c936ca0cfd4b0001da7d9d</t>
        </is>
      </c>
      <c r="Q666" t="inlineStr">
        <is>
          <t>🚫重复</t>
        </is>
      </c>
      <c r="R666" t="inlineStr">
        <is>
          <t>16周</t>
        </is>
      </c>
      <c r="S666" t="inlineStr">
        <is>
          <t>1.35</t>
        </is>
      </c>
      <c r="T666" t="inlineStr">
        <is>
          <t>母婴亲子</t>
        </is>
      </c>
      <c r="U666" t="inlineStr">
        <is>
          <t>童装童鞋</t>
        </is>
      </c>
      <c r="V666" s="3">
        <v>46128.98467592592</v>
      </c>
      <c r="W666" t="inlineStr">
        <is>
          <t>2026-Q2</t>
        </is>
      </c>
    </row>
    <row r="667" ht="25.5" customHeight="1">
      <c r="A667" t="inlineStr">
        <is>
          <t>【亏本冲量9.6包邮】必吃榜！办公室零食果肉脯追剧解馋短保</t>
        </is>
      </c>
      <c r="B667" t="inlineStr">
        <is>
          <t>__upload_recvgY7N5zAzJm.jpg</t>
        </is>
      </c>
      <c r="C667" s="2" t="str">
        <f>=HYPERLINK("https://xhslink.com/m/7Q1DBBcWkRa", "https://xhslink.com/m/7Q1DBBcWkRa")</f>
        <v>https://xhslink.com/m/7Q1DBBcWkRa</v>
      </c>
      <c r="D667"/>
      <c r="E667">
        <v>20000</v>
      </c>
      <c r="F667">
        <v>33.8</v>
      </c>
      <c r="G667">
        <v>18.8</v>
      </c>
      <c r="H667">
        <v>500</v>
      </c>
      <c r="I667" t="inlineStr">
        <is>
          <t>卤味肉干</t>
        </is>
      </c>
      <c r="J667" t="inlineStr">
        <is>
          <t>0.03</t>
        </is>
      </c>
      <c r="K667" t="inlineStr">
        <is>
          <t>🔥低粉爆款</t>
        </is>
      </c>
      <c r="L667" t="inlineStr">
        <is>
          <t>友喜柿發笙的店</t>
        </is>
      </c>
      <c r="M667">
        <v>126</v>
      </c>
      <c r="N667">
        <v>4.63</v>
      </c>
      <c r="O667">
        <v>19000</v>
      </c>
      <c r="P667" t="inlineStr">
        <is>
          <t>6909792ec6a9770001ee1bb9</t>
        </is>
      </c>
      <c r="Q667" t="inlineStr">
        <is>
          <t>🚫重复</t>
        </is>
      </c>
      <c r="R667" t="inlineStr">
        <is>
          <t>16周</t>
        </is>
      </c>
      <c r="S667" t="inlineStr">
        <is>
          <t>158.73</t>
        </is>
      </c>
      <c r="T667" t="inlineStr">
        <is>
          <t>美食滋补</t>
        </is>
      </c>
      <c r="U667" t="inlineStr">
        <is>
          <t>休闲零食</t>
        </is>
      </c>
      <c r="V667" s="3">
        <v>46128.98467592592</v>
      </c>
      <c r="W667" t="inlineStr">
        <is>
          <t>2026-Q2</t>
        </is>
      </c>
    </row>
    <row r="668" ht="25.5" customHeight="1">
      <c r="A668" t="inlineStr">
        <is>
          <t>嗨山姆先森 · 手工厚切黄油吐司新鲜早餐奶香烘焙优选原味浓郁面包早八人儿童</t>
        </is>
      </c>
      <c r="B668" t="inlineStr">
        <is>
          <t>__upload_recvgY7N5zUOXn.jpg</t>
        </is>
      </c>
      <c r="C668" s="2" t="str">
        <f>=HYPERLINK("https://xhslink.com/m/7vDmKmdiZjv", "https://xhslink.com/m/7vDmKmdiZjv")</f>
        <v>https://xhslink.com/m/7vDmKmdiZjv</v>
      </c>
      <c r="D668"/>
      <c r="E668">
        <v>97000</v>
      </c>
      <c r="F668">
        <v>19.9</v>
      </c>
      <c r="G668"/>
      <c r="H668">
        <v>500</v>
      </c>
      <c r="I668" t="inlineStr">
        <is>
          <t>早餐面包</t>
        </is>
      </c>
      <c r="J668" t="inlineStr">
        <is>
          <t>0.01</t>
        </is>
      </c>
      <c r="K668" t="inlineStr">
        <is>
          <t>🔥低粉爆款</t>
        </is>
      </c>
      <c r="L668" t="inlineStr">
        <is>
          <t>嗨山姆先森食品旗舰店</t>
        </is>
      </c>
      <c r="M668">
        <v>7001</v>
      </c>
      <c r="N668">
        <v>4.65</v>
      </c>
      <c r="O668">
        <v>118000</v>
      </c>
      <c r="P668" t="inlineStr">
        <is>
          <t>6960a5048510c00001eac6e1</t>
        </is>
      </c>
      <c r="Q668" t="inlineStr">
        <is>
          <t>🚫重复</t>
        </is>
      </c>
      <c r="R668" t="inlineStr">
        <is>
          <t>16周</t>
        </is>
      </c>
      <c r="S668" t="inlineStr">
        <is>
          <t>13.86</t>
        </is>
      </c>
      <c r="T668" t="inlineStr">
        <is>
          <t>美食滋补</t>
        </is>
      </c>
      <c r="U668" t="inlineStr">
        <is>
          <t>休闲零食</t>
        </is>
      </c>
      <c r="V668" s="3">
        <v>46128.98467592592</v>
      </c>
      <c r="W668" t="inlineStr">
        <is>
          <t>2026-Q2</t>
        </is>
      </c>
    </row>
    <row r="669" ht="25.5" customHeight="1">
      <c r="A669" t="inlineStr">
        <is>
          <t>邻小言 · 【第四代吐司】新品苹果吐司无添加面粉新鲜短保高纤维果糕</t>
        </is>
      </c>
      <c r="B669" t="inlineStr">
        <is>
          <t>__upload_recvgY7N5zWaUp.jpg</t>
        </is>
      </c>
      <c r="C669" s="2" t="str">
        <f>=HYPERLINK("https://xhslink.com/m/94xQhvAeUJu", "https://xhslink.com/m/94xQhvAeUJu")</f>
        <v>https://xhslink.com/m/94xQhvAeUJu</v>
      </c>
      <c r="D669"/>
      <c r="E669">
        <v>25000</v>
      </c>
      <c r="F669">
        <v>33.8</v>
      </c>
      <c r="G669"/>
      <c r="H669">
        <v>500</v>
      </c>
      <c r="I669" t="inlineStr">
        <is>
          <t>早餐面包</t>
        </is>
      </c>
      <c r="J669" t="inlineStr">
        <is>
          <t>0.02</t>
        </is>
      </c>
      <c r="K669" t="inlineStr">
        <is>
          <t>🔥低粉爆款</t>
        </is>
      </c>
      <c r="L669" t="inlineStr">
        <is>
          <t>邻小言苹果吐司的店</t>
        </is>
      </c>
      <c r="M669">
        <v>6359</v>
      </c>
      <c r="N669">
        <v>3.74</v>
      </c>
      <c r="O669">
        <v>27000</v>
      </c>
      <c r="P669" t="inlineStr">
        <is>
          <t>68ca8e95e8b4ad00016b65a3</t>
        </is>
      </c>
      <c r="Q669"/>
      <c r="R669" t="inlineStr">
        <is>
          <t>16周</t>
        </is>
      </c>
      <c r="S669" t="inlineStr">
        <is>
          <t>3.93</t>
        </is>
      </c>
      <c r="T669" t="inlineStr">
        <is>
          <t>美食滋补</t>
        </is>
      </c>
      <c r="U669" t="inlineStr">
        <is>
          <t>休闲零食</t>
        </is>
      </c>
      <c r="V669" s="3">
        <v>46128.98467592592</v>
      </c>
      <c r="W669" t="inlineStr">
        <is>
          <t>2026-Q2</t>
        </is>
      </c>
    </row>
    <row r="670" ht="25.5" customHeight="1">
      <c r="A670" t="inlineStr">
        <is>
          <t>【新品冲量 9.9发4枚】全麦面包羽衣甘蓝肉松黑芝麻椰蓉代餐欧包</t>
        </is>
      </c>
      <c r="B670" t="inlineStr">
        <is>
          <t>__upload_recvgY7N5zgrWz.jpg</t>
        </is>
      </c>
      <c r="C670" s="2" t="str">
        <f>=HYPERLINK("https://xhslink.com/m/58eQbawFxW4", "https://xhslink.com/m/58eQbawFxW4")</f>
        <v>https://xhslink.com/m/58eQbawFxW4</v>
      </c>
      <c r="D670"/>
      <c r="E670">
        <v>3813</v>
      </c>
      <c r="F670">
        <v>19.9</v>
      </c>
      <c r="G670">
        <v>9.9</v>
      </c>
      <c r="H670">
        <v>500</v>
      </c>
      <c r="I670" t="inlineStr">
        <is>
          <t>早餐面包</t>
        </is>
      </c>
      <c r="J670" t="inlineStr">
        <is>
          <t>0.13</t>
        </is>
      </c>
      <c r="K670" t="inlineStr">
        <is>
          <t>🔥低粉爆款</t>
        </is>
      </c>
      <c r="L670" t="inlineStr">
        <is>
          <t>半甜集序的店</t>
        </is>
      </c>
      <c r="M670">
        <v>1044</v>
      </c>
      <c r="N670">
        <v>4.67</v>
      </c>
      <c r="O670">
        <v>17000</v>
      </c>
      <c r="P670" t="inlineStr">
        <is>
          <t>69c54096c759120001cf197a</t>
        </is>
      </c>
      <c r="Q670" t="inlineStr">
        <is>
          <t>🚫重复</t>
        </is>
      </c>
      <c r="R670" t="inlineStr">
        <is>
          <t>16周</t>
        </is>
      </c>
      <c r="S670" t="inlineStr">
        <is>
          <t>3.65</t>
        </is>
      </c>
      <c r="T670" t="inlineStr">
        <is>
          <t>美食滋补</t>
        </is>
      </c>
      <c r="U670" t="inlineStr">
        <is>
          <t>休闲零食</t>
        </is>
      </c>
      <c r="V670" s="3">
        <v>46128.98467592592</v>
      </c>
      <c r="W670" t="inlineStr">
        <is>
          <t>2026-Q2</t>
        </is>
      </c>
    </row>
    <row r="671" ht="25.5" customHeight="1">
      <c r="A671" t="inlineStr">
        <is>
          <t>【全季/喜茶同款】室内藤条香薰挥发液持久扩香清新空气无火精油</t>
        </is>
      </c>
      <c r="B671" t="inlineStr">
        <is>
          <t>__upload_recvh40CU0SrJs.jpg</t>
        </is>
      </c>
      <c r="C671" s="2" t="str">
        <f>=HYPERLINK("https://xhslink.com/m/7U8rCx5ugTl", "https://xhslink.com/m/7U8rCx5ugTl")</f>
        <v>https://xhslink.com/m/7U8rCx5ugTl</v>
      </c>
      <c r="D671"/>
      <c r="E671">
        <v>4930</v>
      </c>
      <c r="F671">
        <v>36.9</v>
      </c>
      <c r="G671"/>
      <c r="H671">
        <v>500</v>
      </c>
      <c r="I671" t="inlineStr">
        <is>
          <t>无火香薰</t>
        </is>
      </c>
      <c r="J671" t="inlineStr">
        <is>
          <t>0.10</t>
        </is>
      </c>
      <c r="K671" t="inlineStr">
        <is>
          <t>🔥低粉爆款</t>
        </is>
      </c>
      <c r="L671" t="inlineStr">
        <is>
          <t>栖禾香薰的店</t>
        </is>
      </c>
      <c r="M671">
        <v>596</v>
      </c>
      <c r="N671">
        <v>4.76</v>
      </c>
      <c r="O671">
        <v>4972</v>
      </c>
      <c r="P671" t="inlineStr">
        <is>
          <t>69aedbbd87c18600169946e1</t>
        </is>
      </c>
      <c r="Q671"/>
      <c r="R671" t="inlineStr">
        <is>
          <t>16周</t>
        </is>
      </c>
      <c r="S671" t="inlineStr">
        <is>
          <t>8.27</t>
        </is>
      </c>
      <c r="T671" t="inlineStr">
        <is>
          <t>家居生活</t>
        </is>
      </c>
      <c r="U671" t="inlineStr">
        <is>
          <t>家居日用</t>
        </is>
      </c>
      <c r="V671" s="3">
        <v>46129.991064814814</v>
      </c>
      <c r="W671" t="inlineStr">
        <is>
          <t>2026-Q2</t>
        </is>
      </c>
    </row>
    <row r="672" ht="25.5" customHeight="1">
      <c r="A672" t="inlineStr">
        <is>
          <t>【新鲜冰淇淋红薯】粉糯香甜紫薯地瓜沙地红薯蔬菜水果番薯</t>
        </is>
      </c>
      <c r="B672" t="inlineStr">
        <is>
          <t>__upload_recvh40CU0jYuD.jpg</t>
        </is>
      </c>
      <c r="C672" s="2" t="str">
        <f>=HYPERLINK("https://xhslink.com/m/4RcetLNP44t", "https://xhslink.com/m/4RcetLNP44t")</f>
        <v>https://xhslink.com/m/4RcetLNP44t</v>
      </c>
      <c r="D672"/>
      <c r="E672">
        <v>67000</v>
      </c>
      <c r="F672">
        <v>58.9</v>
      </c>
      <c r="G672">
        <v>49.9</v>
      </c>
      <c r="H672">
        <v>500</v>
      </c>
      <c r="I672" t="inlineStr">
        <is>
          <t>蔬菜</t>
        </is>
      </c>
      <c r="J672" t="inlineStr">
        <is>
          <t>0.01</t>
        </is>
      </c>
      <c r="K672" t="inlineStr">
        <is>
          <t>🔥低粉爆款</t>
        </is>
      </c>
      <c r="L672" t="inlineStr">
        <is>
          <t>小妹果园的店</t>
        </is>
      </c>
      <c r="M672">
        <v>5535</v>
      </c>
      <c r="N672">
        <v>4.68</v>
      </c>
      <c r="O672">
        <v>102000</v>
      </c>
      <c r="P672" t="inlineStr">
        <is>
          <t>6785e1d303b5e400014ddfee</t>
        </is>
      </c>
      <c r="Q672" t="inlineStr">
        <is>
          <t>🚫重复</t>
        </is>
      </c>
      <c r="R672" t="inlineStr">
        <is>
          <t>16周</t>
        </is>
      </c>
      <c r="S672" t="inlineStr">
        <is>
          <t>12.10</t>
        </is>
      </c>
      <c r="T672" t="inlineStr">
        <is>
          <t>美食滋补</t>
        </is>
      </c>
      <c r="U672" t="inlineStr">
        <is>
          <t>生鲜特产</t>
        </is>
      </c>
      <c r="V672" s="3">
        <v>46129.991064814814</v>
      </c>
      <c r="W672" t="inlineStr">
        <is>
          <t>2026-Q2</t>
        </is>
      </c>
    </row>
    <row r="673" ht="25.5" customHeight="1">
      <c r="A673" t="inlineStr">
        <is>
          <t>肉肉拼豆铺｜新店冲量价 现货高品质融合豆2.6mm拼豆黑白</t>
        </is>
      </c>
      <c r="B673" t="inlineStr">
        <is>
          <t>__upload_recvh9P0bmux5h.jpg</t>
        </is>
      </c>
      <c r="C673" s="2" t="str">
        <f>=HYPERLINK("https://xhslink.com/m/6LQfNtHCJXq", "https://xhslink.com/m/6LQfNtHCJXq")</f>
        <v>https://xhslink.com/m/6LQfNtHCJXq</v>
      </c>
      <c r="D673"/>
      <c r="E673">
        <v>57000</v>
      </c>
      <c r="F673">
        <v>19.9</v>
      </c>
      <c r="G673">
        <v>18.9</v>
      </c>
      <c r="H673">
        <v>500</v>
      </c>
      <c r="I673" t="inlineStr">
        <is>
          <t>拼豆</t>
        </is>
      </c>
      <c r="J673" t="inlineStr">
        <is>
          <t>0.01</t>
        </is>
      </c>
      <c r="K673" t="inlineStr">
        <is>
          <t>🔥低粉爆款</t>
        </is>
      </c>
      <c r="L673" t="inlineStr">
        <is>
          <t>肉肉拼豆小铺的店</t>
        </is>
      </c>
      <c r="M673">
        <v>10000</v>
      </c>
      <c r="N673">
        <v>4.55</v>
      </c>
      <c r="O673">
        <v>170000</v>
      </c>
      <c r="P673" t="inlineStr">
        <is>
          <t>695370b1d96c450001f0fbd6</t>
        </is>
      </c>
      <c r="Q673" t="inlineStr">
        <is>
          <t>🚫重复</t>
        </is>
      </c>
      <c r="R673" t="inlineStr">
        <is>
          <t>16周</t>
        </is>
      </c>
      <c r="S673" t="inlineStr">
        <is>
          <t>5.70</t>
        </is>
      </c>
      <c r="T673" t="inlineStr">
        <is>
          <t>运动潮玩</t>
        </is>
      </c>
      <c r="U673" t="inlineStr">
        <is>
          <t>潮玩手办</t>
        </is>
      </c>
      <c r="V673" s="3">
        <v>46130.98501157408</v>
      </c>
      <c r="W673" t="inlineStr">
        <is>
          <t>2026-Q2</t>
        </is>
      </c>
    </row>
    <row r="674" ht="25.5" customHeight="1">
      <c r="A674" t="inlineStr">
        <is>
          <t>拼豆格利特布烫拼豆烫豆布拼豆团专用纸格利特粉白粗闪细粉细闪</t>
        </is>
      </c>
      <c r="B674" t="inlineStr">
        <is>
          <t>__upload_recvh9P0bmTuWt.jpg</t>
        </is>
      </c>
      <c r="C674" s="2" t="str">
        <f>=HYPERLINK("https://xhslink.com/m/74HOQMV8LsR", "https://xhslink.com/m/74HOQMV8LsR")</f>
        <v>https://xhslink.com/m/74HOQMV8LsR</v>
      </c>
      <c r="D674"/>
      <c r="E674">
        <v>7602</v>
      </c>
      <c r="F674">
        <v>7.7</v>
      </c>
      <c r="G674">
        <v>6.16</v>
      </c>
      <c r="H674">
        <v>500</v>
      </c>
      <c r="I674" t="inlineStr">
        <is>
          <t>拼豆</t>
        </is>
      </c>
      <c r="J674" t="inlineStr">
        <is>
          <t>0.07</t>
        </is>
      </c>
      <c r="K674" t="inlineStr">
        <is>
          <t>🔥低粉爆款</t>
        </is>
      </c>
      <c r="L674" t="inlineStr">
        <is>
          <t>趣贴贴吧的店</t>
        </is>
      </c>
      <c r="M674">
        <v>329</v>
      </c>
      <c r="N674">
        <v>4.45</v>
      </c>
      <c r="O674">
        <v>25000</v>
      </c>
      <c r="P674" t="inlineStr">
        <is>
          <t>69b1c0ab4cdf2e0001c2a165</t>
        </is>
      </c>
      <c r="Q674" t="inlineStr">
        <is>
          <t>🚫重复</t>
        </is>
      </c>
      <c r="R674" t="inlineStr">
        <is>
          <t>16周</t>
        </is>
      </c>
      <c r="S674" t="inlineStr">
        <is>
          <t>23.11</t>
        </is>
      </c>
      <c r="T674" t="inlineStr">
        <is>
          <t>运动潮玩</t>
        </is>
      </c>
      <c r="U674" t="inlineStr">
        <is>
          <t>潮玩手办</t>
        </is>
      </c>
      <c r="V674" s="3">
        <v>46130.98501157408</v>
      </c>
      <c r="W674" t="inlineStr">
        <is>
          <t>2026-Q2</t>
        </is>
      </c>
    </row>
    <row r="675" ht="25.5" customHeight="1">
      <c r="A675" t="inlineStr">
        <is>
          <t>【独立包装】七日计划膳食果蔬馒头手工不加蔗糖0油0添加剂早餐</t>
        </is>
      </c>
      <c r="B675" t="inlineStr">
        <is>
          <t>__upload_recvh9P0bmDQWz.jpg</t>
        </is>
      </c>
      <c r="C675" s="2" t="str">
        <f>=HYPERLINK("https://xhslink.com/m/aiTqeeXwBu", "https://xhslink.com/m/aiTqeeXwBu")</f>
        <v>https://xhslink.com/m/aiTqeeXwBu</v>
      </c>
      <c r="D675"/>
      <c r="E675">
        <v>25000</v>
      </c>
      <c r="F675">
        <v>32.8</v>
      </c>
      <c r="G675">
        <v>12.8</v>
      </c>
      <c r="H675">
        <v>500</v>
      </c>
      <c r="I675" t="inlineStr">
        <is>
          <t>低热量零食</t>
        </is>
      </c>
      <c r="J675" t="inlineStr">
        <is>
          <t>0.02</t>
        </is>
      </c>
      <c r="K675" t="inlineStr">
        <is>
          <t>🔥低粉爆款</t>
        </is>
      </c>
      <c r="L675" t="inlineStr">
        <is>
          <t>穗穗手作的店</t>
        </is>
      </c>
      <c r="M675">
        <v>7199</v>
      </c>
      <c r="N675">
        <v>4.48</v>
      </c>
      <c r="O675">
        <v>93000</v>
      </c>
      <c r="P675" t="inlineStr">
        <is>
          <t>692fcf91826b350001a75365</t>
        </is>
      </c>
      <c r="Q675" t="inlineStr">
        <is>
          <t>🚫重复</t>
        </is>
      </c>
      <c r="R675" t="inlineStr">
        <is>
          <t>16周</t>
        </is>
      </c>
      <c r="S675" t="inlineStr">
        <is>
          <t>3.47</t>
        </is>
      </c>
      <c r="T675" t="inlineStr">
        <is>
          <t>美食滋补</t>
        </is>
      </c>
      <c r="U675" t="inlineStr">
        <is>
          <t>休闲零食</t>
        </is>
      </c>
      <c r="V675" s="3">
        <v>46130.98501157408</v>
      </c>
      <c r="W675" t="inlineStr">
        <is>
          <t>2026-Q2</t>
        </is>
      </c>
    </row>
    <row r="676" ht="25.5" customHeight="1">
      <c r="A676" t="inlineStr">
        <is>
          <t>洛克王国周边棉花娃娃恩佐伊里斯工期45天（全款包车马）</t>
        </is>
      </c>
      <c r="B676" t="inlineStr">
        <is>
          <t>__upload_recvhfQmhqlUTC.jpg</t>
        </is>
      </c>
      <c r="C676" s="2" t="str">
        <f>=HYPERLINK("https://xhslink.com/m/7ICPxyYztb3", "https://xhslink.com/m/7ICPxyYztb3")</f>
        <v>https://xhslink.com/m/7ICPxyYztb3</v>
      </c>
      <c r="D676"/>
      <c r="E676">
        <v>1514</v>
      </c>
      <c r="F676">
        <v>192</v>
      </c>
      <c r="G676"/>
      <c r="H676">
        <v>500</v>
      </c>
      <c r="I676" t="inlineStr">
        <is>
          <t>棉花娃娃</t>
        </is>
      </c>
      <c r="J676" t="inlineStr">
        <is>
          <t>0.33</t>
        </is>
      </c>
      <c r="K676"/>
      <c r="L676" t="inlineStr">
        <is>
          <t>气泡水的店</t>
        </is>
      </c>
      <c r="M676">
        <v>1477</v>
      </c>
      <c r="N676">
        <v>4.37</v>
      </c>
      <c r="O676">
        <v>3170</v>
      </c>
      <c r="P676" t="inlineStr">
        <is>
          <t>69d854ca613bea0001fe2a48</t>
        </is>
      </c>
      <c r="Q676"/>
      <c r="R676" t="inlineStr">
        <is>
          <t>17周</t>
        </is>
      </c>
      <c r="S676" t="inlineStr">
        <is>
          <t>1.03</t>
        </is>
      </c>
      <c r="T676" t="inlineStr">
        <is>
          <t>运动潮玩</t>
        </is>
      </c>
      <c r="U676" t="inlineStr">
        <is>
          <t>潮玩手办</t>
        </is>
      </c>
      <c r="V676" s="3">
        <v>46132.014918981484</v>
      </c>
      <c r="W676" t="inlineStr">
        <is>
          <t>2026-Q2</t>
        </is>
      </c>
    </row>
    <row r="677" ht="25.5" customHeight="1">
      <c r="A677" t="inlineStr">
        <is>
          <t>视界·淳 · 希腊低温发酵冷萃干巴干噎酸奶代餐干嚼酸奶碗diy4倍浓缩100g*4杯</t>
        </is>
      </c>
      <c r="B677" t="inlineStr">
        <is>
          <t>__upload_recvhfQmhqboaC.jpg</t>
        </is>
      </c>
      <c r="C677" s="2" t="str">
        <f>=HYPERLINK("https://xhslink.com/m/48Yz8L62esR", "https://xhslink.com/m/48Yz8L62esR")</f>
        <v>https://xhslink.com/m/48Yz8L62esR</v>
      </c>
      <c r="D677"/>
      <c r="E677">
        <v>40000</v>
      </c>
      <c r="F677">
        <v>49.9</v>
      </c>
      <c r="G677">
        <v>39.9</v>
      </c>
      <c r="H677">
        <v>500</v>
      </c>
      <c r="I677" t="inlineStr">
        <is>
          <t>酸奶</t>
        </is>
      </c>
      <c r="J677" t="inlineStr">
        <is>
          <t>0.01</t>
        </is>
      </c>
      <c r="K677" t="inlineStr">
        <is>
          <t>🔥低粉爆款</t>
        </is>
      </c>
      <c r="L677" t="inlineStr">
        <is>
          <t>视界·淳旗舰店</t>
        </is>
      </c>
      <c r="M677">
        <v>657</v>
      </c>
      <c r="N677">
        <v>4.58</v>
      </c>
      <c r="O677">
        <v>45000</v>
      </c>
      <c r="P677" t="inlineStr">
        <is>
          <t>6880d027417c3f00010f653c</t>
        </is>
      </c>
      <c r="Q677"/>
      <c r="R677" t="inlineStr">
        <is>
          <t>17周</t>
        </is>
      </c>
      <c r="S677" t="inlineStr">
        <is>
          <t>60.88</t>
        </is>
      </c>
      <c r="T677" t="inlineStr">
        <is>
          <t>家居生活</t>
        </is>
      </c>
      <c r="U677" t="inlineStr">
        <is>
          <t>厨房餐饮</t>
        </is>
      </c>
      <c r="V677" s="3">
        <v>46132.014918981484</v>
      </c>
      <c r="W677" t="inlineStr">
        <is>
          <t>2026-Q2</t>
        </is>
      </c>
    </row>
    <row r="678" ht="25.5" customHeight="1">
      <c r="A678" t="inlineStr">
        <is>
          <t>「EmberWing」项链｜烬翎｜爱心别针小众女夏百搭</t>
        </is>
      </c>
      <c r="B678" t="inlineStr">
        <is>
          <t>__upload_recvhfQmhqOOhY.jpg</t>
        </is>
      </c>
      <c r="C678" s="2" t="str">
        <f>=HYPERLINK("https://xhslink.com/m/UxFmg4iEbY", "https://xhslink.com/m/UxFmg4iEbY")</f>
        <v>https://xhslink.com/m/UxFmg4iEbY</v>
      </c>
      <c r="D678"/>
      <c r="E678">
        <v>15000</v>
      </c>
      <c r="F678">
        <v>35.5</v>
      </c>
      <c r="G678">
        <v>23.5</v>
      </c>
      <c r="H678">
        <v>500</v>
      </c>
      <c r="I678" t="inlineStr">
        <is>
          <t>手链项链</t>
        </is>
      </c>
      <c r="J678" t="inlineStr">
        <is>
          <t>0.03</t>
        </is>
      </c>
      <c r="K678"/>
      <c r="L678" t="inlineStr">
        <is>
          <t>LFSTUDIO1的店</t>
        </is>
      </c>
      <c r="M678">
        <v>38000</v>
      </c>
      <c r="N678">
        <v>4.63</v>
      </c>
      <c r="O678">
        <v>87000</v>
      </c>
      <c r="P678" t="inlineStr">
        <is>
          <t>684ef968e321340001378011</t>
        </is>
      </c>
      <c r="Q678" t="inlineStr">
        <is>
          <t>🚫重复</t>
        </is>
      </c>
      <c r="R678" t="inlineStr">
        <is>
          <t>17周</t>
        </is>
      </c>
      <c r="S678" t="inlineStr">
        <is>
          <t>0.39</t>
        </is>
      </c>
      <c r="T678" t="inlineStr">
        <is>
          <t>服饰穿搭</t>
        </is>
      </c>
      <c r="U678" t="inlineStr">
        <is>
          <t>配饰</t>
        </is>
      </c>
      <c r="V678" s="3">
        <v>46132.014918981484</v>
      </c>
      <c r="W678" t="inlineStr">
        <is>
          <t>2026-Q2</t>
        </is>
      </c>
    </row>
    <row r="679" ht="25.5" customHeight="1">
      <c r="A679" t="inlineStr">
        <is>
          <t>郁金香郁金香种球懒人进口耐寒水培植物郁金香水培器皿室内花卉</t>
        </is>
      </c>
      <c r="B679" t="inlineStr">
        <is>
          <t>recvcB48ezqBma.jpg</t>
        </is>
      </c>
      <c r="C679" s="2" t="str">
        <f>=HYPERLINK("https://xhslink.com/m/1UmZpTLyT4", "https://xhslink.com/m/1UmZpTLyT4")</f>
        <v>https://xhslink.com/m/1UmZpTLyT4</v>
      </c>
      <c r="D679"/>
      <c r="E679">
        <v>33000</v>
      </c>
      <c r="F679">
        <v>9.9</v>
      </c>
      <c r="G679"/>
      <c r="H679">
        <v>400</v>
      </c>
      <c r="I679" t="inlineStr">
        <is>
          <t>花花草草</t>
        </is>
      </c>
      <c r="J679" t="inlineStr">
        <is>
          <t>0.01</t>
        </is>
      </c>
      <c r="K679" t="inlineStr">
        <is>
          <t>🔥低粉爆款</t>
        </is>
      </c>
      <c r="L679" t="inlineStr">
        <is>
          <t>小丽商铺的店</t>
        </is>
      </c>
      <c r="M679">
        <v>1373</v>
      </c>
      <c r="N679">
        <v>4.27</v>
      </c>
      <c r="O679">
        <v>37000</v>
      </c>
      <c r="P679" t="inlineStr">
        <is>
          <t>6915c55e58a96d0001ed649f</t>
        </is>
      </c>
      <c r="Q679" t="inlineStr">
        <is>
          <t>🚫重复</t>
        </is>
      </c>
      <c r="R679" t="inlineStr">
        <is>
          <t>14周</t>
        </is>
      </c>
      <c r="S679" t="inlineStr">
        <is>
          <t>24.03</t>
        </is>
      </c>
      <c r="T679" t="inlineStr">
        <is>
          <t>家居生活</t>
        </is>
      </c>
      <c r="U679" t="inlineStr">
        <is>
          <t>家具家装</t>
        </is>
      </c>
      <c r="V679" s="3">
        <v>46112.78107638889</v>
      </c>
      <c r="W679" t="inlineStr">
        <is>
          <t>2026-Q1</t>
        </is>
      </c>
    </row>
    <row r="680" ht="25.5" customHeight="1">
      <c r="A680" t="inlineStr">
        <is>
          <t>大容量双肩包女户外背包初高中大学生书包百搭旅行包15寸电脑背包</t>
        </is>
      </c>
      <c r="B680" t="inlineStr">
        <is>
          <t>recvcG44S0biK9.jpg</t>
        </is>
      </c>
      <c r="C680" s="2" t="str">
        <f>=HYPERLINK("https://xhslink.com/m/5oGgu3W5MlB", "https://xhslink.com/m/5oGgu3W5MlB")</f>
        <v>https://xhslink.com/m/5oGgu3W5MlB</v>
      </c>
      <c r="D680"/>
      <c r="E680">
        <v>6395</v>
      </c>
      <c r="F680">
        <v>59.9</v>
      </c>
      <c r="G680"/>
      <c r="H680">
        <v>400</v>
      </c>
      <c r="I680" t="inlineStr">
        <is>
          <t>双肩包</t>
        </is>
      </c>
      <c r="J680" t="inlineStr">
        <is>
          <t>0.06</t>
        </is>
      </c>
      <c r="K680"/>
      <c r="L680" t="inlineStr">
        <is>
          <t>慢客箱包的店</t>
        </is>
      </c>
      <c r="M680">
        <v>2742</v>
      </c>
      <c r="N680">
        <v>4.81</v>
      </c>
      <c r="O680">
        <v>72000</v>
      </c>
      <c r="P680" t="inlineStr">
        <is>
          <t>689ca6844dbac20001a35401</t>
        </is>
      </c>
      <c r="Q680" t="inlineStr">
        <is>
          <t>🚫重复</t>
        </is>
      </c>
      <c r="R680" t="inlineStr">
        <is>
          <t>14周</t>
        </is>
      </c>
      <c r="S680" t="inlineStr">
        <is>
          <t>2.33</t>
        </is>
      </c>
      <c r="T680" t="inlineStr">
        <is>
          <t>服饰穿搭</t>
        </is>
      </c>
      <c r="U680" t="inlineStr">
        <is>
          <t>鞋靴箱包</t>
        </is>
      </c>
      <c r="V680" s="3">
        <v>46112.78107638889</v>
      </c>
      <c r="W680" t="inlineStr">
        <is>
          <t>2026-Q1</t>
        </is>
      </c>
    </row>
    <row r="681" ht="25.5" customHeight="1">
      <c r="A681" t="inlineStr">
        <is>
          <t>辣百熊 · 【120g/包】山椒脆笋发7大包即食笋尖嫩脆解零食酸辣爽口小吃追剧</t>
        </is>
      </c>
      <c r="B681" t="inlineStr">
        <is>
          <t>recvcXQv4IFRRi.jpg</t>
        </is>
      </c>
      <c r="C681" s="2" t="str">
        <f>=HYPERLINK("https://xhslink.com/m/9R6krMKLvhu", "https://xhslink.com/m/9R6krMKLvhu")</f>
        <v>https://xhslink.com/m/9R6krMKLvhu</v>
      </c>
      <c r="D681"/>
      <c r="E681">
        <v>16000</v>
      </c>
      <c r="F681">
        <v>9.99</v>
      </c>
      <c r="G681"/>
      <c r="H681">
        <v>400</v>
      </c>
      <c r="I681" t="inlineStr">
        <is>
          <t>追剧零食</t>
        </is>
      </c>
      <c r="J681" t="inlineStr">
        <is>
          <t>0.03</t>
        </is>
      </c>
      <c r="K681" t="inlineStr">
        <is>
          <t>🔥低粉爆款</t>
        </is>
      </c>
      <c r="L681" t="inlineStr">
        <is>
          <t>辣百熊潇永星厨零食专卖店</t>
        </is>
      </c>
      <c r="M681">
        <v>136</v>
      </c>
      <c r="N681">
        <v>4.44</v>
      </c>
      <c r="O681">
        <v>17000</v>
      </c>
      <c r="P681" t="inlineStr">
        <is>
          <t>686e1b7f0bb40800015fc619</t>
        </is>
      </c>
      <c r="Q681"/>
      <c r="R681" t="inlineStr">
        <is>
          <t>14周</t>
        </is>
      </c>
      <c r="S681" t="inlineStr">
        <is>
          <t>117.65</t>
        </is>
      </c>
      <c r="T681" t="inlineStr">
        <is>
          <t>美食滋补</t>
        </is>
      </c>
      <c r="U681" t="inlineStr">
        <is>
          <t>休闲零食</t>
        </is>
      </c>
      <c r="V681" s="3">
        <v>46112.78107638889</v>
      </c>
      <c r="W681" t="inlineStr">
        <is>
          <t>2026-Q1</t>
        </is>
      </c>
    </row>
    <row r="682" ht="25.5" customHeight="1">
      <c r="A682" t="inlineStr">
        <is>
          <t>调了20多次的版型！年会约会神裙！100初剪羊毛雕塑感连衣裙</t>
        </is>
      </c>
      <c r="B682" t="inlineStr">
        <is>
          <t>recvd6YlGVohzV.jpg</t>
        </is>
      </c>
      <c r="C682" s="2" t="str">
        <f>=HYPERLINK("https://xhslink.com/m/3j32ejsyKbF", "https://xhslink.com/m/3j32ejsyKbF")</f>
        <v>https://xhslink.com/m/3j32ejsyKbF</v>
      </c>
      <c r="D682"/>
      <c r="E682">
        <v>3096</v>
      </c>
      <c r="F682">
        <v>899</v>
      </c>
      <c r="G682"/>
      <c r="H682">
        <v>400</v>
      </c>
      <c r="I682" t="inlineStr">
        <is>
          <t>修身连衣裙</t>
        </is>
      </c>
      <c r="J682" t="inlineStr">
        <is>
          <t>0.13</t>
        </is>
      </c>
      <c r="K682"/>
      <c r="L682" t="inlineStr">
        <is>
          <t>Shirley梨梨梨的店</t>
        </is>
      </c>
      <c r="M682">
        <v>11000</v>
      </c>
      <c r="N682">
        <v>4.61</v>
      </c>
      <c r="O682">
        <v>6046</v>
      </c>
      <c r="P682" t="inlineStr">
        <is>
          <t>6947feba8ff5d40001c4c3ee</t>
        </is>
      </c>
      <c r="Q682" t="inlineStr">
        <is>
          <t>🚫重复</t>
        </is>
      </c>
      <c r="R682" t="inlineStr">
        <is>
          <t>14周</t>
        </is>
      </c>
      <c r="S682" t="inlineStr">
        <is>
          <t>0.28</t>
        </is>
      </c>
      <c r="T682" t="inlineStr">
        <is>
          <t>服饰穿搭</t>
        </is>
      </c>
      <c r="U682" t="inlineStr">
        <is>
          <t>女装</t>
        </is>
      </c>
      <c r="V682" s="3">
        <v>46112.78107638889</v>
      </c>
      <c r="W682" t="inlineStr">
        <is>
          <t>2026-Q1</t>
        </is>
      </c>
    </row>
    <row r="683" ht="25.5" customHeight="1">
      <c r="A683" t="inlineStr">
        <is>
          <t>Luuu7定制韩女裤 自带丰胯垫~掐腰丰胯翘臀高腰弹力微喇裤 偏小！</t>
        </is>
      </c>
      <c r="B683" t="inlineStr">
        <is>
          <t>recvd6YlGVtuLJ.jpg</t>
        </is>
      </c>
      <c r="C683" s="2" t="str">
        <f>=HYPERLINK("https://xhslink.com/m/196FRD0Fri4", "https://xhslink.com/m/196FRD0Fri4")</f>
        <v>https://xhslink.com/m/196FRD0Fri4</v>
      </c>
      <c r="D683"/>
      <c r="E683">
        <v>71000</v>
      </c>
      <c r="F683">
        <v>119</v>
      </c>
      <c r="G683"/>
      <c r="H683">
        <v>400</v>
      </c>
      <c r="I683" t="inlineStr">
        <is>
          <t>高腰牛仔裤</t>
        </is>
      </c>
      <c r="J683" t="inlineStr">
        <is>
          <t>0.01</t>
        </is>
      </c>
      <c r="K683"/>
      <c r="L683" t="inlineStr">
        <is>
          <t>67不吃辣的店</t>
        </is>
      </c>
      <c r="M683">
        <v>27000</v>
      </c>
      <c r="N683">
        <v>4.64</v>
      </c>
      <c r="O683">
        <v>144000</v>
      </c>
      <c r="P683" t="inlineStr">
        <is>
          <t>66ab68fcb81ac20001aaba09</t>
        </is>
      </c>
      <c r="Q683" t="inlineStr">
        <is>
          <t>🚫重复</t>
        </is>
      </c>
      <c r="R683" t="inlineStr">
        <is>
          <t>14周</t>
        </is>
      </c>
      <c r="S683" t="inlineStr">
        <is>
          <t>2.63</t>
        </is>
      </c>
      <c r="T683" t="inlineStr">
        <is>
          <t>服饰穿搭</t>
        </is>
      </c>
      <c r="U683" t="inlineStr">
        <is>
          <t>女装</t>
        </is>
      </c>
      <c r="V683" s="3">
        <v>46112.78107638889</v>
      </c>
      <c r="W683" t="inlineStr">
        <is>
          <t>2026-Q1</t>
        </is>
      </c>
    </row>
    <row r="684" ht="25.5" customHeight="1">
      <c r="A684" t="inlineStr">
        <is>
          <t>白色设计感长袖气质垂感翻折V领重工刺绣衬衣衬衫女</t>
        </is>
      </c>
      <c r="B684" t="inlineStr">
        <is>
          <t>recvd6YlGVYwRx.jpg</t>
        </is>
      </c>
      <c r="C684" s="2" t="str">
        <f>=HYPERLINK("https://xhslink.com/m/AhtpzP09crG", "https://xhslink.com/m/AhtpzP09crG")</f>
        <v>https://xhslink.com/m/AhtpzP09crG</v>
      </c>
      <c r="D684"/>
      <c r="E684">
        <v>3513</v>
      </c>
      <c r="F684">
        <v>89.9</v>
      </c>
      <c r="G684"/>
      <c r="H684">
        <v>400</v>
      </c>
      <c r="I684" t="inlineStr">
        <is>
          <t>V领衬衫</t>
        </is>
      </c>
      <c r="J684" t="inlineStr">
        <is>
          <t>0.11</t>
        </is>
      </c>
      <c r="K684"/>
      <c r="L684" t="inlineStr">
        <is>
          <t>KK穿搭分享~的店</t>
        </is>
      </c>
      <c r="M684">
        <v>593000</v>
      </c>
      <c r="N684">
        <v>4.59</v>
      </c>
      <c r="O684">
        <v>3014000</v>
      </c>
      <c r="P684" t="inlineStr">
        <is>
          <t>68a83d000c85cc000166ec4f</t>
        </is>
      </c>
      <c r="Q684" t="inlineStr">
        <is>
          <t>🚫重复</t>
        </is>
      </c>
      <c r="R684" t="inlineStr">
        <is>
          <t>14周</t>
        </is>
      </c>
      <c r="S684" t="inlineStr">
        <is>
          <t>0.01</t>
        </is>
      </c>
      <c r="T684" t="inlineStr">
        <is>
          <t>服饰穿搭</t>
        </is>
      </c>
      <c r="U684" t="inlineStr">
        <is>
          <t>女装</t>
        </is>
      </c>
      <c r="V684" s="3">
        <v>46112.78107638889</v>
      </c>
      <c r="W684" t="inlineStr">
        <is>
          <t>2026-Q1</t>
        </is>
      </c>
    </row>
    <row r="685" ht="25.5" customHeight="1">
      <c r="A685" t="inlineStr">
        <is>
          <t>原牛色中低腰直筒牛仔裤 不掉色 8030</t>
        </is>
      </c>
      <c r="B685" t="inlineStr">
        <is>
          <t>recvdKDRQhiuEo.jpg</t>
        </is>
      </c>
      <c r="C685" s="2" t="str">
        <f>=HYPERLINK("https://xhslink.com/m/1uODkMrtiha", "https://xhslink.com/m/1uODkMrtiha")</f>
        <v>https://xhslink.com/m/1uODkMrtiha</v>
      </c>
      <c r="D685"/>
      <c r="E685">
        <v>1237</v>
      </c>
      <c r="F685">
        <v>329</v>
      </c>
      <c r="G685"/>
      <c r="H685">
        <v>400</v>
      </c>
      <c r="I685" t="inlineStr">
        <is>
          <t>直裤</t>
        </is>
      </c>
      <c r="J685" t="inlineStr">
        <is>
          <t>0.32</t>
        </is>
      </c>
      <c r="K685"/>
      <c r="L685" t="inlineStr">
        <is>
          <t>是啊噗噗噗的店</t>
        </is>
      </c>
      <c r="M685">
        <v>51000</v>
      </c>
      <c r="N685">
        <v>4.71</v>
      </c>
      <c r="O685">
        <v>32000</v>
      </c>
      <c r="P685" t="inlineStr">
        <is>
          <t>693d8ac1bd92f50001ee6a5b</t>
        </is>
      </c>
      <c r="Q685" t="inlineStr">
        <is>
          <t>🚫重复</t>
        </is>
      </c>
      <c r="R685" t="inlineStr">
        <is>
          <t>14周</t>
        </is>
      </c>
      <c r="S685" t="inlineStr">
        <is>
          <t>0.02</t>
        </is>
      </c>
      <c r="T685" t="inlineStr">
        <is>
          <t>服饰穿搭</t>
        </is>
      </c>
      <c r="U685" t="inlineStr">
        <is>
          <t>女装</t>
        </is>
      </c>
      <c r="V685" s="3">
        <v>46112.78107638889</v>
      </c>
      <c r="W685" t="inlineStr">
        <is>
          <t>2026-Q1</t>
        </is>
      </c>
    </row>
    <row r="686" ht="25.5" customHeight="1">
      <c r="A686" t="inlineStr">
        <is>
          <t>Craft手工丑墩墩巧克力纯可可脂比利时坚果夹心排块年货网红零食</t>
        </is>
      </c>
      <c r="B686" t="inlineStr">
        <is>
          <t>recvdOJ3S2fwHj.jpg</t>
        </is>
      </c>
      <c r="C686" s="2" t="str">
        <f>=HYPERLINK("https://xhslink.com/m/9HpIWOzUPDQ", "https://xhslink.com/m/9HpIWOzUPDQ")</f>
        <v>https://xhslink.com/m/9HpIWOzUPDQ</v>
      </c>
      <c r="D686"/>
      <c r="E686">
        <v>39000</v>
      </c>
      <c r="F686">
        <v>39.8</v>
      </c>
      <c r="G686"/>
      <c r="H686">
        <v>400</v>
      </c>
      <c r="I686" t="inlineStr">
        <is>
          <t>巧克力</t>
        </is>
      </c>
      <c r="J686" t="inlineStr">
        <is>
          <t>0.01</t>
        </is>
      </c>
      <c r="K686"/>
      <c r="L686" t="inlineStr">
        <is>
          <t>CRAFT手工巧克力的店</t>
        </is>
      </c>
      <c r="M686">
        <v>102000</v>
      </c>
      <c r="N686">
        <v>4.53</v>
      </c>
      <c r="O686">
        <v>223000</v>
      </c>
      <c r="P686" t="inlineStr">
        <is>
          <t>65f14a53e1eb44000104ba82</t>
        </is>
      </c>
      <c r="Q686" t="inlineStr">
        <is>
          <t>🚫重复</t>
        </is>
      </c>
      <c r="R686" t="inlineStr">
        <is>
          <t>14周</t>
        </is>
      </c>
      <c r="S686" t="inlineStr">
        <is>
          <t>0.38</t>
        </is>
      </c>
      <c r="T686" t="inlineStr">
        <is>
          <t>美食滋补</t>
        </is>
      </c>
      <c r="U686" t="inlineStr">
        <is>
          <t>休闲零食</t>
        </is>
      </c>
      <c r="V686" s="3">
        <v>46112.78107638889</v>
      </c>
      <c r="W686" t="inlineStr">
        <is>
          <t>2026-Q1</t>
        </is>
      </c>
    </row>
    <row r="687" ht="25.5" customHeight="1">
      <c r="A687" t="inlineStr">
        <is>
          <t>老树释迦果 新鲜牛奶冰淇淋凤梨释迦果 番荔枝纯甜无酸应季水果</t>
        </is>
      </c>
      <c r="B687" t="inlineStr">
        <is>
          <t>recvdOJ3S2Pr9O.jpg</t>
        </is>
      </c>
      <c r="C687" s="2" t="str">
        <f>=HYPERLINK("https://xhslink.com/m/6W3KxfSGCZt", "https://xhslink.com/m/6W3KxfSGCZt")</f>
        <v>https://xhslink.com/m/6W3KxfSGCZt</v>
      </c>
      <c r="D687"/>
      <c r="E687">
        <v>187000</v>
      </c>
      <c r="F687">
        <v>15.9</v>
      </c>
      <c r="G687"/>
      <c r="H687">
        <v>400</v>
      </c>
      <c r="I687" t="inlineStr">
        <is>
          <t>时令水果</t>
        </is>
      </c>
      <c r="J687" t="inlineStr">
        <is>
          <t>0.00</t>
        </is>
      </c>
      <c r="K687" t="inlineStr">
        <is>
          <t>🔥低粉爆款</t>
        </is>
      </c>
      <c r="L687" t="inlineStr">
        <is>
          <t>小兵家农产品的店</t>
        </is>
      </c>
      <c r="M687">
        <v>8960</v>
      </c>
      <c r="N687">
        <v>4.59</v>
      </c>
      <c r="O687">
        <v>117000</v>
      </c>
      <c r="P687" t="inlineStr">
        <is>
          <t>67e52ffabf527d0001ed3bfd</t>
        </is>
      </c>
      <c r="Q687"/>
      <c r="R687" t="inlineStr">
        <is>
          <t>14周</t>
        </is>
      </c>
      <c r="S687" t="inlineStr">
        <is>
          <t>20.87</t>
        </is>
      </c>
      <c r="T687" t="inlineStr">
        <is>
          <t>美食滋补</t>
        </is>
      </c>
      <c r="U687" t="inlineStr">
        <is>
          <t>酒水冲饮</t>
        </is>
      </c>
      <c r="V687" s="3">
        <v>46112.78107638889</v>
      </c>
      <c r="W687" t="inlineStr">
        <is>
          <t>2026-Q1</t>
        </is>
      </c>
    </row>
    <row r="688" ht="25.5" customHeight="1">
      <c r="A688" t="inlineStr">
        <is>
          <t>RandieRoom 通勤百搭女秋季复古原牛高腰弯刀裤</t>
        </is>
      </c>
      <c r="B688" t="inlineStr">
        <is>
          <t>recvdOJ3S2azik.jpg</t>
        </is>
      </c>
      <c r="C688" s="2" t="str">
        <f>=HYPERLINK("https://xhslink.com/m/6aapg5meoRL", "https://xhslink.com/m/6aapg5meoRL")</f>
        <v>https://xhslink.com/m/6aapg5meoRL</v>
      </c>
      <c r="D688"/>
      <c r="E688">
        <v>2629</v>
      </c>
      <c r="F688">
        <v>559</v>
      </c>
      <c r="G688"/>
      <c r="H688">
        <v>400</v>
      </c>
      <c r="I688" t="inlineStr">
        <is>
          <t>高腰牛仔裤</t>
        </is>
      </c>
      <c r="J688" t="inlineStr">
        <is>
          <t>0.15</t>
        </is>
      </c>
      <c r="K688" t="inlineStr">
        <is>
          <t>🔥低粉爆款</t>
        </is>
      </c>
      <c r="L688" t="inlineStr">
        <is>
          <t>RandieRoom的店</t>
        </is>
      </c>
      <c r="M688">
        <v>474</v>
      </c>
      <c r="N688">
        <v>4.77</v>
      </c>
      <c r="O688">
        <v>17000</v>
      </c>
      <c r="P688" t="inlineStr">
        <is>
          <t>69381c6abd92f50001897e10</t>
        </is>
      </c>
      <c r="Q688"/>
      <c r="R688" t="inlineStr">
        <is>
          <t>14周</t>
        </is>
      </c>
      <c r="S688" t="inlineStr">
        <is>
          <t>5.55</t>
        </is>
      </c>
      <c r="T688" t="inlineStr">
        <is>
          <t>服饰穿搭</t>
        </is>
      </c>
      <c r="U688" t="inlineStr">
        <is>
          <t>女装</t>
        </is>
      </c>
      <c r="V688" s="3">
        <v>46112.78107638889</v>
      </c>
      <c r="W688" t="inlineStr">
        <is>
          <t>2026-Q1</t>
        </is>
      </c>
    </row>
    <row r="689" ht="25.5" customHeight="1">
      <c r="A689" t="inlineStr">
        <is>
          <t>原牛色中低腰直筒牛仔裤 不掉色 8030</t>
        </is>
      </c>
      <c r="B689" t="inlineStr">
        <is>
          <t>recvdOJ3S2V8Y8.jpg</t>
        </is>
      </c>
      <c r="C689" s="2" t="str">
        <f>=HYPERLINK("https://xhslink.com/m/6kDaf4IjtZ8", "https://xhslink.com/m/6kDaf4IjtZ8")</f>
        <v>https://xhslink.com/m/6kDaf4IjtZ8</v>
      </c>
      <c r="D689"/>
      <c r="E689">
        <v>1268</v>
      </c>
      <c r="F689">
        <v>329</v>
      </c>
      <c r="G689"/>
      <c r="H689">
        <v>400</v>
      </c>
      <c r="I689" t="inlineStr">
        <is>
          <t>低腰牛仔裤</t>
        </is>
      </c>
      <c r="J689" t="inlineStr">
        <is>
          <t>0.32</t>
        </is>
      </c>
      <c r="K689"/>
      <c r="L689" t="inlineStr">
        <is>
          <t>是啊噗噗噗的店</t>
        </is>
      </c>
      <c r="M689">
        <v>51000</v>
      </c>
      <c r="N689">
        <v>4.69</v>
      </c>
      <c r="O689">
        <v>32000</v>
      </c>
      <c r="P689" t="inlineStr">
        <is>
          <t>68ed1a7af8d1f000019e6f54</t>
        </is>
      </c>
      <c r="Q689" t="inlineStr">
        <is>
          <t>🚫重复</t>
        </is>
      </c>
      <c r="R689" t="inlineStr">
        <is>
          <t>14周</t>
        </is>
      </c>
      <c r="S689" t="inlineStr">
        <is>
          <t>0.02</t>
        </is>
      </c>
      <c r="T689" t="inlineStr">
        <is>
          <t>服饰穿搭</t>
        </is>
      </c>
      <c r="U689" t="inlineStr">
        <is>
          <t>女装</t>
        </is>
      </c>
      <c r="V689" s="3">
        <v>46112.78107638889</v>
      </c>
      <c r="W689" t="inlineStr">
        <is>
          <t>2026-Q1</t>
        </is>
      </c>
    </row>
    <row r="690" ht="25.5" customHeight="1">
      <c r="A690" t="inlineStr">
        <is>
          <t>千禾霖 · 正宗贝贝南瓜4.5斤 宝宝辅食南瓜皮薄农产品香甜饱腹</t>
        </is>
      </c>
      <c r="B690" t="inlineStr">
        <is>
          <t>recvdUhmda1y5W.jpg</t>
        </is>
      </c>
      <c r="C690" s="2" t="str">
        <f>=HYPERLINK("https://xhslink.com/m/4CiDi0rFWWb", "https://xhslink.com/m/4CiDi0rFWWb")</f>
        <v>https://xhslink.com/m/4CiDi0rFWWb</v>
      </c>
      <c r="D690"/>
      <c r="E690">
        <v>280000</v>
      </c>
      <c r="F690">
        <v>29.9</v>
      </c>
      <c r="G690">
        <v>19.9</v>
      </c>
      <c r="H690">
        <v>400</v>
      </c>
      <c r="I690" t="inlineStr">
        <is>
          <t>夏季水果</t>
        </is>
      </c>
      <c r="J690" t="inlineStr">
        <is>
          <t>0.00</t>
        </is>
      </c>
      <c r="K690" t="inlineStr">
        <is>
          <t>🔥低粉爆款</t>
        </is>
      </c>
      <c r="L690" t="inlineStr">
        <is>
          <t>千禾霖生鲜旗舰店</t>
        </is>
      </c>
      <c r="M690">
        <v>5556</v>
      </c>
      <c r="N690">
        <v>4.57</v>
      </c>
      <c r="O690">
        <v>784000</v>
      </c>
      <c r="P690" t="inlineStr">
        <is>
          <t>6942cd29ae586c000144d66f</t>
        </is>
      </c>
      <c r="Q690"/>
      <c r="R690" t="inlineStr">
        <is>
          <t>14周</t>
        </is>
      </c>
      <c r="S690" t="inlineStr">
        <is>
          <t>50.40</t>
        </is>
      </c>
      <c r="T690" t="inlineStr">
        <is>
          <t>母婴亲子</t>
        </is>
      </c>
      <c r="U690" t="inlineStr">
        <is>
          <t>童装童鞋</t>
        </is>
      </c>
      <c r="V690" s="3">
        <v>46112.78107638889</v>
      </c>
      <c r="W690" t="inlineStr">
        <is>
          <t>2026-Q1</t>
        </is>
      </c>
    </row>
    <row r="691" ht="25.5" customHeight="1">
      <c r="A691" t="inlineStr">
        <is>
          <t>Oarmilk吾岛酸奶无蔗糖希腊酸奶420g中桶多口味低温特浓0蔗糖酸奶</t>
        </is>
      </c>
      <c r="B691" t="inlineStr">
        <is>
          <t>recvdUhmdaNUWc.jpg</t>
        </is>
      </c>
      <c r="C691" s="2" t="str">
        <f>=HYPERLINK("https://xhslink.com/m/2QYZz3KNqha", "https://xhslink.com/m/2QYZz3KNqha")</f>
        <v>https://xhslink.com/m/2QYZz3KNqha</v>
      </c>
      <c r="D691"/>
      <c r="E691">
        <v>10000</v>
      </c>
      <c r="F691">
        <v>88.8</v>
      </c>
      <c r="G691">
        <v>78.8</v>
      </c>
      <c r="H691">
        <v>400</v>
      </c>
      <c r="I691" t="inlineStr">
        <is>
          <t>零食</t>
        </is>
      </c>
      <c r="J691" t="inlineStr">
        <is>
          <t>0.04</t>
        </is>
      </c>
      <c r="K691" t="inlineStr">
        <is>
          <t>🔥低粉爆款</t>
        </is>
      </c>
      <c r="L691" t="inlineStr">
        <is>
          <t>新鲜美食的店</t>
        </is>
      </c>
      <c r="M691">
        <v>443</v>
      </c>
      <c r="N691">
        <v>4.33</v>
      </c>
      <c r="O691">
        <v>21000</v>
      </c>
      <c r="P691" t="inlineStr">
        <is>
          <t>69803f113067f40001fc5aea</t>
        </is>
      </c>
      <c r="Q691" t="inlineStr">
        <is>
          <t>🚫重复</t>
        </is>
      </c>
      <c r="R691" t="inlineStr">
        <is>
          <t>14周</t>
        </is>
      </c>
      <c r="S691" t="inlineStr">
        <is>
          <t>22.57</t>
        </is>
      </c>
      <c r="T691" t="inlineStr">
        <is>
          <t>美食滋补</t>
        </is>
      </c>
      <c r="U691" t="inlineStr">
        <is>
          <t>酒水冲饮</t>
        </is>
      </c>
      <c r="V691" s="3">
        <v>46112.78107638889</v>
      </c>
      <c r="W691" t="inlineStr">
        <is>
          <t>2026-Q1</t>
        </is>
      </c>
    </row>
    <row r="692" ht="25.5" customHeight="1">
      <c r="A692" t="inlineStr">
        <is>
          <t>摘夏棠 · 30口味任选【山竹】减糖冰淇淋Gelato礼盒装（1-6口味）WonderCup</t>
        </is>
      </c>
      <c r="B692" t="inlineStr">
        <is>
          <t>recvdWIhrwRGzY.jpg</t>
        </is>
      </c>
      <c r="C692" s="2" t="str">
        <f>=HYPERLINK("https://xhslink.com/m/993UFccU8H5", "https://xhslink.com/m/993UFccU8H5")</f>
        <v>https://xhslink.com/m/993UFccU8H5</v>
      </c>
      <c r="D692"/>
      <c r="E692">
        <v>9856</v>
      </c>
      <c r="F692">
        <v>159</v>
      </c>
      <c r="G692">
        <v>156</v>
      </c>
      <c r="H692">
        <v>400</v>
      </c>
      <c r="I692" t="inlineStr">
        <is>
          <t>零食</t>
        </is>
      </c>
      <c r="J692" t="inlineStr">
        <is>
          <t>0.04</t>
        </is>
      </c>
      <c r="K692"/>
      <c r="L692" t="inlineStr">
        <is>
          <t>摘夏棠WonderCup的店</t>
        </is>
      </c>
      <c r="M692">
        <v>35000</v>
      </c>
      <c r="N692">
        <v>4.63</v>
      </c>
      <c r="O692">
        <v>24000</v>
      </c>
      <c r="P692" t="inlineStr">
        <is>
          <t>68ff5180e379430001a26e7b</t>
        </is>
      </c>
      <c r="Q692" t="inlineStr">
        <is>
          <t>🚫重复</t>
        </is>
      </c>
      <c r="R692" t="inlineStr">
        <is>
          <t>14周</t>
        </is>
      </c>
      <c r="S692" t="inlineStr">
        <is>
          <t>0.28</t>
        </is>
      </c>
      <c r="T692" t="inlineStr">
        <is>
          <t>美食滋补</t>
        </is>
      </c>
      <c r="U692" t="inlineStr">
        <is>
          <t>休闲零食</t>
        </is>
      </c>
      <c r="V692" s="3">
        <v>46112.78107638889</v>
      </c>
      <c r="W692" t="inlineStr">
        <is>
          <t>2026-Q1</t>
        </is>
      </c>
    </row>
    <row r="693" ht="25.5" customHeight="1">
      <c r="A693" t="inlineStr">
        <is>
          <t>现宰现发【480天老母鸡】大别山纯粮散养0激0抗土鸡</t>
        </is>
      </c>
      <c r="B693" t="inlineStr">
        <is>
          <t>recvdWIhrwvjr5.jpg</t>
        </is>
      </c>
      <c r="C693" s="2" t="str">
        <f>=HYPERLINK("https://xhslink.com/m/1SJrs7t61Qa", "https://xhslink.com/m/1SJrs7t61Qa")</f>
        <v>https://xhslink.com/m/1SJrs7t61Qa</v>
      </c>
      <c r="D693"/>
      <c r="E693">
        <v>3520</v>
      </c>
      <c r="F693">
        <v>59.9</v>
      </c>
      <c r="G693"/>
      <c r="H693">
        <v>400</v>
      </c>
      <c r="I693" t="inlineStr">
        <is>
          <t>生鲜</t>
        </is>
      </c>
      <c r="J693" t="inlineStr">
        <is>
          <t>0.11</t>
        </is>
      </c>
      <c r="K693"/>
      <c r="L693" t="inlineStr">
        <is>
          <t>大鹅家的土货-的店</t>
        </is>
      </c>
      <c r="M693">
        <v>2319</v>
      </c>
      <c r="N693">
        <v>4.6</v>
      </c>
      <c r="O693">
        <v>3776</v>
      </c>
      <c r="P693" t="inlineStr">
        <is>
          <t>6914d0ed34256f00016e6095</t>
        </is>
      </c>
      <c r="Q693"/>
      <c r="R693" t="inlineStr">
        <is>
          <t>14周</t>
        </is>
      </c>
      <c r="S693" t="inlineStr">
        <is>
          <t>1.52</t>
        </is>
      </c>
      <c r="T693" t="inlineStr">
        <is>
          <t>美食滋补</t>
        </is>
      </c>
      <c r="U693" t="inlineStr">
        <is>
          <t>生鲜特产</t>
        </is>
      </c>
      <c r="V693" s="3">
        <v>46112.78107638889</v>
      </c>
      <c r="W693" t="inlineStr">
        <is>
          <t>2026-Q1</t>
        </is>
      </c>
    </row>
    <row r="694" ht="25.5" customHeight="1">
      <c r="A694" t="inlineStr">
        <is>
          <t>《小衣匠自制》！ 正肩宽松棉质多功能口袋衬衫外套！</t>
        </is>
      </c>
      <c r="B694" t="inlineStr">
        <is>
          <t>recvdWIhrwNc3b.jpg</t>
        </is>
      </c>
      <c r="C694" s="2" t="str">
        <f>=HYPERLINK("https://xhslink.com/m/8z1jMngxpeG", "https://xhslink.com/m/8z1jMngxpeG")</f>
        <v>https://xhslink.com/m/8z1jMngxpeG</v>
      </c>
      <c r="D694"/>
      <c r="E694">
        <v>6784</v>
      </c>
      <c r="F694">
        <v>89</v>
      </c>
      <c r="G694"/>
      <c r="H694">
        <v>400</v>
      </c>
      <c r="I694" t="inlineStr">
        <is>
          <t>衬衫</t>
        </is>
      </c>
      <c r="J694" t="inlineStr">
        <is>
          <t>0.06</t>
        </is>
      </c>
      <c r="K694"/>
      <c r="L694" t="inlineStr">
        <is>
          <t>小衣匠制衣厂（27号夏季大上新）的店</t>
        </is>
      </c>
      <c r="M694">
        <v>529000</v>
      </c>
      <c r="N694">
        <v>4.62</v>
      </c>
      <c r="O694">
        <v>385000</v>
      </c>
      <c r="P694" t="inlineStr">
        <is>
          <t>66b9c55356e27000019b4560</t>
        </is>
      </c>
      <c r="Q694"/>
      <c r="R694" t="inlineStr">
        <is>
          <t>14周</t>
        </is>
      </c>
      <c r="S694" t="inlineStr">
        <is>
          <t>0.01</t>
        </is>
      </c>
      <c r="T694" t="inlineStr">
        <is>
          <t>服饰穿搭</t>
        </is>
      </c>
      <c r="U694" t="inlineStr">
        <is>
          <t>女装</t>
        </is>
      </c>
      <c r="V694" s="3">
        <v>46112.78107638889</v>
      </c>
      <c r="W694" t="inlineStr">
        <is>
          <t>2026-Q1</t>
        </is>
      </c>
    </row>
    <row r="695" ht="25.5" customHeight="1">
      <c r="A695" t="inlineStr">
        <is>
          <t>AIFER · 免照灯巨牢固！穿戴甲专用可剥甲胶套装速干快戴不伤甲贴片胶</t>
        </is>
      </c>
      <c r="B695" t="inlineStr">
        <is>
          <t>recvdWIhrwzEIa.jpg</t>
        </is>
      </c>
      <c r="C695" s="2" t="str">
        <f>=HYPERLINK("https://xhslink.com/m/9VgrIeLLGKZ", "https://xhslink.com/m/9VgrIeLLGKZ")</f>
        <v>https://xhslink.com/m/9VgrIeLLGKZ</v>
      </c>
      <c r="D695"/>
      <c r="E695">
        <v>95000</v>
      </c>
      <c r="F695">
        <v>41.8</v>
      </c>
      <c r="G695">
        <v>16.9</v>
      </c>
      <c r="H695">
        <v>400</v>
      </c>
      <c r="I695" t="inlineStr">
        <is>
          <t>美甲美睫</t>
        </is>
      </c>
      <c r="J695" t="inlineStr">
        <is>
          <t>0.00</t>
        </is>
      </c>
      <c r="K695" t="inlineStr">
        <is>
          <t>🔥低粉爆款</t>
        </is>
      </c>
      <c r="L695" t="inlineStr">
        <is>
          <t>Ruokoco美妆旗舰店</t>
        </is>
      </c>
      <c r="M695">
        <v>15000</v>
      </c>
      <c r="N695">
        <v>4.19</v>
      </c>
      <c r="O695">
        <v>157000</v>
      </c>
      <c r="P695" t="inlineStr">
        <is>
          <t>682310d358da9f0001150059</t>
        </is>
      </c>
      <c r="Q695" t="inlineStr">
        <is>
          <t>🚫重复</t>
        </is>
      </c>
      <c r="R695" t="inlineStr">
        <is>
          <t>14周</t>
        </is>
      </c>
      <c r="S695" t="inlineStr">
        <is>
          <t>6.33</t>
        </is>
      </c>
      <c r="T695" t="inlineStr">
        <is>
          <t>美妆个护</t>
        </is>
      </c>
      <c r="U695" t="inlineStr">
        <is>
          <t>护肤彩妆</t>
        </is>
      </c>
      <c r="V695" s="3">
        <v>46112.78107638889</v>
      </c>
      <c r="W695" t="inlineStr">
        <is>
          <t>2026-Q1</t>
        </is>
      </c>
    </row>
    <row r="696" ht="25.5" customHeight="1">
      <c r="A696" t="inlineStr">
        <is>
          <t>纯棉U领圆领收腰正肩基础款短袖T恤女夏季新款修身显瘦</t>
        </is>
      </c>
      <c r="B696" t="inlineStr">
        <is>
          <t>recve0Cd8qEhae.jpg</t>
        </is>
      </c>
      <c r="C696" s="2" t="str">
        <f>=HYPERLINK("https://xhslink.com/m/7RO9Pfx7xPA", "https://xhslink.com/m/7RO9Pfx7xPA")</f>
        <v>https://xhslink.com/m/7RO9Pfx7xPA</v>
      </c>
      <c r="D696"/>
      <c r="E696">
        <v>272000</v>
      </c>
      <c r="F696">
        <v>29.9</v>
      </c>
      <c r="G696"/>
      <c r="H696">
        <v>400</v>
      </c>
      <c r="I696" t="inlineStr">
        <is>
          <t>穿搭</t>
        </is>
      </c>
      <c r="J696" t="inlineStr">
        <is>
          <t>0.00</t>
        </is>
      </c>
      <c r="K696" t="inlineStr">
        <is>
          <t>🔥低粉爆款</t>
        </is>
      </c>
      <c r="L696" t="inlineStr">
        <is>
          <t>卷心菜儿的店</t>
        </is>
      </c>
      <c r="M696">
        <v>23000</v>
      </c>
      <c r="N696">
        <v>4.51</v>
      </c>
      <c r="O696">
        <v>383000</v>
      </c>
      <c r="P696" t="inlineStr">
        <is>
          <t>644e11b42935800001ea0968</t>
        </is>
      </c>
      <c r="Q696" t="inlineStr">
        <is>
          <t>🚫重复</t>
        </is>
      </c>
      <c r="R696" t="inlineStr">
        <is>
          <t>14周</t>
        </is>
      </c>
      <c r="S696" t="inlineStr">
        <is>
          <t>11.83</t>
        </is>
      </c>
      <c r="T696" t="inlineStr">
        <is>
          <t>服饰穿搭</t>
        </is>
      </c>
      <c r="U696" t="inlineStr">
        <is>
          <t>女装</t>
        </is>
      </c>
      <c r="V696" s="3">
        <v>46112.78107638889</v>
      </c>
      <c r="W696" t="inlineStr">
        <is>
          <t>2026-Q1</t>
        </is>
      </c>
    </row>
    <row r="697" ht="25.5" customHeight="1">
      <c r="A697" t="inlineStr">
        <is>
          <t>提拉多 /telado · 微缩场景合集本9.0造景贴纸卡通小屋手帐女孩儿童益智玩具</t>
        </is>
      </c>
      <c r="B697" t="inlineStr">
        <is>
          <t>recve0Cd8qBJ0q.jpg</t>
        </is>
      </c>
      <c r="C697" s="2" t="str">
        <f>=HYPERLINK("https://xhslink.com/m/7mHEhe8ipfF", "https://xhslink.com/m/7mHEhe8ipfF")</f>
        <v>https://xhslink.com/m/7mHEhe8ipfF</v>
      </c>
      <c r="D697"/>
      <c r="E697">
        <v>10000</v>
      </c>
      <c r="F697">
        <v>17.8</v>
      </c>
      <c r="G697"/>
      <c r="H697">
        <v>400</v>
      </c>
      <c r="I697" t="inlineStr">
        <is>
          <t>亲子</t>
        </is>
      </c>
      <c r="J697" t="inlineStr">
        <is>
          <t>0.04</t>
        </is>
      </c>
      <c r="K697"/>
      <c r="L697" t="inlineStr">
        <is>
          <t>提拉多telado的店</t>
        </is>
      </c>
      <c r="M697">
        <v>257000</v>
      </c>
      <c r="N697">
        <v>4.68</v>
      </c>
      <c r="O697">
        <v>62000</v>
      </c>
      <c r="P697" t="inlineStr">
        <is>
          <t>694e49a34e15d600012a2174</t>
        </is>
      </c>
      <c r="Q697" t="inlineStr">
        <is>
          <t>🚫重复</t>
        </is>
      </c>
      <c r="R697" t="inlineStr">
        <is>
          <t>14周</t>
        </is>
      </c>
      <c r="S697" t="inlineStr">
        <is>
          <t>0.04</t>
        </is>
      </c>
      <c r="T697" t="inlineStr">
        <is>
          <t>运动潮玩</t>
        </is>
      </c>
      <c r="U697" t="inlineStr">
        <is>
          <t>图书文创</t>
        </is>
      </c>
      <c r="V697" s="3">
        <v>46112.78107638889</v>
      </c>
      <c r="W697" t="inlineStr">
        <is>
          <t>2026-Q1</t>
        </is>
      </c>
    </row>
    <row r="698" ht="25.5" customHeight="1">
      <c r="A698" t="inlineStr">
        <is>
          <t>《糖心泡泡》原创项链 所见即所得 精致轻奢显白</t>
        </is>
      </c>
      <c r="B698" t="inlineStr">
        <is>
          <t>recve60dL6wW6C.jpg</t>
        </is>
      </c>
      <c r="C698" s="2" t="str">
        <f>=HYPERLINK("https://xhslink.com/m/6KCjMs9wjUr", "https://xhslink.com/m/6KCjMs9wjUr")</f>
        <v>https://xhslink.com/m/6KCjMs9wjUr</v>
      </c>
      <c r="D698"/>
      <c r="E698">
        <v>7597</v>
      </c>
      <c r="F698">
        <v>27.9</v>
      </c>
      <c r="G698"/>
      <c r="H698">
        <v>400</v>
      </c>
      <c r="I698" t="inlineStr">
        <is>
          <t>饰品</t>
        </is>
      </c>
      <c r="J698" t="inlineStr">
        <is>
          <t>0.05</t>
        </is>
      </c>
      <c r="K698"/>
      <c r="L698" t="inlineStr">
        <is>
          <t>ShiChuanDaiJia.的店</t>
        </is>
      </c>
      <c r="M698">
        <v>180000</v>
      </c>
      <c r="N698">
        <v>4.55</v>
      </c>
      <c r="O698">
        <v>47000</v>
      </c>
      <c r="P698" t="inlineStr">
        <is>
          <t>68fb95703f37a90001f2b313</t>
        </is>
      </c>
      <c r="Q698" t="inlineStr">
        <is>
          <t>🚫重复</t>
        </is>
      </c>
      <c r="R698" t="inlineStr">
        <is>
          <t>14周</t>
        </is>
      </c>
      <c r="S698" t="inlineStr">
        <is>
          <t>0.04</t>
        </is>
      </c>
      <c r="T698" t="inlineStr">
        <is>
          <t>服饰穿搭</t>
        </is>
      </c>
      <c r="U698" t="inlineStr">
        <is>
          <t>配饰</t>
        </is>
      </c>
      <c r="V698" s="3">
        <v>46112.78107638889</v>
      </c>
      <c r="W698" t="inlineStr">
        <is>
          <t>2026-Q1</t>
        </is>
      </c>
    </row>
    <row r="699" ht="25.5" customHeight="1">
      <c r="A699" t="inlineStr">
        <is>
          <t>【顺丰】早餐早饭速食清明粿果饼零食糯米粿蒿子粑粑咸口青团艾草</t>
        </is>
      </c>
      <c r="B699" t="inlineStr">
        <is>
          <t>recveckoIE9Jk7.jpg</t>
        </is>
      </c>
      <c r="C699" s="2" t="str">
        <f>=HYPERLINK("https://xhslink.com/m/8AMCEbT83A4", "https://xhslink.com/m/8AMCEbT83A4")</f>
        <v>https://xhslink.com/m/8AMCEbT83A4</v>
      </c>
      <c r="D699"/>
      <c r="E699">
        <v>40000</v>
      </c>
      <c r="F699">
        <v>31.99</v>
      </c>
      <c r="G699"/>
      <c r="H699">
        <v>400</v>
      </c>
      <c r="I699" t="inlineStr">
        <is>
          <t>零食</t>
        </is>
      </c>
      <c r="J699" t="inlineStr">
        <is>
          <t>0.01</t>
        </is>
      </c>
      <c r="K699" t="inlineStr">
        <is>
          <t>🔥低粉爆款</t>
        </is>
      </c>
      <c r="L699" t="inlineStr">
        <is>
          <t>反正我是有钱人的店</t>
        </is>
      </c>
      <c r="M699">
        <v>5529</v>
      </c>
      <c r="N699">
        <v>4.65</v>
      </c>
      <c r="O699">
        <v>52000</v>
      </c>
      <c r="P699" t="inlineStr">
        <is>
          <t>6710fbc6deb6c200015dc57c</t>
        </is>
      </c>
      <c r="Q699" t="inlineStr">
        <is>
          <t>🚫重复</t>
        </is>
      </c>
      <c r="R699" t="inlineStr">
        <is>
          <t>14周</t>
        </is>
      </c>
      <c r="S699" t="inlineStr">
        <is>
          <t>7.23</t>
        </is>
      </c>
      <c r="T699" t="inlineStr">
        <is>
          <t>美食滋补</t>
        </is>
      </c>
      <c r="U699" t="inlineStr">
        <is>
          <t>休闲零食</t>
        </is>
      </c>
      <c r="V699" s="3">
        <v>46112.78107638889</v>
      </c>
      <c r="W699" t="inlineStr">
        <is>
          <t>2026-Q1</t>
        </is>
      </c>
    </row>
    <row r="700" ht="25.5" customHeight="1">
      <c r="A700" t="inlineStr">
        <is>
          <t>易思通 · 学习英语从无助到入门（主页有试读专辑，找不到请咨询客服）</t>
        </is>
      </c>
      <c r="B700" t="inlineStr">
        <is>
          <t>recveckoIEsKlI.jpg</t>
        </is>
      </c>
      <c r="C700" s="2" t="str">
        <f>=HYPERLINK("https://xhslink.com/m/1iD7fGduUan", "https://xhslink.com/m/1iD7fGduUan")</f>
        <v>https://xhslink.com/m/1iD7fGduUan</v>
      </c>
      <c r="D700"/>
      <c r="E700">
        <v>21000</v>
      </c>
      <c r="F700">
        <v>128</v>
      </c>
      <c r="G700"/>
      <c r="H700">
        <v>400</v>
      </c>
      <c r="I700" t="inlineStr">
        <is>
          <t>英语</t>
        </is>
      </c>
      <c r="J700" t="inlineStr">
        <is>
          <t>0.02</t>
        </is>
      </c>
      <c r="K700"/>
      <c r="L700" t="inlineStr">
        <is>
          <t>易思通的店</t>
        </is>
      </c>
      <c r="M700">
        <v>13000</v>
      </c>
      <c r="N700">
        <v>4.52</v>
      </c>
      <c r="O700">
        <v>24000</v>
      </c>
      <c r="P700" t="inlineStr">
        <is>
          <t>65996a1aa0c2b7000142170d</t>
        </is>
      </c>
      <c r="Q700"/>
      <c r="R700" t="inlineStr">
        <is>
          <t>14周</t>
        </is>
      </c>
      <c r="S700" t="inlineStr">
        <is>
          <t>1.62</t>
        </is>
      </c>
      <c r="T700" t="inlineStr">
        <is>
          <t>运动潮玩</t>
        </is>
      </c>
      <c r="U700" t="inlineStr">
        <is>
          <t>图书文创</t>
        </is>
      </c>
      <c r="V700" s="3">
        <v>46112.78107638889</v>
      </c>
      <c r="W700" t="inlineStr">
        <is>
          <t>2026-Q1</t>
        </is>
      </c>
    </row>
    <row r="701" ht="25.5" customHeight="1">
      <c r="A701" t="inlineStr">
        <is>
          <t>自制跑量款！260g克重 夏季修身正肩掐腰T恤 小圆领/圆U领</t>
        </is>
      </c>
      <c r="B701" t="inlineStr">
        <is>
          <t>recved8o2DyCCs.jpg</t>
        </is>
      </c>
      <c r="C701" s="2" t="str">
        <f>=HYPERLINK("https://xhslink.com/m/29cPrI57kZH", "https://xhslink.com/m/29cPrI57kZH")</f>
        <v>https://xhslink.com/m/29cPrI57kZH</v>
      </c>
      <c r="D701"/>
      <c r="E701">
        <v>16000</v>
      </c>
      <c r="F701">
        <v>75</v>
      </c>
      <c r="G701">
        <v>59</v>
      </c>
      <c r="H701">
        <v>400</v>
      </c>
      <c r="I701" t="inlineStr">
        <is>
          <t>T恤</t>
        </is>
      </c>
      <c r="J701" t="inlineStr">
        <is>
          <t>0.03</t>
        </is>
      </c>
      <c r="K701"/>
      <c r="L701" t="inlineStr">
        <is>
          <t>你的小面包little bread的店</t>
        </is>
      </c>
      <c r="M701">
        <v>29000</v>
      </c>
      <c r="N701">
        <v>4.54</v>
      </c>
      <c r="O701">
        <v>170000</v>
      </c>
      <c r="P701" t="inlineStr">
        <is>
          <t>67a4655397ab01000185f821</t>
        </is>
      </c>
      <c r="Q701" t="inlineStr">
        <is>
          <t>🚫重复</t>
        </is>
      </c>
      <c r="R701" t="inlineStr">
        <is>
          <t>14周</t>
        </is>
      </c>
      <c r="S701" t="inlineStr">
        <is>
          <t>0.55</t>
        </is>
      </c>
      <c r="T701" t="inlineStr">
        <is>
          <t>服饰穿搭</t>
        </is>
      </c>
      <c r="U701" t="inlineStr">
        <is>
          <t>女装</t>
        </is>
      </c>
      <c r="V701" s="3">
        <v>46112.78107638889</v>
      </c>
      <c r="W701" t="inlineStr">
        <is>
          <t>2026-Q1</t>
        </is>
      </c>
    </row>
    <row r="702" ht="25.5" customHeight="1">
      <c r="A702" t="inlineStr">
        <is>
          <t>灰色棉U领正肩短袖T恤女夏季简约百搭美式辣妹修身显瘦收腰上衣</t>
        </is>
      </c>
      <c r="B702" t="inlineStr">
        <is>
          <t>recved8o2DeV4O.jpg</t>
        </is>
      </c>
      <c r="C702" s="2" t="str">
        <f>=HYPERLINK("https://xhslink.com/m/9oXouLvqwk8", "https://xhslink.com/m/9oXouLvqwk8")</f>
        <v>https://xhslink.com/m/9oXouLvqwk8</v>
      </c>
      <c r="D702"/>
      <c r="E702">
        <v>62000</v>
      </c>
      <c r="F702">
        <v>39.9</v>
      </c>
      <c r="G702">
        <v>37.9</v>
      </c>
      <c r="H702">
        <v>400</v>
      </c>
      <c r="I702" t="inlineStr">
        <is>
          <t>T恤</t>
        </is>
      </c>
      <c r="J702" t="inlineStr">
        <is>
          <t>0.01</t>
        </is>
      </c>
      <c r="K702"/>
      <c r="L702" t="inlineStr">
        <is>
          <t>老虎的黄金的店</t>
        </is>
      </c>
      <c r="M702">
        <v>35000</v>
      </c>
      <c r="N702">
        <v>4.43</v>
      </c>
      <c r="O702">
        <v>216000</v>
      </c>
      <c r="P702" t="inlineStr">
        <is>
          <t>678ca93320a16b0001379807</t>
        </is>
      </c>
      <c r="Q702" t="inlineStr">
        <is>
          <t>🚫重复</t>
        </is>
      </c>
      <c r="R702" t="inlineStr">
        <is>
          <t>14周</t>
        </is>
      </c>
      <c r="S702" t="inlineStr">
        <is>
          <t>1.77</t>
        </is>
      </c>
      <c r="T702" t="inlineStr">
        <is>
          <t>服饰穿搭</t>
        </is>
      </c>
      <c r="U702" t="inlineStr">
        <is>
          <t>女装</t>
        </is>
      </c>
      <c r="V702" s="3">
        <v>46112.78107638889</v>
      </c>
      <c r="W702" t="inlineStr">
        <is>
          <t>2026-Q1</t>
        </is>
      </c>
    </row>
    <row r="703" ht="25.5" customHeight="1">
      <c r="A703" t="inlineStr">
        <is>
          <t>顺丰包邮云南新鲜红皮波姬无花果软糯清甜孕妇应季水果坏果包赔</t>
        </is>
      </c>
      <c r="B703" t="inlineStr">
        <is>
          <t>recvei9USZXs8c.jpg</t>
        </is>
      </c>
      <c r="C703" s="2" t="str">
        <f>=HYPERLINK("https://xhslink.com/m/5jgDD1bcxLG", "https://xhslink.com/m/5jgDD1bcxLG")</f>
        <v>https://xhslink.com/m/5jgDD1bcxLG</v>
      </c>
      <c r="D703"/>
      <c r="E703">
        <v>4126</v>
      </c>
      <c r="F703">
        <v>159.8</v>
      </c>
      <c r="G703">
        <v>127</v>
      </c>
      <c r="H703">
        <v>400</v>
      </c>
      <c r="I703" t="inlineStr">
        <is>
          <t>水果</t>
        </is>
      </c>
      <c r="J703" t="inlineStr">
        <is>
          <t>0.10</t>
        </is>
      </c>
      <c r="K703" t="inlineStr">
        <is>
          <t>🔥低粉爆款</t>
        </is>
      </c>
      <c r="L703" t="inlineStr">
        <is>
          <t>宜佳鲜果铺(助农版)的店</t>
        </is>
      </c>
      <c r="M703">
        <v>151</v>
      </c>
      <c r="N703">
        <v>4.57</v>
      </c>
      <c r="O703">
        <v>4772</v>
      </c>
      <c r="P703" t="inlineStr">
        <is>
          <t>6979a709eb0d9a00010257f0</t>
        </is>
      </c>
      <c r="Q703" t="inlineStr">
        <is>
          <t>🚫重复</t>
        </is>
      </c>
      <c r="R703" t="inlineStr">
        <is>
          <t>14周</t>
        </is>
      </c>
      <c r="S703" t="inlineStr">
        <is>
          <t>27.32</t>
        </is>
      </c>
      <c r="T703" t="inlineStr">
        <is>
          <t>美食滋补</t>
        </is>
      </c>
      <c r="U703" t="inlineStr">
        <is>
          <t>生鲜特产</t>
        </is>
      </c>
      <c r="V703" s="3">
        <v>46112.78107638889</v>
      </c>
      <c r="W703" t="inlineStr">
        <is>
          <t>2026-Q1</t>
        </is>
      </c>
    </row>
    <row r="704" ht="25.5" customHeight="1">
      <c r="A704" t="inlineStr">
        <is>
          <t>【顺丰/JD】新鲜蓝莓甄选当季鲜果孕妇宝宝辅食整箱现摘SS8-1</t>
        </is>
      </c>
      <c r="B704" t="inlineStr">
        <is>
          <t>recvei9USZEurB.jpg</t>
        </is>
      </c>
      <c r="C704" s="2" t="str">
        <f>=HYPERLINK("https://xhslink.com/m/2SSfsZe48PP", "https://xhslink.com/m/2SSfsZe48PP")</f>
        <v>https://xhslink.com/m/2SSfsZe48PP</v>
      </c>
      <c r="D704"/>
      <c r="E704">
        <v>36000</v>
      </c>
      <c r="F704">
        <v>72.9</v>
      </c>
      <c r="G704">
        <v>42.9</v>
      </c>
      <c r="H704">
        <v>400</v>
      </c>
      <c r="I704" t="inlineStr">
        <is>
          <t>水果</t>
        </is>
      </c>
      <c r="J704" t="inlineStr">
        <is>
          <t>0.01</t>
        </is>
      </c>
      <c r="K704" t="inlineStr">
        <is>
          <t>🔥低粉爆款</t>
        </is>
      </c>
      <c r="L704" t="inlineStr">
        <is>
          <t>卓速配的店</t>
        </is>
      </c>
      <c r="M704">
        <v>174</v>
      </c>
      <c r="N704">
        <v>4.32</v>
      </c>
      <c r="O704">
        <v>124000</v>
      </c>
      <c r="P704" t="inlineStr">
        <is>
          <t>696af1d4306dc5000164ff3e</t>
        </is>
      </c>
      <c r="Q704" t="inlineStr">
        <is>
          <t>🚫重复</t>
        </is>
      </c>
      <c r="R704" t="inlineStr">
        <is>
          <t>14周</t>
        </is>
      </c>
      <c r="S704" t="inlineStr">
        <is>
          <t>206.90</t>
        </is>
      </c>
      <c r="T704" t="inlineStr">
        <is>
          <t>母婴亲子</t>
        </is>
      </c>
      <c r="U704" t="inlineStr">
        <is>
          <t>童装童鞋</t>
        </is>
      </c>
      <c r="V704" s="3">
        <v>46112.78107638889</v>
      </c>
      <c r="W704" t="inlineStr">
        <is>
          <t>2026-Q1</t>
        </is>
      </c>
    </row>
    <row r="705" ht="25.5" customHeight="1">
      <c r="A705" t="inlineStr">
        <is>
          <t>惹 · 粉丝福利价超薄啤酒杯，调酒杯，水杯，果汁杯，嗨棒杯，鸡尾酒杯</t>
        </is>
      </c>
      <c r="B705" t="inlineStr">
        <is>
          <t>recvei9USZOVIe.jpg</t>
        </is>
      </c>
      <c r="C705" s="2" t="str">
        <f>=HYPERLINK("https://xhslink.com/m/6RLBBou0IsW", "https://xhslink.com/m/6RLBBou0IsW")</f>
        <v>https://xhslink.com/m/6RLBBou0IsW</v>
      </c>
      <c r="D705"/>
      <c r="E705">
        <v>2135</v>
      </c>
      <c r="F705">
        <v>55</v>
      </c>
      <c r="G705"/>
      <c r="H705">
        <v>400</v>
      </c>
      <c r="I705" t="inlineStr">
        <is>
          <t>厨房</t>
        </is>
      </c>
      <c r="J705" t="inlineStr">
        <is>
          <t>0.19</t>
        </is>
      </c>
      <c r="K705"/>
      <c r="L705" t="inlineStr">
        <is>
          <t>中国手工水晶杯先行者的店</t>
        </is>
      </c>
      <c r="M705">
        <v>6154</v>
      </c>
      <c r="N705">
        <v>4.55</v>
      </c>
      <c r="O705">
        <v>10000</v>
      </c>
      <c r="P705" t="inlineStr">
        <is>
          <t>69ad816fdd2f4400013c97c5</t>
        </is>
      </c>
      <c r="Q705"/>
      <c r="R705" t="inlineStr">
        <is>
          <t>14周</t>
        </is>
      </c>
      <c r="S705" t="inlineStr">
        <is>
          <t>0.35</t>
        </is>
      </c>
      <c r="T705" t="inlineStr">
        <is>
          <t>美食滋补</t>
        </is>
      </c>
      <c r="U705" t="inlineStr">
        <is>
          <t>酒水冲饮</t>
        </is>
      </c>
      <c r="V705" s="3">
        <v>46112.78107638889</v>
      </c>
      <c r="W705" t="inlineStr">
        <is>
          <t>2026-Q1</t>
        </is>
      </c>
    </row>
    <row r="706" ht="25.5" customHeight="1">
      <c r="A706" t="inlineStr">
        <is>
          <t>长条收纳盒分隔神器桌面收纳盒衣橱柜储物抽屉化妆品手机收纳盒</t>
        </is>
      </c>
      <c r="B706" t="inlineStr">
        <is>
          <t>recvei9USZckQP.jpg</t>
        </is>
      </c>
      <c r="C706" s="2" t="str">
        <f>=HYPERLINK("https://xhslink.com/m/Afe0y75Gn3x", "https://xhslink.com/m/Afe0y75Gn3x")</f>
        <v>https://xhslink.com/m/Afe0y75Gn3x</v>
      </c>
      <c r="D706"/>
      <c r="E706">
        <v>50000</v>
      </c>
      <c r="F706">
        <v>29.9</v>
      </c>
      <c r="G706">
        <v>9.9</v>
      </c>
      <c r="H706">
        <v>400</v>
      </c>
      <c r="I706" t="inlineStr">
        <is>
          <t>抽屉收纳盒</t>
        </is>
      </c>
      <c r="J706" t="inlineStr">
        <is>
          <t>0.01</t>
        </is>
      </c>
      <c r="K706" t="inlineStr">
        <is>
          <t>🔥低粉爆款</t>
        </is>
      </c>
      <c r="L706" t="inlineStr">
        <is>
          <t>烟火气研究所的店</t>
        </is>
      </c>
      <c r="M706">
        <v>1581</v>
      </c>
      <c r="N706">
        <v>4.53</v>
      </c>
      <c r="O706">
        <v>62000</v>
      </c>
      <c r="P706" t="inlineStr">
        <is>
          <t>6888c2e5e08d4d00019b9083</t>
        </is>
      </c>
      <c r="Q706" t="inlineStr">
        <is>
          <t>🚫重复</t>
        </is>
      </c>
      <c r="R706" t="inlineStr">
        <is>
          <t>14周</t>
        </is>
      </c>
      <c r="S706" t="inlineStr">
        <is>
          <t>31.63</t>
        </is>
      </c>
      <c r="T706" t="inlineStr">
        <is>
          <t>家居生活</t>
        </is>
      </c>
      <c r="U706" t="inlineStr">
        <is>
          <t>家居日用</t>
        </is>
      </c>
      <c r="V706" s="3">
        <v>46112.78107638889</v>
      </c>
      <c r="W706" t="inlineStr">
        <is>
          <t>2026-Q1</t>
        </is>
      </c>
    </row>
    <row r="707" ht="25.5" customHeight="1">
      <c r="A707" t="inlineStr">
        <is>
          <t>森之物Thingswoo · 猫猫情绪盲盒打工人办公室桌面摆件治愈系小众可爱男女生生日礼物</t>
        </is>
      </c>
      <c r="B707" t="inlineStr">
        <is>
          <t>recvei9USZjO3L.jpg</t>
        </is>
      </c>
      <c r="C707" s="2" t="str">
        <f>=HYPERLINK("https://xhslink.com/m/9Gf27yJbqqv", "https://xhslink.com/m/9Gf27yJbqqv")</f>
        <v>https://xhslink.com/m/9Gf27yJbqqv</v>
      </c>
      <c r="D707"/>
      <c r="E707">
        <v>7819</v>
      </c>
      <c r="F707">
        <v>62.9</v>
      </c>
      <c r="G707">
        <v>59.9</v>
      </c>
      <c r="H707">
        <v>400</v>
      </c>
      <c r="I707" t="inlineStr">
        <is>
          <t>小摆件</t>
        </is>
      </c>
      <c r="J707" t="inlineStr">
        <is>
          <t>0.05</t>
        </is>
      </c>
      <c r="K707" t="inlineStr">
        <is>
          <t>🔥低粉爆款</t>
        </is>
      </c>
      <c r="L707" t="inlineStr">
        <is>
          <t>一口小甜咪的店</t>
        </is>
      </c>
      <c r="M707">
        <v>1458</v>
      </c>
      <c r="N707">
        <v>4.68</v>
      </c>
      <c r="O707">
        <v>9157</v>
      </c>
      <c r="P707" t="inlineStr">
        <is>
          <t>68f5f1c4b8a4f60001a6455e</t>
        </is>
      </c>
      <c r="Q707" t="inlineStr">
        <is>
          <t>🚫重复</t>
        </is>
      </c>
      <c r="R707" t="inlineStr">
        <is>
          <t>14周</t>
        </is>
      </c>
      <c r="S707" t="inlineStr">
        <is>
          <t>5.36</t>
        </is>
      </c>
      <c r="T707" t="inlineStr">
        <is>
          <t>家居生活</t>
        </is>
      </c>
      <c r="U707" t="inlineStr">
        <is>
          <t>家具家装</t>
        </is>
      </c>
      <c r="V707" s="3">
        <v>46112.78107638889</v>
      </c>
      <c r="W707" t="inlineStr">
        <is>
          <t>2026-Q1</t>
        </is>
      </c>
    </row>
    <row r="708" ht="25.5" customHeight="1">
      <c r="A708" t="inlineStr">
        <is>
          <t>捡漏！拍一发三外贸尾单特价藤编中古田园风ins可拆花盆架收纳筐</t>
        </is>
      </c>
      <c r="B708" t="inlineStr">
        <is>
          <t>recvei9USZhaEf.jpg</t>
        </is>
      </c>
      <c r="C708" s="2" t="str">
        <f>=HYPERLINK("https://xhslink.com/m/8uv6ixQESME", "https://xhslink.com/m/8uv6ixQESME")</f>
        <v>https://xhslink.com/m/8uv6ixQESME</v>
      </c>
      <c r="D708"/>
      <c r="E708">
        <v>1074</v>
      </c>
      <c r="F708">
        <v>56.9</v>
      </c>
      <c r="G708">
        <v>47.07</v>
      </c>
      <c r="H708">
        <v>400</v>
      </c>
      <c r="I708" t="inlineStr">
        <is>
          <t>家居</t>
        </is>
      </c>
      <c r="J708" t="inlineStr">
        <is>
          <t>0.37</t>
        </is>
      </c>
      <c r="K708"/>
      <c r="L708" t="inlineStr">
        <is>
          <t>大福大吉藤造家居的店</t>
        </is>
      </c>
      <c r="M708">
        <v>11000</v>
      </c>
      <c r="N708">
        <v>4.48</v>
      </c>
      <c r="O708">
        <v>18000</v>
      </c>
      <c r="P708" t="inlineStr">
        <is>
          <t>66bdc84f169ddd0001369b7d</t>
        </is>
      </c>
      <c r="Q708"/>
      <c r="R708" t="inlineStr">
        <is>
          <t>14周</t>
        </is>
      </c>
      <c r="S708" t="inlineStr">
        <is>
          <t>0.10</t>
        </is>
      </c>
      <c r="T708" t="inlineStr">
        <is>
          <t>家居生活</t>
        </is>
      </c>
      <c r="U708" t="inlineStr">
        <is>
          <t>家居日用</t>
        </is>
      </c>
      <c r="V708" s="3">
        <v>46112.78107638889</v>
      </c>
      <c r="W708" t="inlineStr">
        <is>
          <t>2026-Q1</t>
        </is>
      </c>
    </row>
    <row r="709" ht="25.5" customHeight="1">
      <c r="A709" t="inlineStr">
        <is>
          <t>阿芮叱·经典防水台一字带细跟黑色凉鞋模特走秀高跟鞋【正常发货</t>
        </is>
      </c>
      <c r="B709" t="inlineStr">
        <is>
          <t>recvekduUIc7ak.jpg</t>
        </is>
      </c>
      <c r="C709" s="2" t="str">
        <f>=HYPERLINK("https://xhslink.com/m/Vcw8WnMppO", "https://xhslink.com/m/Vcw8WnMppO")</f>
        <v>https://xhslink.com/m/Vcw8WnMppO</v>
      </c>
      <c r="D709"/>
      <c r="E709">
        <v>25000</v>
      </c>
      <c r="F709">
        <v>200</v>
      </c>
      <c r="G709">
        <v>146.9</v>
      </c>
      <c r="H709">
        <v>400</v>
      </c>
      <c r="I709" t="inlineStr">
        <is>
          <t>鞋靴</t>
        </is>
      </c>
      <c r="J709" t="inlineStr">
        <is>
          <t>0.02</t>
        </is>
      </c>
      <c r="K709"/>
      <c r="L709" t="inlineStr">
        <is>
          <t>阿芮叱的店</t>
        </is>
      </c>
      <c r="M709">
        <v>33000</v>
      </c>
      <c r="N709">
        <v>4.67</v>
      </c>
      <c r="O709">
        <v>153000</v>
      </c>
      <c r="P709" t="inlineStr">
        <is>
          <t>6666d9bded6bc10001098a23</t>
        </is>
      </c>
      <c r="Q709" t="inlineStr">
        <is>
          <t>🚫重复</t>
        </is>
      </c>
      <c r="R709" t="inlineStr">
        <is>
          <t>14周</t>
        </is>
      </c>
      <c r="S709" t="inlineStr">
        <is>
          <t>0.76</t>
        </is>
      </c>
      <c r="T709" t="inlineStr">
        <is>
          <t>服饰穿搭</t>
        </is>
      </c>
      <c r="U709" t="inlineStr">
        <is>
          <t>鞋靴箱包</t>
        </is>
      </c>
      <c r="V709" s="3">
        <v>46112.78107638889</v>
      </c>
      <c r="W709" t="inlineStr">
        <is>
          <t>2026-Q1</t>
        </is>
      </c>
    </row>
    <row r="710" ht="25.5" customHeight="1">
      <c r="A710" t="inlineStr">
        <is>
          <t>PP蛋卷跟高7cm五金帆布高帮鞋</t>
        </is>
      </c>
      <c r="B710" t="inlineStr">
        <is>
          <t>recvekduUIyiNl.jpg</t>
        </is>
      </c>
      <c r="C710" s="2" t="str">
        <f>=HYPERLINK("https://xhslink.com/m/2DzF7CLGnDm", "https://xhslink.com/m/2DzF7CLGnDm")</f>
        <v>https://xhslink.com/m/2DzF7CLGnDm</v>
      </c>
      <c r="D710"/>
      <c r="E710">
        <v>9221</v>
      </c>
      <c r="F710">
        <v>89</v>
      </c>
      <c r="G710">
        <v>86</v>
      </c>
      <c r="H710">
        <v>400</v>
      </c>
      <c r="I710" t="inlineStr">
        <is>
          <t>鞋靴</t>
        </is>
      </c>
      <c r="J710" t="inlineStr">
        <is>
          <t>0.04</t>
        </is>
      </c>
      <c r="K710"/>
      <c r="L710" t="inlineStr">
        <is>
          <t>PP蛋卷的店</t>
        </is>
      </c>
      <c r="M710">
        <v>14000</v>
      </c>
      <c r="N710">
        <v>4.73</v>
      </c>
      <c r="O710">
        <v>21000</v>
      </c>
      <c r="P710" t="inlineStr">
        <is>
          <t>68555d14a066020001d6f913</t>
        </is>
      </c>
      <c r="Q710" t="inlineStr">
        <is>
          <t>🚫重复</t>
        </is>
      </c>
      <c r="R710" t="inlineStr">
        <is>
          <t>14周</t>
        </is>
      </c>
      <c r="S710" t="inlineStr">
        <is>
          <t>0.66</t>
        </is>
      </c>
      <c r="T710" t="inlineStr">
        <is>
          <t>服饰穿搭</t>
        </is>
      </c>
      <c r="U710" t="inlineStr">
        <is>
          <t>鞋靴箱包</t>
        </is>
      </c>
      <c r="V710" s="3">
        <v>46112.78107638889</v>
      </c>
      <c r="W710" t="inlineStr">
        <is>
          <t>2026-Q1</t>
        </is>
      </c>
    </row>
    <row r="711" ht="25.5" customHeight="1">
      <c r="A711" t="inlineStr">
        <is>
          <t>舟山弄堂薄皮小馄饨手工现做，薄如蝉翼，只用本地猪，新鲜早餐</t>
        </is>
      </c>
      <c r="B711" t="inlineStr">
        <is>
          <t>recvekduUI8pox.jpg</t>
        </is>
      </c>
      <c r="C711" s="2" t="str">
        <f>=HYPERLINK("https://xhslink.com/m/8wgXUE3gWHx", "https://xhslink.com/m/8wgXUE3gWHx")</f>
        <v>https://xhslink.com/m/8wgXUE3gWHx</v>
      </c>
      <c r="D711"/>
      <c r="E711">
        <v>61000</v>
      </c>
      <c r="F711">
        <v>129.9</v>
      </c>
      <c r="G711"/>
      <c r="H711">
        <v>400</v>
      </c>
      <c r="I711" t="inlineStr">
        <is>
          <t>速食冻品</t>
        </is>
      </c>
      <c r="J711" t="inlineStr">
        <is>
          <t>0.01</t>
        </is>
      </c>
      <c r="K711" t="inlineStr">
        <is>
          <t>🔥低粉爆款</t>
        </is>
      </c>
      <c r="L711" t="inlineStr">
        <is>
          <t>三兔船长的店</t>
        </is>
      </c>
      <c r="M711">
        <v>20000</v>
      </c>
      <c r="N711">
        <v>4.66</v>
      </c>
      <c r="O711">
        <v>109000</v>
      </c>
      <c r="P711" t="inlineStr">
        <is>
          <t>67cab44c2aad82000122f530</t>
        </is>
      </c>
      <c r="Q711" t="inlineStr">
        <is>
          <t>🚫重复</t>
        </is>
      </c>
      <c r="R711" t="inlineStr">
        <is>
          <t>14周</t>
        </is>
      </c>
      <c r="S711" t="inlineStr">
        <is>
          <t>3.05</t>
        </is>
      </c>
      <c r="T711" t="inlineStr">
        <is>
          <t>美食滋补</t>
        </is>
      </c>
      <c r="U711" t="inlineStr">
        <is>
          <t>休闲零食</t>
        </is>
      </c>
      <c r="V711" s="3">
        <v>46112.78107638889</v>
      </c>
      <c r="W711" t="inlineStr">
        <is>
          <t>2026-Q1</t>
        </is>
      </c>
    </row>
    <row r="712" ht="25.5" customHeight="1">
      <c r="A712" t="inlineStr">
        <is>
          <t>DDD攀枝花超好吃的老品种番茄果味浓郁/不硬心</t>
        </is>
      </c>
      <c r="B712" t="inlineStr">
        <is>
          <t>recvekduUIHct5.jpg</t>
        </is>
      </c>
      <c r="C712" s="2" t="str">
        <f>=HYPERLINK("https://xhslink.com/m/22puzs3jREm", "https://xhslink.com/m/22puzs3jREm")</f>
        <v>https://xhslink.com/m/22puzs3jREm</v>
      </c>
      <c r="D712"/>
      <c r="E712">
        <v>428000</v>
      </c>
      <c r="F712">
        <v>36.9</v>
      </c>
      <c r="G712">
        <v>26.9</v>
      </c>
      <c r="H712">
        <v>400</v>
      </c>
      <c r="I712" t="inlineStr">
        <is>
          <t>蔬菜</t>
        </is>
      </c>
      <c r="J712" t="inlineStr">
        <is>
          <t>0.00</t>
        </is>
      </c>
      <c r="K712" t="inlineStr">
        <is>
          <t>🔥低粉爆款</t>
        </is>
      </c>
      <c r="L712" t="inlineStr">
        <is>
          <t>李丹丹DDD的店</t>
        </is>
      </c>
      <c r="M712">
        <v>76000</v>
      </c>
      <c r="N712">
        <v>4.49</v>
      </c>
      <c r="O712">
        <v>953000</v>
      </c>
      <c r="P712" t="inlineStr">
        <is>
          <t>6885bec3ebefca0001360158</t>
        </is>
      </c>
      <c r="Q712" t="inlineStr">
        <is>
          <t>🚫重复</t>
        </is>
      </c>
      <c r="R712" t="inlineStr">
        <is>
          <t>14周</t>
        </is>
      </c>
      <c r="S712" t="inlineStr">
        <is>
          <t>5.63</t>
        </is>
      </c>
      <c r="T712" t="inlineStr">
        <is>
          <t>美食滋补</t>
        </is>
      </c>
      <c r="U712" t="inlineStr">
        <is>
          <t>生鲜特产</t>
        </is>
      </c>
      <c r="V712" s="3">
        <v>46112.78107638889</v>
      </c>
      <c r="W712" t="inlineStr">
        <is>
          <t>2026-Q1</t>
        </is>
      </c>
    </row>
    <row r="713" ht="25.5" customHeight="1">
      <c r="A713" t="inlineStr">
        <is>
          <t>四川攀枝花沙瓤西红柿番茄生吃水果新鲜蔬菜露天自然生长现摘现发</t>
        </is>
      </c>
      <c r="B713" t="inlineStr">
        <is>
          <t>recvekduUI77PK.jpg</t>
        </is>
      </c>
      <c r="C713" s="2" t="str">
        <f>=HYPERLINK("https://xhslink.com/m/9BTsPFlXPpU", "https://xhslink.com/m/9BTsPFlXPpU")</f>
        <v>https://xhslink.com/m/9BTsPFlXPpU</v>
      </c>
      <c r="D713"/>
      <c r="E713">
        <v>1540</v>
      </c>
      <c r="F713">
        <v>35.9</v>
      </c>
      <c r="G713">
        <v>21.9</v>
      </c>
      <c r="H713">
        <v>400</v>
      </c>
      <c r="I713" t="inlineStr">
        <is>
          <t>蔬菜</t>
        </is>
      </c>
      <c r="J713" t="inlineStr">
        <is>
          <t>0.26</t>
        </is>
      </c>
      <c r="K713" t="inlineStr">
        <is>
          <t>🔥低粉爆款</t>
        </is>
      </c>
      <c r="L713" t="inlineStr">
        <is>
          <t>欣欣超爱吃的店</t>
        </is>
      </c>
      <c r="M713">
        <v>26</v>
      </c>
      <c r="N713">
        <v>4.61</v>
      </c>
      <c r="O713">
        <v>1576</v>
      </c>
      <c r="P713" t="inlineStr">
        <is>
          <t>69a9017428de7400157e188e</t>
        </is>
      </c>
      <c r="Q713"/>
      <c r="R713" t="inlineStr">
        <is>
          <t>14周</t>
        </is>
      </c>
      <c r="S713" t="inlineStr">
        <is>
          <t>59.23</t>
        </is>
      </c>
      <c r="T713" t="inlineStr">
        <is>
          <t>美食滋补</t>
        </is>
      </c>
      <c r="U713" t="inlineStr">
        <is>
          <t>生鲜特产</t>
        </is>
      </c>
      <c r="V713" s="3">
        <v>46112.78107638889</v>
      </c>
      <c r="W713" t="inlineStr">
        <is>
          <t>2026-Q1</t>
        </is>
      </c>
    </row>
    <row r="714" ht="25.5" customHeight="1">
      <c r="A714" t="inlineStr">
        <is>
          <t>Find it · 车载香薰固体香膏持久留香车用香氛摆件</t>
        </is>
      </c>
      <c r="B714" t="inlineStr">
        <is>
          <t>recvekduUIQfBu.jpg</t>
        </is>
      </c>
      <c r="C714" s="2" t="str">
        <f>=HYPERLINK("https://xhslink.com/m/9ITrlgOOGwz", "https://xhslink.com/m/9ITrlgOOGwz")</f>
        <v>https://xhslink.com/m/9ITrlgOOGwz</v>
      </c>
      <c r="D714"/>
      <c r="E714">
        <v>1681</v>
      </c>
      <c r="F714">
        <v>59</v>
      </c>
      <c r="G714"/>
      <c r="H714">
        <v>400</v>
      </c>
      <c r="I714" t="inlineStr">
        <is>
          <t>车载香薰</t>
        </is>
      </c>
      <c r="J714" t="inlineStr">
        <is>
          <t>0.24</t>
        </is>
      </c>
      <c r="K714"/>
      <c r="L714" t="inlineStr">
        <is>
          <t>Find it车载香薰的店</t>
        </is>
      </c>
      <c r="M714">
        <v>1701</v>
      </c>
      <c r="N714">
        <v>3.89</v>
      </c>
      <c r="O714">
        <v>47000</v>
      </c>
      <c r="P714" t="inlineStr">
        <is>
          <t>691acb1360f59700016f0977</t>
        </is>
      </c>
      <c r="Q714" t="inlineStr">
        <is>
          <t>🚫重复</t>
        </is>
      </c>
      <c r="R714" t="inlineStr">
        <is>
          <t>14周</t>
        </is>
      </c>
      <c r="S714" t="inlineStr">
        <is>
          <t>0.99</t>
        </is>
      </c>
      <c r="T714" t="inlineStr">
        <is>
          <t>家居生活</t>
        </is>
      </c>
      <c r="U714" t="inlineStr">
        <is>
          <t>家居日用</t>
        </is>
      </c>
      <c r="V714" s="3">
        <v>46112.78107638889</v>
      </c>
      <c r="W714" t="inlineStr">
        <is>
          <t>2026-Q1</t>
        </is>
      </c>
    </row>
    <row r="715" ht="25.5" customHeight="1">
      <c r="A715" t="inlineStr">
        <is>
          <t>山系三合一可拆卸加绒冲锋衣女徒步登山情侣城市户外三防外套男</t>
        </is>
      </c>
      <c r="B715" t="inlineStr">
        <is>
          <t>recveqrflnvZRG.jpg</t>
        </is>
      </c>
      <c r="C715" s="2" t="str">
        <f>=HYPERLINK("https://xhslink.com/m/615Tq6DJDBx", "https://xhslink.com/m/615Tq6DJDBx")</f>
        <v>https://xhslink.com/m/615Tq6DJDBx</v>
      </c>
      <c r="D715"/>
      <c r="E715">
        <v>18000</v>
      </c>
      <c r="F715">
        <v>209</v>
      </c>
      <c r="G715">
        <v>129</v>
      </c>
      <c r="H715">
        <v>400</v>
      </c>
      <c r="I715" t="inlineStr">
        <is>
          <t>外套</t>
        </is>
      </c>
      <c r="J715" t="inlineStr">
        <is>
          <t>0.02</t>
        </is>
      </c>
      <c r="K715"/>
      <c r="L715" t="inlineStr">
        <is>
          <t>果果studio的店</t>
        </is>
      </c>
      <c r="M715">
        <v>22000</v>
      </c>
      <c r="N715">
        <v>4.67</v>
      </c>
      <c r="O715">
        <v>168000</v>
      </c>
      <c r="P715" t="inlineStr">
        <is>
          <t>69271c1b02b98c0015b5498f</t>
        </is>
      </c>
      <c r="Q715" t="inlineStr">
        <is>
          <t>🚫重复</t>
        </is>
      </c>
      <c r="R715" t="inlineStr">
        <is>
          <t>14周</t>
        </is>
      </c>
      <c r="S715" t="inlineStr">
        <is>
          <t>0.82</t>
        </is>
      </c>
      <c r="T715" t="inlineStr">
        <is>
          <t>服饰穿搭</t>
        </is>
      </c>
      <c r="U715" t="inlineStr">
        <is>
          <t>女装</t>
        </is>
      </c>
      <c r="V715" s="3">
        <v>46112.78107638889</v>
      </c>
      <c r="W715" t="inlineStr">
        <is>
          <t>2026-Q1</t>
        </is>
      </c>
    </row>
    <row r="716" ht="25.5" customHeight="1">
      <c r="A716" t="inlineStr">
        <is>
          <t>【前32000立减40】复合华棉270g重磅亨利领打底衫拼接大码长袖T恤</t>
        </is>
      </c>
      <c r="B716" t="inlineStr">
        <is>
          <t>recveqrflnGwxf.jpg</t>
        </is>
      </c>
      <c r="C716" s="2" t="str">
        <f>=HYPERLINK("https://xhslink.com/m/7xlnyO3RWJv", "https://xhslink.com/m/7xlnyO3RWJv")</f>
        <v>https://xhslink.com/m/7xlnyO3RWJv</v>
      </c>
      <c r="D716"/>
      <c r="E716">
        <v>30000</v>
      </c>
      <c r="F716">
        <v>85</v>
      </c>
      <c r="G716">
        <v>45</v>
      </c>
      <c r="H716">
        <v>400</v>
      </c>
      <c r="I716" t="inlineStr">
        <is>
          <t>T恤</t>
        </is>
      </c>
      <c r="J716" t="inlineStr">
        <is>
          <t>0.01</t>
        </is>
      </c>
      <c r="K716" t="inlineStr">
        <is>
          <t>🔥低粉爆款</t>
        </is>
      </c>
      <c r="L716" t="inlineStr">
        <is>
          <t>摆烂所LAB的店</t>
        </is>
      </c>
      <c r="M716">
        <v>10000</v>
      </c>
      <c r="N716">
        <v>4.62</v>
      </c>
      <c r="O716">
        <v>164000</v>
      </c>
      <c r="P716" t="inlineStr">
        <is>
          <t>69a41b8f5be6c10001dc808e</t>
        </is>
      </c>
      <c r="Q716" t="inlineStr">
        <is>
          <t>🚫重复</t>
        </is>
      </c>
      <c r="R716" t="inlineStr">
        <is>
          <t>14周</t>
        </is>
      </c>
      <c r="S716" t="inlineStr">
        <is>
          <t>3.00</t>
        </is>
      </c>
      <c r="T716" t="inlineStr">
        <is>
          <t>服饰穿搭</t>
        </is>
      </c>
      <c r="U716" t="inlineStr">
        <is>
          <t>女装</t>
        </is>
      </c>
      <c r="V716" s="3">
        <v>46112.78107638889</v>
      </c>
      <c r="W716" t="inlineStr">
        <is>
          <t>2026-Q1</t>
        </is>
      </c>
    </row>
    <row r="717" ht="25.5" customHeight="1">
      <c r="A717" t="inlineStr">
        <is>
          <t>云朵感柔软舒适宽松基础款长袖T恤</t>
        </is>
      </c>
      <c r="B717" t="inlineStr">
        <is>
          <t>recveqrflnf8CI.jpg</t>
        </is>
      </c>
      <c r="C717" s="2" t="str">
        <f>=HYPERLINK("https://xhslink.com/m/2pbdA5PQc4P", "https://xhslink.com/m/2pbdA5PQc4P")</f>
        <v>https://xhslink.com/m/2pbdA5PQc4P</v>
      </c>
      <c r="D717"/>
      <c r="E717">
        <v>34000</v>
      </c>
      <c r="F717">
        <v>138</v>
      </c>
      <c r="G717">
        <v>79</v>
      </c>
      <c r="H717">
        <v>400</v>
      </c>
      <c r="I717" t="inlineStr">
        <is>
          <t>T恤</t>
        </is>
      </c>
      <c r="J717" t="inlineStr">
        <is>
          <t>0.01</t>
        </is>
      </c>
      <c r="K717"/>
      <c r="L717" t="inlineStr">
        <is>
          <t>一只只是我的店</t>
        </is>
      </c>
      <c r="M717">
        <v>17000</v>
      </c>
      <c r="N717">
        <v>4.72</v>
      </c>
      <c r="O717">
        <v>108000</v>
      </c>
      <c r="P717" t="inlineStr">
        <is>
          <t>68d3cd83446bce00017d3bec</t>
        </is>
      </c>
      <c r="Q717" t="inlineStr">
        <is>
          <t>🚫重复</t>
        </is>
      </c>
      <c r="R717" t="inlineStr">
        <is>
          <t>14周</t>
        </is>
      </c>
      <c r="S717" t="inlineStr">
        <is>
          <t>2.00</t>
        </is>
      </c>
      <c r="T717" t="inlineStr">
        <is>
          <t>服饰穿搭</t>
        </is>
      </c>
      <c r="U717" t="inlineStr">
        <is>
          <t>女装</t>
        </is>
      </c>
      <c r="V717" s="3">
        <v>46112.78107638889</v>
      </c>
      <c r="W717" t="inlineStr">
        <is>
          <t>2026-Q1</t>
        </is>
      </c>
    </row>
    <row r="718" ht="25.5" customHeight="1">
      <c r="A718" t="inlineStr">
        <is>
          <t>香菇公仔番茄蒲团坐垫毛绒玩具沙发靠垫床上抱枕礼物</t>
        </is>
      </c>
      <c r="B718" t="inlineStr">
        <is>
          <t>recveqrflnRQb2.jpg</t>
        </is>
      </c>
      <c r="C718" s="2" t="str">
        <f>=HYPERLINK("https://xhslink.com/m/g59aPc5MD2", "https://xhslink.com/m/g59aPc5MD2")</f>
        <v>https://xhslink.com/m/g59aPc5MD2</v>
      </c>
      <c r="D718"/>
      <c r="E718">
        <v>44000</v>
      </c>
      <c r="F718">
        <v>28.9</v>
      </c>
      <c r="G718">
        <v>7.99</v>
      </c>
      <c r="H718">
        <v>400</v>
      </c>
      <c r="I718" t="inlineStr">
        <is>
          <t>摆件</t>
        </is>
      </c>
      <c r="J718" t="inlineStr">
        <is>
          <t>0.01</t>
        </is>
      </c>
      <c r="K718" t="inlineStr">
        <is>
          <t>🔥低粉爆款</t>
        </is>
      </c>
      <c r="L718" t="inlineStr">
        <is>
          <t>一大碗土豆泥的店</t>
        </is>
      </c>
      <c r="M718">
        <v>6073</v>
      </c>
      <c r="N718">
        <v>4.12</v>
      </c>
      <c r="O718">
        <v>91000</v>
      </c>
      <c r="P718" t="inlineStr">
        <is>
          <t>6985fcd14937e70001639d19</t>
        </is>
      </c>
      <c r="Q718"/>
      <c r="R718" t="inlineStr">
        <is>
          <t>14周</t>
        </is>
      </c>
      <c r="S718" t="inlineStr">
        <is>
          <t>7.25</t>
        </is>
      </c>
      <c r="T718" t="inlineStr">
        <is>
          <t>家居生活</t>
        </is>
      </c>
      <c r="U718" t="inlineStr">
        <is>
          <t>家具家装</t>
        </is>
      </c>
      <c r="V718" s="3">
        <v>46112.78107638889</v>
      </c>
      <c r="W718" t="inlineStr">
        <is>
          <t>2026-Q1</t>
        </is>
      </c>
    </row>
    <row r="719" ht="25.5" customHeight="1">
      <c r="A719" t="inlineStr">
        <is>
          <t>泡泡玛特 · 【现货】马力全开系列 - 毛绒挂件盲盒.</t>
        </is>
      </c>
      <c r="B719" t="inlineStr">
        <is>
          <t>recveqrfln0b7D.jpg</t>
        </is>
      </c>
      <c r="C719" s="2" t="str">
        <f>=HYPERLINK("https://xhslink.com/m/8gOTTyYYeKz", "https://xhslink.com/m/8gOTTyYYeKz")</f>
        <v>https://xhslink.com/m/8gOTTyYYeKz</v>
      </c>
      <c r="D719"/>
      <c r="E719">
        <v>66000</v>
      </c>
      <c r="F719">
        <v>159</v>
      </c>
      <c r="G719"/>
      <c r="H719">
        <v>400</v>
      </c>
      <c r="I719" t="inlineStr">
        <is>
          <t>摆件</t>
        </is>
      </c>
      <c r="J719" t="inlineStr">
        <is>
          <t>0.01</t>
        </is>
      </c>
      <c r="K719"/>
      <c r="L719" t="inlineStr">
        <is>
          <t>POP MART 泡泡玛特旗舰店</t>
        </is>
      </c>
      <c r="M719">
        <v>1484000</v>
      </c>
      <c r="N719">
        <v>4.54</v>
      </c>
      <c r="O719">
        <v>2957000</v>
      </c>
      <c r="P719" t="inlineStr">
        <is>
          <t>695f5a7cb1e6660001a7b8d9</t>
        </is>
      </c>
      <c r="Q719" t="inlineStr">
        <is>
          <t>🚫重复</t>
        </is>
      </c>
      <c r="R719" t="inlineStr">
        <is>
          <t>14周</t>
        </is>
      </c>
      <c r="S719" t="inlineStr">
        <is>
          <t>0.04</t>
        </is>
      </c>
      <c r="T719" t="inlineStr">
        <is>
          <t>运动潮玩</t>
        </is>
      </c>
      <c r="U719" t="inlineStr">
        <is>
          <t>潮玩手办</t>
        </is>
      </c>
      <c r="V719" s="3">
        <v>46112.78107638889</v>
      </c>
      <c r="W719" t="inlineStr">
        <is>
          <t>2026-Q1</t>
        </is>
      </c>
    </row>
    <row r="720" ht="25.5" customHeight="1">
      <c r="A720" t="inlineStr">
        <is>
          <t>夏秋时尚裸感跑步瑜伽t恤女薄修身显瘦运动短袖气质圆领健身服女</t>
        </is>
      </c>
      <c r="B720" t="inlineStr">
        <is>
          <t>recveqrflnJX6u.jpg</t>
        </is>
      </c>
      <c r="C720" s="2" t="str">
        <f>=HYPERLINK("https://xhslink.com/m/6RBehnQE7Jx", "https://xhslink.com/m/6RBehnQE7Jx")</f>
        <v>https://xhslink.com/m/6RBehnQE7Jx</v>
      </c>
      <c r="D720"/>
      <c r="E720">
        <v>3755</v>
      </c>
      <c r="F720">
        <v>79</v>
      </c>
      <c r="G720">
        <v>53</v>
      </c>
      <c r="H720">
        <v>400</v>
      </c>
      <c r="I720" t="inlineStr">
        <is>
          <t>瑜伽健身</t>
        </is>
      </c>
      <c r="J720" t="inlineStr">
        <is>
          <t>0.11</t>
        </is>
      </c>
      <c r="K720"/>
      <c r="L720" t="inlineStr">
        <is>
          <t>漫跑爱丽丝的店</t>
        </is>
      </c>
      <c r="M720">
        <v>2412</v>
      </c>
      <c r="N720">
        <v>4.61</v>
      </c>
      <c r="O720">
        <v>15000</v>
      </c>
      <c r="P720" t="inlineStr">
        <is>
          <t>696c69bcf7c59e0001707e82</t>
        </is>
      </c>
      <c r="Q720" t="inlineStr">
        <is>
          <t>🚫重复</t>
        </is>
      </c>
      <c r="R720" t="inlineStr">
        <is>
          <t>14周</t>
        </is>
      </c>
      <c r="S720" t="inlineStr">
        <is>
          <t>1.56</t>
        </is>
      </c>
      <c r="T720" t="inlineStr">
        <is>
          <t>运动潮玩</t>
        </is>
      </c>
      <c r="U720" t="inlineStr">
        <is>
          <t>运动户外装备</t>
        </is>
      </c>
      <c r="V720" s="3">
        <v>46112.78107638889</v>
      </c>
      <c r="W720" t="inlineStr">
        <is>
          <t>2026-Q1</t>
        </is>
      </c>
    </row>
    <row r="721" ht="25.5" customHeight="1">
      <c r="A721" t="inlineStr">
        <is>
          <t>日本面料！夏季直筒棉麻长裤</t>
        </is>
      </c>
      <c r="B721" t="inlineStr">
        <is>
          <t>recveqrflnlsEk.jpg</t>
        </is>
      </c>
      <c r="C721" s="2" t="str">
        <f>=HYPERLINK("https://xhslink.com/m/7TYefRqE1ks", "https://xhslink.com/m/7TYefRqE1ks")</f>
        <v>https://xhslink.com/m/7TYefRqE1ks</v>
      </c>
      <c r="D721"/>
      <c r="E721">
        <v>5905</v>
      </c>
      <c r="F721">
        <v>698</v>
      </c>
      <c r="G721"/>
      <c r="H721">
        <v>400</v>
      </c>
      <c r="I721" t="inlineStr">
        <is>
          <t>休闲裤</t>
        </is>
      </c>
      <c r="J721" t="inlineStr">
        <is>
          <t>0.07</t>
        </is>
      </c>
      <c r="K721"/>
      <c r="L721" t="inlineStr">
        <is>
          <t>高坂大叔的店</t>
        </is>
      </c>
      <c r="M721">
        <v>112000</v>
      </c>
      <c r="N721">
        <v>4.77</v>
      </c>
      <c r="O721">
        <v>427000</v>
      </c>
      <c r="P721" t="inlineStr">
        <is>
          <t>67edf6c484d56b00013ba6b9</t>
        </is>
      </c>
      <c r="Q721" t="inlineStr">
        <is>
          <t>🚫重复</t>
        </is>
      </c>
      <c r="R721" t="inlineStr">
        <is>
          <t>14周</t>
        </is>
      </c>
      <c r="S721" t="inlineStr">
        <is>
          <t>0.05</t>
        </is>
      </c>
      <c r="T721" t="inlineStr">
        <is>
          <t>服饰穿搭</t>
        </is>
      </c>
      <c r="U721" t="inlineStr">
        <is>
          <t>女装</t>
        </is>
      </c>
      <c r="V721" s="3">
        <v>46112.78107638889</v>
      </c>
      <c r="W721" t="inlineStr">
        <is>
          <t>2026-Q1</t>
        </is>
      </c>
    </row>
    <row r="722" ht="25.5" customHeight="1">
      <c r="A722" t="inlineStr">
        <is>
          <t>厚底毛边帆布鞋女2025年秋季新款韩版百搭增高软底不累脚低帮板鞋</t>
        </is>
      </c>
      <c r="B722" t="inlineStr">
        <is>
          <t>recveqrflnu8pM.jpg</t>
        </is>
      </c>
      <c r="C722" s="2" t="str">
        <f>=HYPERLINK("https://xhslink.com/m/9VgZFKG5Bu4", "https://xhslink.com/m/9VgZFKG5Bu4")</f>
        <v>https://xhslink.com/m/9VgZFKG5Bu4</v>
      </c>
      <c r="D722"/>
      <c r="E722">
        <v>16000</v>
      </c>
      <c r="F722">
        <v>54.9</v>
      </c>
      <c r="G722"/>
      <c r="H722">
        <v>400</v>
      </c>
      <c r="I722" t="inlineStr">
        <is>
          <t>厚底鞋</t>
        </is>
      </c>
      <c r="J722" t="inlineStr">
        <is>
          <t>0.03</t>
        </is>
      </c>
      <c r="K722" t="inlineStr">
        <is>
          <t>🔥低粉爆款</t>
        </is>
      </c>
      <c r="L722" t="inlineStr">
        <is>
          <t>松荟鱼酱鞋屋的店</t>
        </is>
      </c>
      <c r="M722">
        <v>4920</v>
      </c>
      <c r="N722">
        <v>4.36</v>
      </c>
      <c r="O722">
        <v>68000</v>
      </c>
      <c r="P722" t="inlineStr">
        <is>
          <t>67f2901cb2c30c00019f0fe4</t>
        </is>
      </c>
      <c r="Q722" t="inlineStr">
        <is>
          <t>🚫重复</t>
        </is>
      </c>
      <c r="R722" t="inlineStr">
        <is>
          <t>14周</t>
        </is>
      </c>
      <c r="S722" t="inlineStr">
        <is>
          <t>3.25</t>
        </is>
      </c>
      <c r="T722" t="inlineStr">
        <is>
          <t>服饰穿搭</t>
        </is>
      </c>
      <c r="U722" t="inlineStr">
        <is>
          <t>鞋靴箱包</t>
        </is>
      </c>
      <c r="V722" s="3">
        <v>46112.78107638889</v>
      </c>
      <c r="W722" t="inlineStr">
        <is>
          <t>2026-Q1</t>
        </is>
      </c>
    </row>
    <row r="723" ht="25.5" customHeight="1">
      <c r="A723" t="inlineStr">
        <is>
          <t>妖制 · 碎发整理膏女防炸毛头发躁刘海发胶发蜡</t>
        </is>
      </c>
      <c r="B723" t="inlineStr">
        <is>
          <t>recveyWM0oGNcy.jpg</t>
        </is>
      </c>
      <c r="C723" s="2" t="str">
        <f>=HYPERLINK("https://xhslink.com/m/9To0cAOPBHD", "https://xhslink.com/m/9To0cAOPBHD")</f>
        <v>https://xhslink.com/m/9To0cAOPBHD</v>
      </c>
      <c r="D723"/>
      <c r="E723">
        <v>91000</v>
      </c>
      <c r="F723">
        <v>29.9</v>
      </c>
      <c r="G723">
        <v>26.31</v>
      </c>
      <c r="H723">
        <v>400</v>
      </c>
      <c r="I723" t="inlineStr">
        <is>
          <t>头发护理</t>
        </is>
      </c>
      <c r="J723" t="inlineStr">
        <is>
          <t>0.00</t>
        </is>
      </c>
      <c r="K723"/>
      <c r="L723" t="inlineStr">
        <is>
          <t>妖制旗舰店</t>
        </is>
      </c>
      <c r="M723">
        <v>63000</v>
      </c>
      <c r="N723">
        <v>4.53</v>
      </c>
      <c r="O723">
        <v>322000</v>
      </c>
      <c r="P723" t="inlineStr">
        <is>
          <t>66b430020c3ce9000103e30c</t>
        </is>
      </c>
      <c r="Q723"/>
      <c r="R723" t="inlineStr">
        <is>
          <t>14周</t>
        </is>
      </c>
      <c r="S723" t="inlineStr">
        <is>
          <t>1.44</t>
        </is>
      </c>
      <c r="T723" t="inlineStr">
        <is>
          <t>家居生活</t>
        </is>
      </c>
      <c r="U723" t="inlineStr">
        <is>
          <t>家居日用</t>
        </is>
      </c>
      <c r="V723" s="3">
        <v>46112.78107638889</v>
      </c>
      <c r="W723" t="inlineStr">
        <is>
          <t>2026-Q1</t>
        </is>
      </c>
    </row>
    <row r="724" ht="25.5" customHeight="1">
      <c r="A724" t="inlineStr">
        <is>
          <t>铭鑫 · 吸入式灭蚊灯USB光触媒物LED捕蚊灯宠物孕妈可用室内灭蚊</t>
        </is>
      </c>
      <c r="B724" t="inlineStr">
        <is>
          <t>recveyWM0oksZR.jpg</t>
        </is>
      </c>
      <c r="C724" s="2" t="str">
        <f>=HYPERLINK("https://xhslink.com/m/IqUFbzrUpk", "https://xhslink.com/m/IqUFbzrUpk")</f>
        <v>https://xhslink.com/m/IqUFbzrUpk</v>
      </c>
      <c r="D724"/>
      <c r="E724">
        <v>24000</v>
      </c>
      <c r="F724">
        <v>44.9</v>
      </c>
      <c r="G724">
        <v>38.9</v>
      </c>
      <c r="H724">
        <v>400</v>
      </c>
      <c r="I724" t="inlineStr">
        <is>
          <t>日用品</t>
        </is>
      </c>
      <c r="J724" t="inlineStr">
        <is>
          <t>0.02</t>
        </is>
      </c>
      <c r="K724" t="inlineStr">
        <is>
          <t>🔥低粉爆款</t>
        </is>
      </c>
      <c r="L724" t="inlineStr">
        <is>
          <t>小肥球奇趣的店</t>
        </is>
      </c>
      <c r="M724">
        <v>801</v>
      </c>
      <c r="N724">
        <v>4.76</v>
      </c>
      <c r="O724">
        <v>30000</v>
      </c>
      <c r="P724" t="inlineStr">
        <is>
          <t>6737246d4f0ec700018be00e</t>
        </is>
      </c>
      <c r="Q724"/>
      <c r="R724" t="inlineStr">
        <is>
          <t>14周</t>
        </is>
      </c>
      <c r="S724" t="inlineStr">
        <is>
          <t>29.96</t>
        </is>
      </c>
      <c r="T724" t="inlineStr">
        <is>
          <t>家居生活</t>
        </is>
      </c>
      <c r="U724" t="inlineStr">
        <is>
          <t>宠物用品</t>
        </is>
      </c>
      <c r="V724" s="3">
        <v>46112.78107638889</v>
      </c>
      <c r="W724" t="inlineStr">
        <is>
          <t>2026-Q1</t>
        </is>
      </c>
    </row>
    <row r="725" ht="25.5" customHeight="1">
      <c r="A725" t="inlineStr">
        <is>
          <t>CURBBLAN卡伴 · 儿童枕云翼护颈枕四季通用 1-18岁儿童记忆棉深睡分区学生枕</t>
        </is>
      </c>
      <c r="B725" t="inlineStr">
        <is>
          <t>recveyWM0odsi7.jpg</t>
        </is>
      </c>
      <c r="C725" s="2" t="str">
        <f>=HYPERLINK("https://xhslink.com/m/6pWsToGlg4", "https://xhslink.com/m/6pWsToGlg4")</f>
        <v>https://xhslink.com/m/6pWsToGlg4</v>
      </c>
      <c r="D725"/>
      <c r="E725">
        <v>6074</v>
      </c>
      <c r="F725">
        <v>299</v>
      </c>
      <c r="G725"/>
      <c r="H725">
        <v>400</v>
      </c>
      <c r="I725" t="inlineStr">
        <is>
          <t>儿童枕头</t>
        </is>
      </c>
      <c r="J725" t="inlineStr">
        <is>
          <t>0.07</t>
        </is>
      </c>
      <c r="K725"/>
      <c r="L725" t="inlineStr">
        <is>
          <t>CURBBLAN卡伴婴童用品旗舰店</t>
        </is>
      </c>
      <c r="M725">
        <v>5699</v>
      </c>
      <c r="N725">
        <v>4.53</v>
      </c>
      <c r="O725">
        <v>12000</v>
      </c>
      <c r="P725" t="inlineStr">
        <is>
          <t>6951cebcb8f0bb0001ee182c</t>
        </is>
      </c>
      <c r="Q725"/>
      <c r="R725" t="inlineStr">
        <is>
          <t>14周</t>
        </is>
      </c>
      <c r="S725" t="inlineStr">
        <is>
          <t>1.07</t>
        </is>
      </c>
      <c r="T725" t="inlineStr">
        <is>
          <t>母婴亲子</t>
        </is>
      </c>
      <c r="U725" t="inlineStr">
        <is>
          <t>童装童鞋</t>
        </is>
      </c>
      <c r="V725" s="3">
        <v>46112.78107638889</v>
      </c>
      <c r="W725" t="inlineStr">
        <is>
          <t>2026-Q1</t>
        </is>
      </c>
    </row>
    <row r="726" ht="25.5" customHeight="1">
      <c r="A726" t="inlineStr">
        <is>
          <t>小猫陪我上学玩偶挂件书包挂件女生礼物公仔包包装饰</t>
        </is>
      </c>
      <c r="B726" t="inlineStr">
        <is>
          <t>recveCblQ9AZ6V.jpg</t>
        </is>
      </c>
      <c r="C726" s="2" t="str">
        <f>=HYPERLINK("https://xhslink.com/m/4bAFOGKoc5x", "https://xhslink.com/m/4bAFOGKoc5x")</f>
        <v>https://xhslink.com/m/4bAFOGKoc5x</v>
      </c>
      <c r="D726"/>
      <c r="E726">
        <v>338</v>
      </c>
      <c r="F726">
        <v>28.98</v>
      </c>
      <c r="G726">
        <v>8.98</v>
      </c>
      <c r="H726">
        <v>400</v>
      </c>
      <c r="I726" t="inlineStr">
        <is>
          <t>包挂件公仔</t>
        </is>
      </c>
      <c r="J726" t="inlineStr">
        <is>
          <t>1.18</t>
        </is>
      </c>
      <c r="K726"/>
      <c r="L726" t="inlineStr">
        <is>
          <t>嗯 真好看的店</t>
        </is>
      </c>
      <c r="M726">
        <v>9756</v>
      </c>
      <c r="N726">
        <v>4.56</v>
      </c>
      <c r="O726">
        <v>4312</v>
      </c>
      <c r="P726" t="inlineStr">
        <is>
          <t>69a6e3ecac17f200015f9115</t>
        </is>
      </c>
      <c r="Q726"/>
      <c r="R726" t="inlineStr">
        <is>
          <t>14周</t>
        </is>
      </c>
      <c r="S726" t="inlineStr">
        <is>
          <t>0.03</t>
        </is>
      </c>
      <c r="T726" t="inlineStr">
        <is>
          <t>服饰穿搭</t>
        </is>
      </c>
      <c r="U726" t="inlineStr">
        <is>
          <t>鞋靴箱包</t>
        </is>
      </c>
      <c r="V726" s="3">
        <v>46112.78107638889</v>
      </c>
      <c r="W726" t="inlineStr">
        <is>
          <t>2026-Q1</t>
        </is>
      </c>
    </row>
    <row r="727" ht="25.5" customHeight="1">
      <c r="A727" t="inlineStr">
        <is>
          <t>天丝莱赛尔!显瘦修胯会呼吸的“轻牛仔”天丝垂感直筒裤</t>
        </is>
      </c>
      <c r="B727" t="inlineStr">
        <is>
          <t>recveCblQ9iSit.jpg</t>
        </is>
      </c>
      <c r="C727" s="2" t="str">
        <f>=HYPERLINK("https://xhslink.com/m/Absy9pDiWc0", "https://xhslink.com/m/Absy9pDiWc0")</f>
        <v>https://xhslink.com/m/Absy9pDiWc0</v>
      </c>
      <c r="D727"/>
      <c r="E727">
        <v>18000</v>
      </c>
      <c r="F727">
        <v>229</v>
      </c>
      <c r="G727">
        <v>194.65</v>
      </c>
      <c r="H727">
        <v>400</v>
      </c>
      <c r="I727" t="inlineStr">
        <is>
          <t>牛仔裤</t>
        </is>
      </c>
      <c r="J727" t="inlineStr">
        <is>
          <t>0.02</t>
        </is>
      </c>
      <c r="K727"/>
      <c r="L727" t="inlineStr">
        <is>
          <t>白畔BAIPAN的店</t>
        </is>
      </c>
      <c r="M727">
        <v>71000</v>
      </c>
      <c r="N727">
        <v>4.68</v>
      </c>
      <c r="O727">
        <v>256000</v>
      </c>
      <c r="P727" t="inlineStr">
        <is>
          <t>6717acfd175dab00015f66ac</t>
        </is>
      </c>
      <c r="Q727" t="inlineStr">
        <is>
          <t>🚫重复</t>
        </is>
      </c>
      <c r="R727" t="inlineStr">
        <is>
          <t>14周</t>
        </is>
      </c>
      <c r="S727" t="inlineStr">
        <is>
          <t>0.25</t>
        </is>
      </c>
      <c r="T727" t="inlineStr">
        <is>
          <t>服饰穿搭</t>
        </is>
      </c>
      <c r="U727" t="inlineStr">
        <is>
          <t>女装</t>
        </is>
      </c>
      <c r="V727" s="3">
        <v>46112.78107638889</v>
      </c>
      <c r="W727" t="inlineStr">
        <is>
          <t>2026-Q1</t>
        </is>
      </c>
    </row>
    <row r="728" ht="25.5" customHeight="1">
      <c r="A728" t="inlineStr">
        <is>
          <t>美拉德高级垂感咖色阔腿牛仔裤女秋季2026新款高腰宽松弯刀直筒裤</t>
        </is>
      </c>
      <c r="B728" t="inlineStr">
        <is>
          <t>recveCblQ9dtSG.jpg</t>
        </is>
      </c>
      <c r="C728" s="2" t="str">
        <f>=HYPERLINK("https://xhslink.com/m/6NrAMRLa8O3", "https://xhslink.com/m/6NrAMRLa8O3")</f>
        <v>https://xhslink.com/m/6NrAMRLa8O3</v>
      </c>
      <c r="D728"/>
      <c r="E728">
        <v>11000</v>
      </c>
      <c r="F728">
        <v>119</v>
      </c>
      <c r="G728">
        <v>85</v>
      </c>
      <c r="H728">
        <v>400</v>
      </c>
      <c r="I728" t="inlineStr">
        <is>
          <t>牛仔裤</t>
        </is>
      </c>
      <c r="J728" t="inlineStr">
        <is>
          <t>0.04</t>
        </is>
      </c>
      <c r="K728"/>
      <c r="L728" t="inlineStr">
        <is>
          <t>N点辣的店</t>
        </is>
      </c>
      <c r="M728">
        <v>13000</v>
      </c>
      <c r="N728">
        <v>4.46</v>
      </c>
      <c r="O728">
        <v>64000</v>
      </c>
      <c r="P728" t="inlineStr">
        <is>
          <t>69b820dc1ea1a80001e2c7a9</t>
        </is>
      </c>
      <c r="Q728" t="inlineStr">
        <is>
          <t>🚫重复</t>
        </is>
      </c>
      <c r="R728" t="inlineStr">
        <is>
          <t>14周</t>
        </is>
      </c>
      <c r="S728" t="inlineStr">
        <is>
          <t>0.85</t>
        </is>
      </c>
      <c r="T728" t="inlineStr">
        <is>
          <t>服饰穿搭</t>
        </is>
      </c>
      <c r="U728" t="inlineStr">
        <is>
          <t>女装</t>
        </is>
      </c>
      <c r="V728" s="3">
        <v>46112.78107638889</v>
      </c>
      <c r="W728" t="inlineStr">
        <is>
          <t>2026-Q1</t>
        </is>
      </c>
    </row>
    <row r="729" ht="25.5" customHeight="1">
      <c r="A729" t="inlineStr">
        <is>
          <t>【显瘦百搭】窄版直筒牛仔裤YKK拉链阔腿裤宽松休闲通勤百搭长裤</t>
        </is>
      </c>
      <c r="B729" t="inlineStr">
        <is>
          <t>recveCblQ9iuTV.jpg</t>
        </is>
      </c>
      <c r="C729" s="2" t="str">
        <f>=HYPERLINK("https://xhslink.com/m/45lqTZg6y72", "https://xhslink.com/m/45lqTZg6y72")</f>
        <v>https://xhslink.com/m/45lqTZg6y72</v>
      </c>
      <c r="D729"/>
      <c r="E729">
        <v>32000</v>
      </c>
      <c r="F729">
        <v>109.99</v>
      </c>
      <c r="G729">
        <v>78.99</v>
      </c>
      <c r="H729">
        <v>400</v>
      </c>
      <c r="I729" t="inlineStr">
        <is>
          <t>牛仔裤</t>
        </is>
      </c>
      <c r="J729" t="inlineStr">
        <is>
          <t>0.01</t>
        </is>
      </c>
      <c r="K729" t="inlineStr">
        <is>
          <t>🔥低粉爆款</t>
        </is>
      </c>
      <c r="L729" t="inlineStr">
        <is>
          <t>小晴天1的店</t>
        </is>
      </c>
      <c r="M729">
        <v>4386</v>
      </c>
      <c r="N729">
        <v>4.41</v>
      </c>
      <c r="O729">
        <v>67000</v>
      </c>
      <c r="P729" t="inlineStr">
        <is>
          <t>67380c539bf38e0001c164ef</t>
        </is>
      </c>
      <c r="Q729" t="inlineStr">
        <is>
          <t>🚫重复</t>
        </is>
      </c>
      <c r="R729" t="inlineStr">
        <is>
          <t>14周</t>
        </is>
      </c>
      <c r="S729" t="inlineStr">
        <is>
          <t>7.30</t>
        </is>
      </c>
      <c r="T729" t="inlineStr">
        <is>
          <t>服饰穿搭</t>
        </is>
      </c>
      <c r="U729" t="inlineStr">
        <is>
          <t>女装</t>
        </is>
      </c>
      <c r="V729" s="3">
        <v>46112.78107638889</v>
      </c>
      <c r="W729" t="inlineStr">
        <is>
          <t>2026-Q1</t>
        </is>
      </c>
    </row>
    <row r="730" ht="25.5" customHeight="1">
      <c r="A730" t="inlineStr">
        <is>
          <t>天空岛4.0钻石泪臻耀琉光造景贴纸闪闪趣味解压玩具diy创意贴画</t>
        </is>
      </c>
      <c r="B730" t="inlineStr">
        <is>
          <t>recveCblQ9QLSh.jpg</t>
        </is>
      </c>
      <c r="C730" s="2" t="str">
        <f>=HYPERLINK("https://xhslink.com/m/GbjPsxOB91", "https://xhslink.com/m/GbjPsxOB91")</f>
        <v>https://xhslink.com/m/GbjPsxOB91</v>
      </c>
      <c r="D730"/>
      <c r="E730">
        <v>34000</v>
      </c>
      <c r="F730">
        <v>9.9</v>
      </c>
      <c r="G730"/>
      <c r="H730">
        <v>400</v>
      </c>
      <c r="I730" t="inlineStr">
        <is>
          <t>益智玩具</t>
        </is>
      </c>
      <c r="J730" t="inlineStr">
        <is>
          <t>0.01</t>
        </is>
      </c>
      <c r="K730"/>
      <c r="L730" t="inlineStr">
        <is>
          <t>天空岛文创的店</t>
        </is>
      </c>
      <c r="M730">
        <v>66000</v>
      </c>
      <c r="N730">
        <v>4.88</v>
      </c>
      <c r="O730">
        <v>235000</v>
      </c>
      <c r="P730" t="inlineStr">
        <is>
          <t>68c156ff635d460001b4a776</t>
        </is>
      </c>
      <c r="Q730" t="inlineStr">
        <is>
          <t>🚫重复</t>
        </is>
      </c>
      <c r="R730" t="inlineStr">
        <is>
          <t>14周</t>
        </is>
      </c>
      <c r="S730" t="inlineStr">
        <is>
          <t>0.52</t>
        </is>
      </c>
      <c r="T730" t="inlineStr">
        <is>
          <t>母婴亲子</t>
        </is>
      </c>
      <c r="U730" t="inlineStr">
        <is>
          <t>玩具早教</t>
        </is>
      </c>
      <c r="V730" s="3">
        <v>46112.78107638889</v>
      </c>
      <c r="W730" t="inlineStr">
        <is>
          <t>2026-Q1</t>
        </is>
      </c>
    </row>
    <row r="731" ht="25.5" customHeight="1">
      <c r="A731" t="inlineStr">
        <is>
          <t>过家家厨房餐具早教仿真儿童做饭煮饭套装男孩女孩宝宝益智玩具</t>
        </is>
      </c>
      <c r="B731" t="inlineStr">
        <is>
          <t>recveCblQ9mJgc.jpg</t>
        </is>
      </c>
      <c r="C731" s="2" t="str">
        <f>=HYPERLINK("https://xhslink.com/m/9bSmeZLDM9B", "https://xhslink.com/m/9bSmeZLDM9B")</f>
        <v>https://xhslink.com/m/9bSmeZLDM9B</v>
      </c>
      <c r="D731"/>
      <c r="E731">
        <v>12000</v>
      </c>
      <c r="F731">
        <v>48.9</v>
      </c>
      <c r="G731">
        <v>38.9</v>
      </c>
      <c r="H731">
        <v>400</v>
      </c>
      <c r="I731" t="inlineStr">
        <is>
          <t>宝宝玩具</t>
        </is>
      </c>
      <c r="J731" t="inlineStr">
        <is>
          <t>0.03</t>
        </is>
      </c>
      <c r="K731" t="inlineStr">
        <is>
          <t>🔥低粉爆款</t>
        </is>
      </c>
      <c r="L731" t="inlineStr">
        <is>
          <t>阿Q小姐的店</t>
        </is>
      </c>
      <c r="M731">
        <v>755</v>
      </c>
      <c r="N731">
        <v>4.39</v>
      </c>
      <c r="O731">
        <v>18000</v>
      </c>
      <c r="P731" t="inlineStr">
        <is>
          <t>689853565cb63500155bc135</t>
        </is>
      </c>
      <c r="Q731"/>
      <c r="R731" t="inlineStr">
        <is>
          <t>14周</t>
        </is>
      </c>
      <c r="S731" t="inlineStr">
        <is>
          <t>15.89</t>
        </is>
      </c>
      <c r="T731" t="inlineStr">
        <is>
          <t>家居生活</t>
        </is>
      </c>
      <c r="U731" t="inlineStr">
        <is>
          <t>厨房餐饮</t>
        </is>
      </c>
      <c r="V731" s="3">
        <v>46112.78107638889</v>
      </c>
      <c r="W731" t="inlineStr">
        <is>
          <t>2026-Q1</t>
        </is>
      </c>
    </row>
    <row r="732" ht="25.5" customHeight="1">
      <c r="A732" t="inlineStr">
        <is>
          <t>金属衣架防滑袜子内衣裤夹帽夹晾晒宿舍必备好物夹晾衣架家用新款</t>
        </is>
      </c>
      <c r="B732" t="inlineStr">
        <is>
          <t>recveKOBkWDeNv.jpg</t>
        </is>
      </c>
      <c r="C732" s="2" t="str">
        <f>=HYPERLINK("https://xhslink.com/m/2AJxxF0u7fS", "https://xhslink.com/m/2AJxxF0u7fS")</f>
        <v>https://xhslink.com/m/2AJxxF0u7fS</v>
      </c>
      <c r="D732"/>
      <c r="E732">
        <v>40000</v>
      </c>
      <c r="F732">
        <v>26.9</v>
      </c>
      <c r="G732">
        <v>16.9</v>
      </c>
      <c r="H732">
        <v>400</v>
      </c>
      <c r="I732" t="inlineStr">
        <is>
          <t>卧室好物</t>
        </is>
      </c>
      <c r="J732" t="inlineStr">
        <is>
          <t>0.01</t>
        </is>
      </c>
      <c r="K732" t="inlineStr">
        <is>
          <t>🔥低粉爆款</t>
        </is>
      </c>
      <c r="L732" t="inlineStr">
        <is>
          <t>跑跑爱收纳的店</t>
        </is>
      </c>
      <c r="M732">
        <v>3385</v>
      </c>
      <c r="N732">
        <v>4.45</v>
      </c>
      <c r="O732">
        <v>115000</v>
      </c>
      <c r="P732" t="inlineStr">
        <is>
          <t>69021e7d42726100014a884e</t>
        </is>
      </c>
      <c r="Q732" t="inlineStr">
        <is>
          <t>🚫重复</t>
        </is>
      </c>
      <c r="R732" t="inlineStr">
        <is>
          <t>14周</t>
        </is>
      </c>
      <c r="S732" t="inlineStr">
        <is>
          <t>11.82</t>
        </is>
      </c>
      <c r="T732" t="inlineStr">
        <is>
          <t>家居生活</t>
        </is>
      </c>
      <c r="U732" t="inlineStr">
        <is>
          <t>家居日用</t>
        </is>
      </c>
      <c r="V732" s="3">
        <v>46112.78107638889</v>
      </c>
      <c r="W732" t="inlineStr">
        <is>
          <t>2026-Q1</t>
        </is>
      </c>
    </row>
    <row r="733" ht="25.5" customHeight="1">
      <c r="A733" t="inlineStr">
        <is>
          <t>折叠衣架落地衣架衣服收纳神器客厅衣架卧室临时衣裤收纳简易衣架</t>
        </is>
      </c>
      <c r="B733" t="inlineStr">
        <is>
          <t>recveKOBkWAPcm.jpg</t>
        </is>
      </c>
      <c r="C733" s="2" t="str">
        <f>=HYPERLINK("https://xhslink.com/m/1yWVeHoDJP0", "https://xhslink.com/m/1yWVeHoDJP0")</f>
        <v>https://xhslink.com/m/1yWVeHoDJP0</v>
      </c>
      <c r="D733"/>
      <c r="E733">
        <v>15000</v>
      </c>
      <c r="F733">
        <v>69</v>
      </c>
      <c r="G733">
        <v>49.9</v>
      </c>
      <c r="H733">
        <v>400</v>
      </c>
      <c r="I733" t="inlineStr">
        <is>
          <t>卧室好物</t>
        </is>
      </c>
      <c r="J733" t="inlineStr">
        <is>
          <t>0.03</t>
        </is>
      </c>
      <c r="K733"/>
      <c r="L733" t="inlineStr">
        <is>
          <t>我是静静吖的店</t>
        </is>
      </c>
      <c r="M733">
        <v>207000</v>
      </c>
      <c r="N733">
        <v>4.7</v>
      </c>
      <c r="O733">
        <v>1028000</v>
      </c>
      <c r="P733" t="inlineStr">
        <is>
          <t>6943c72c4d11d700015f765d</t>
        </is>
      </c>
      <c r="Q733" t="inlineStr">
        <is>
          <t>🚫重复</t>
        </is>
      </c>
      <c r="R733" t="inlineStr">
        <is>
          <t>14周</t>
        </is>
      </c>
      <c r="S733" t="inlineStr">
        <is>
          <t>0.07</t>
        </is>
      </c>
      <c r="T733" t="inlineStr">
        <is>
          <t>家居生活</t>
        </is>
      </c>
      <c r="U733" t="inlineStr">
        <is>
          <t>家居日用</t>
        </is>
      </c>
      <c r="V733" s="3">
        <v>46112.78107638889</v>
      </c>
      <c r="W733" t="inlineStr">
        <is>
          <t>2026-Q1</t>
        </is>
      </c>
    </row>
    <row r="734" ht="25.5" customHeight="1">
      <c r="A734" t="inlineStr">
        <is>
          <t>无火香薰家用香熏高级酒店精油卧室卫生间客厅持久留香摆件除味女</t>
        </is>
      </c>
      <c r="B734" t="inlineStr">
        <is>
          <t>recveKOBkW5RcQ.jpg</t>
        </is>
      </c>
      <c r="C734" s="2" t="str">
        <f>=HYPERLINK("https://xhslink.com/m/63aeuMcRIf0", "https://xhslink.com/m/63aeuMcRIf0")</f>
        <v>https://xhslink.com/m/63aeuMcRIf0</v>
      </c>
      <c r="D734"/>
      <c r="E734">
        <v>40000</v>
      </c>
      <c r="F734">
        <v>79</v>
      </c>
      <c r="G734">
        <v>62</v>
      </c>
      <c r="H734">
        <v>400</v>
      </c>
      <c r="I734" t="inlineStr">
        <is>
          <t>家用香薰</t>
        </is>
      </c>
      <c r="J734" t="inlineStr">
        <is>
          <t>0.01</t>
        </is>
      </c>
      <c r="K734" t="inlineStr">
        <is>
          <t>🔥低粉爆款</t>
        </is>
      </c>
      <c r="L734" t="inlineStr">
        <is>
          <t>Quivenic奇闻纪的店</t>
        </is>
      </c>
      <c r="M734">
        <v>5211</v>
      </c>
      <c r="N734">
        <v>4.6</v>
      </c>
      <c r="O734">
        <v>113000</v>
      </c>
      <c r="P734" t="inlineStr">
        <is>
          <t>682d71b3a5e39b0015ffa91f</t>
        </is>
      </c>
      <c r="Q734" t="inlineStr">
        <is>
          <t>🚫重复</t>
        </is>
      </c>
      <c r="R734" t="inlineStr">
        <is>
          <t>14周</t>
        </is>
      </c>
      <c r="S734" t="inlineStr">
        <is>
          <t>7.68</t>
        </is>
      </c>
      <c r="T734" t="inlineStr">
        <is>
          <t>家居生活</t>
        </is>
      </c>
      <c r="U734" t="inlineStr">
        <is>
          <t>家居日用</t>
        </is>
      </c>
      <c r="V734" s="3">
        <v>46112.78107638889</v>
      </c>
      <c r="W734" t="inlineStr">
        <is>
          <t>2026-Q1</t>
        </is>
      </c>
    </row>
    <row r="735" ht="25.5" customHeight="1">
      <c r="A735" t="inlineStr">
        <is>
          <t>【大米饭】自制长款长袖春秋遮阳衬衣 休闲宽松微透休闲遮阳衬衣</t>
        </is>
      </c>
      <c r="B735" t="inlineStr">
        <is>
          <t>recveKOBkWIFiV.jpg</t>
        </is>
      </c>
      <c r="C735" s="2" t="str">
        <f>=HYPERLINK("https://xhslink.com/m/75xAOcbTj5P", "https://xhslink.com/m/75xAOcbTj5P")</f>
        <v>https://xhslink.com/m/75xAOcbTj5P</v>
      </c>
      <c r="D735"/>
      <c r="E735">
        <v>6064</v>
      </c>
      <c r="F735">
        <v>89</v>
      </c>
      <c r="G735">
        <v>84</v>
      </c>
      <c r="H735">
        <v>400</v>
      </c>
      <c r="I735" t="inlineStr">
        <is>
          <t>衬衫</t>
        </is>
      </c>
      <c r="J735" t="inlineStr">
        <is>
          <t>0.07</t>
        </is>
      </c>
      <c r="K735"/>
      <c r="L735" t="inlineStr">
        <is>
          <t>大米饭制衣厂（厂长版）的店</t>
        </is>
      </c>
      <c r="M735">
        <v>62000</v>
      </c>
      <c r="N735">
        <v>4.73</v>
      </c>
      <c r="O735">
        <v>150000</v>
      </c>
      <c r="P735" t="inlineStr">
        <is>
          <t>69ad5290970f000001f7503f</t>
        </is>
      </c>
      <c r="Q735" t="inlineStr">
        <is>
          <t>🚫重复</t>
        </is>
      </c>
      <c r="R735" t="inlineStr">
        <is>
          <t>14周</t>
        </is>
      </c>
      <c r="S735" t="inlineStr">
        <is>
          <t>0.10</t>
        </is>
      </c>
      <c r="T735" t="inlineStr">
        <is>
          <t>服饰穿搭</t>
        </is>
      </c>
      <c r="U735" t="inlineStr">
        <is>
          <t>女装</t>
        </is>
      </c>
      <c r="V735" s="3">
        <v>46112.78107638889</v>
      </c>
      <c r="W735" t="inlineStr">
        <is>
          <t>2026-Q1</t>
        </is>
      </c>
    </row>
    <row r="736" ht="25.5" customHeight="1">
      <c r="A736" t="inlineStr">
        <is>
          <t>韩系高级感绑腰收腰V领短袖T恤女夏季小众设计感修身短袖上衣</t>
        </is>
      </c>
      <c r="B736" t="inlineStr">
        <is>
          <t>recveKOBkWrDCJ.jpg</t>
        </is>
      </c>
      <c r="C736" s="2" t="str">
        <f>=HYPERLINK("https://xhslink.com/m/1p6th62xUjA", "https://xhslink.com/m/1p6th62xUjA")</f>
        <v>https://xhslink.com/m/1p6th62xUjA</v>
      </c>
      <c r="D736"/>
      <c r="E736">
        <v>902</v>
      </c>
      <c r="F736">
        <v>59.9</v>
      </c>
      <c r="G736">
        <v>39.9</v>
      </c>
      <c r="H736">
        <v>400</v>
      </c>
      <c r="I736" t="inlineStr">
        <is>
          <t>T恤</t>
        </is>
      </c>
      <c r="J736" t="inlineStr">
        <is>
          <t>0.44</t>
        </is>
      </c>
      <c r="K736"/>
      <c r="L736" t="inlineStr">
        <is>
          <t>XIAO元爱穿搭的店</t>
        </is>
      </c>
      <c r="M736">
        <v>658</v>
      </c>
      <c r="N736">
        <v>4.46</v>
      </c>
      <c r="O736">
        <v>13000</v>
      </c>
      <c r="P736" t="inlineStr">
        <is>
          <t>69a81681befcbd00016f0fcf</t>
        </is>
      </c>
      <c r="Q736" t="inlineStr">
        <is>
          <t>🚫重复</t>
        </is>
      </c>
      <c r="R736" t="inlineStr">
        <is>
          <t>14周</t>
        </is>
      </c>
      <c r="S736" t="inlineStr">
        <is>
          <t>1.37</t>
        </is>
      </c>
      <c r="T736" t="inlineStr">
        <is>
          <t>服饰穿搭</t>
        </is>
      </c>
      <c r="U736" t="inlineStr">
        <is>
          <t>女装</t>
        </is>
      </c>
      <c r="V736" s="3">
        <v>46112.78107638889</v>
      </c>
      <c r="W736" t="inlineStr">
        <is>
          <t>2026-Q1</t>
        </is>
      </c>
    </row>
    <row r="737" ht="25.5" customHeight="1">
      <c r="A737" t="inlineStr">
        <is>
          <t>海外在售109美金！零落差鞋底 宽楦真牛皮透气综训健身运动赤足鞋</t>
        </is>
      </c>
      <c r="B737" t="inlineStr">
        <is>
          <t>recveKOBkW0GM8.jpg</t>
        </is>
      </c>
      <c r="C737" s="2" t="str">
        <f>=HYPERLINK("https://xhslink.com/m/2DmLz0AY7tn", "https://xhslink.com/m/2DmLz0AY7tn")</f>
        <v>https://xhslink.com/m/2DmLz0AY7tn</v>
      </c>
      <c r="D737"/>
      <c r="E737">
        <v>12000</v>
      </c>
      <c r="F737">
        <v>158</v>
      </c>
      <c r="G737"/>
      <c r="H737">
        <v>400</v>
      </c>
      <c r="I737" t="inlineStr">
        <is>
          <t>鞋靴</t>
        </is>
      </c>
      <c r="J737" t="inlineStr">
        <is>
          <t>0.03</t>
        </is>
      </c>
      <c r="K737"/>
      <c r="L737" t="inlineStr">
        <is>
          <t>悟空家优选的店</t>
        </is>
      </c>
      <c r="M737">
        <v>10000</v>
      </c>
      <c r="N737">
        <v>4.47</v>
      </c>
      <c r="O737">
        <v>23000</v>
      </c>
      <c r="P737" t="inlineStr">
        <is>
          <t>6888372f1b3cbb00156a24ac</t>
        </is>
      </c>
      <c r="Q737" t="inlineStr">
        <is>
          <t>🚫重复</t>
        </is>
      </c>
      <c r="R737" t="inlineStr">
        <is>
          <t>14周</t>
        </is>
      </c>
      <c r="S737" t="inlineStr">
        <is>
          <t>1.20</t>
        </is>
      </c>
      <c r="T737" t="inlineStr">
        <is>
          <t>运动潮玩</t>
        </is>
      </c>
      <c r="U737" t="inlineStr">
        <is>
          <t>运动户外装备</t>
        </is>
      </c>
      <c r="V737" s="3">
        <v>46112.78107638889</v>
      </c>
      <c r="W737" t="inlineStr">
        <is>
          <t>2026-Q1</t>
        </is>
      </c>
    </row>
    <row r="738" ht="25.5" customHeight="1">
      <c r="A738" t="inlineStr">
        <is>
          <t>很显脸小高级感墨镜拍照巨好看3类遮阳镜男女开车偏光镜850款</t>
        </is>
      </c>
      <c r="B738" t="inlineStr">
        <is>
          <t>recveKOBkWzYBb.jpg</t>
        </is>
      </c>
      <c r="C738" s="2" t="str">
        <f>=HYPERLINK("https://xhslink.com/m/cOWWqQT1W2", "https://xhslink.com/m/cOWWqQT1W2")</f>
        <v>https://xhslink.com/m/cOWWqQT1W2</v>
      </c>
      <c r="D738"/>
      <c r="E738">
        <v>65000</v>
      </c>
      <c r="F738">
        <v>28.9</v>
      </c>
      <c r="G738"/>
      <c r="H738">
        <v>400</v>
      </c>
      <c r="I738" t="inlineStr">
        <is>
          <t>墨镜</t>
        </is>
      </c>
      <c r="J738" t="inlineStr">
        <is>
          <t>0.01</t>
        </is>
      </c>
      <c r="K738" t="inlineStr">
        <is>
          <t>🔥低粉爆款</t>
        </is>
      </c>
      <c r="L738" t="inlineStr">
        <is>
          <t>MGo的店</t>
        </is>
      </c>
      <c r="M738">
        <v>7547</v>
      </c>
      <c r="N738">
        <v>4.59</v>
      </c>
      <c r="O738">
        <v>78000</v>
      </c>
      <c r="P738" t="inlineStr">
        <is>
          <t>66628ed23e32aa00011dd0be</t>
        </is>
      </c>
      <c r="Q738" t="inlineStr">
        <is>
          <t>🚫重复</t>
        </is>
      </c>
      <c r="R738" t="inlineStr">
        <is>
          <t>14周</t>
        </is>
      </c>
      <c r="S738" t="inlineStr">
        <is>
          <t>8.61</t>
        </is>
      </c>
      <c r="T738" t="inlineStr">
        <is>
          <t>服饰穿搭</t>
        </is>
      </c>
      <c r="U738" t="inlineStr">
        <is>
          <t>配饰</t>
        </is>
      </c>
      <c r="V738" s="3">
        <v>46112.78107638889</v>
      </c>
      <c r="W738" t="inlineStr">
        <is>
          <t>2026-Q1</t>
        </is>
      </c>
    </row>
    <row r="739" ht="25.5" customHeight="1">
      <c r="A739" t="inlineStr">
        <is>
          <t>OTHER · 【姜妍同款】优质黑芝麻膏营养滋养健康养生早餐搭配 · 黑芝麻酱200g*2（百人购买）</t>
        </is>
      </c>
      <c r="B739" t="inlineStr">
        <is>
          <t>recveKOBkW7jHb.jpg</t>
        </is>
      </c>
      <c r="C739" s="2" t="str">
        <f>=HYPERLINK("https://www.xiaohongshu.com/goods-detail/687dfbe8aeddd200156a2295", "https://www.xiaohongshu.com/goods-detail/687dfbe8aeddd200156a2295")</f>
        <v>https://www.xiaohongshu.com/goods-detail/687dfbe8aeddd200156a2295</v>
      </c>
      <c r="D739"/>
      <c r="E739">
        <v>37000</v>
      </c>
      <c r="F739">
        <v>39.9</v>
      </c>
      <c r="G739">
        <v>29.9</v>
      </c>
      <c r="H739">
        <v>400</v>
      </c>
      <c r="I739" t="inlineStr">
        <is>
          <t>养身膏</t>
        </is>
      </c>
      <c r="J739" t="inlineStr">
        <is>
          <t>0.01</t>
        </is>
      </c>
      <c r="K739" t="inlineStr">
        <is>
          <t>🔥低粉爆款</t>
        </is>
      </c>
      <c r="L739" t="inlineStr">
        <is>
          <t>Y叶文商行的店</t>
        </is>
      </c>
      <c r="M739">
        <v>176</v>
      </c>
      <c r="N739">
        <v>4.56</v>
      </c>
      <c r="O739">
        <v>44000</v>
      </c>
      <c r="P739" t="inlineStr">
        <is>
          <t>687dfbe8aeddd200156a2295</t>
        </is>
      </c>
      <c r="Q739"/>
      <c r="R739" t="inlineStr">
        <is>
          <t>14周</t>
        </is>
      </c>
      <c r="S739" t="inlineStr">
        <is>
          <t>210.23</t>
        </is>
      </c>
      <c r="T739" t="inlineStr">
        <is>
          <t>美食滋补</t>
        </is>
      </c>
      <c r="U739" t="inlineStr">
        <is>
          <t>休闲零食</t>
        </is>
      </c>
      <c r="V739" s="3">
        <v>46112.78107638889</v>
      </c>
      <c r="W739" t="inlineStr">
        <is>
          <t>2026-Q1</t>
        </is>
      </c>
    </row>
    <row r="740" ht="25.5" customHeight="1">
      <c r="A740" t="inlineStr">
        <is>
          <t>工装裤女美式复古百搭速干阔腿裤春夏新款垂感宽松显瘦休闲运动裤</t>
        </is>
      </c>
      <c r="B740" t="inlineStr">
        <is>
          <t>recveKOBkWhPKu.jpg</t>
        </is>
      </c>
      <c r="C740" s="2" t="str">
        <f>=HYPERLINK("https://xhslink.com/m/5A6DelVCWKp", "https://xhslink.com/m/5A6DelVCWKp")</f>
        <v>https://xhslink.com/m/5A6DelVCWKp</v>
      </c>
      <c r="D740"/>
      <c r="E740">
        <v>189000</v>
      </c>
      <c r="F740">
        <v>69.9</v>
      </c>
      <c r="G740"/>
      <c r="H740">
        <v>400</v>
      </c>
      <c r="I740" t="inlineStr">
        <is>
          <t>运动裤</t>
        </is>
      </c>
      <c r="J740" t="inlineStr">
        <is>
          <t>0.00</t>
        </is>
      </c>
      <c r="K740"/>
      <c r="L740" t="inlineStr">
        <is>
          <t>小鹅学姐穿搭的店的店</t>
        </is>
      </c>
      <c r="M740">
        <v>229000</v>
      </c>
      <c r="N740">
        <v>4.39</v>
      </c>
      <c r="O740">
        <v>1490000</v>
      </c>
      <c r="P740" t="inlineStr">
        <is>
          <t>67b43af5d684d70015c570bf</t>
        </is>
      </c>
      <c r="Q740" t="inlineStr">
        <is>
          <t>🚫重复</t>
        </is>
      </c>
      <c r="R740" t="inlineStr">
        <is>
          <t>14周</t>
        </is>
      </c>
      <c r="S740" t="inlineStr">
        <is>
          <t>0.83</t>
        </is>
      </c>
      <c r="T740" t="inlineStr">
        <is>
          <t>服饰穿搭</t>
        </is>
      </c>
      <c r="U740" t="inlineStr">
        <is>
          <t>女装</t>
        </is>
      </c>
      <c r="V740" s="3">
        <v>46112.78107638889</v>
      </c>
      <c r="W740" t="inlineStr">
        <is>
          <t>2026-Q1</t>
        </is>
      </c>
    </row>
    <row r="741" ht="25.5" customHeight="1">
      <c r="A741" t="inlineStr">
        <is>
          <t>SIINSIIN · 窄版垂感加绒直筒裤6.0pro女春季运动休闲裤白色新款显瘦小个子</t>
        </is>
      </c>
      <c r="B741" t="inlineStr">
        <is>
          <t>recveKOBkWsoZA.jpg</t>
        </is>
      </c>
      <c r="C741" s="2" t="str">
        <f>=HYPERLINK("https://xhslink.com/m/4jcERcpz1JK", "https://xhslink.com/m/4jcERcpz1JK")</f>
        <v>https://xhslink.com/m/4jcERcpz1JK</v>
      </c>
      <c r="D741"/>
      <c r="E741">
        <v>35000</v>
      </c>
      <c r="F741">
        <v>269.9</v>
      </c>
      <c r="G741">
        <v>169.9</v>
      </c>
      <c r="H741">
        <v>400</v>
      </c>
      <c r="I741" t="inlineStr">
        <is>
          <t>运动裤</t>
        </is>
      </c>
      <c r="J741" t="inlineStr">
        <is>
          <t>0.01</t>
        </is>
      </c>
      <c r="K741"/>
      <c r="L741" t="inlineStr">
        <is>
          <t>SIINSIIN女装穿搭专卖店</t>
        </is>
      </c>
      <c r="M741">
        <v>32000</v>
      </c>
      <c r="N741">
        <v>4.74</v>
      </c>
      <c r="O741">
        <v>449000</v>
      </c>
      <c r="P741" t="inlineStr">
        <is>
          <t>680f4bf83366f100016773af</t>
        </is>
      </c>
      <c r="Q741" t="inlineStr">
        <is>
          <t>🚫重复</t>
        </is>
      </c>
      <c r="R741" t="inlineStr">
        <is>
          <t>14周</t>
        </is>
      </c>
      <c r="S741" t="inlineStr">
        <is>
          <t>1.09</t>
        </is>
      </c>
      <c r="T741" t="inlineStr">
        <is>
          <t>服饰穿搭</t>
        </is>
      </c>
      <c r="U741" t="inlineStr">
        <is>
          <t>女装</t>
        </is>
      </c>
      <c r="V741" s="3">
        <v>46112.78107638889</v>
      </c>
      <c r="W741" t="inlineStr">
        <is>
          <t>2026-Q1</t>
        </is>
      </c>
    </row>
    <row r="742" ht="25.5" customHeight="1">
      <c r="A742" t="inlineStr">
        <is>
          <t>260克纯棉重磅  夏季新款 咖啡喵宽松百搭T恤</t>
        </is>
      </c>
      <c r="B742" t="inlineStr">
        <is>
          <t>recveKOBkWmVUI.jpg</t>
        </is>
      </c>
      <c r="C742" s="2" t="str">
        <f>=HYPERLINK("https://xhslink.com/m/AUJqD9i5jyk", "https://xhslink.com/m/AUJqD9i5jyk")</f>
        <v>https://xhslink.com/m/AUJqD9i5jyk</v>
      </c>
      <c r="D742"/>
      <c r="E742">
        <v>16000</v>
      </c>
      <c r="F742">
        <v>55</v>
      </c>
      <c r="G742">
        <v>35</v>
      </c>
      <c r="H742">
        <v>400</v>
      </c>
      <c r="I742" t="inlineStr">
        <is>
          <t>运动T袖</t>
        </is>
      </c>
      <c r="J742" t="inlineStr">
        <is>
          <t>0.03</t>
        </is>
      </c>
      <c r="K742"/>
      <c r="L742" t="inlineStr">
        <is>
          <t>PiXXY的店</t>
        </is>
      </c>
      <c r="M742">
        <v>6553</v>
      </c>
      <c r="N742">
        <v>4.75</v>
      </c>
      <c r="O742">
        <v>55000</v>
      </c>
      <c r="P742" t="inlineStr">
        <is>
          <t>684bda4c2dd29c0001bad859</t>
        </is>
      </c>
      <c r="Q742" t="inlineStr">
        <is>
          <t>🚫重复</t>
        </is>
      </c>
      <c r="R742" t="inlineStr">
        <is>
          <t>14周</t>
        </is>
      </c>
      <c r="S742" t="inlineStr">
        <is>
          <t>2.44</t>
        </is>
      </c>
      <c r="T742" t="inlineStr">
        <is>
          <t>服饰穿搭</t>
        </is>
      </c>
      <c r="U742" t="inlineStr">
        <is>
          <t>女装</t>
        </is>
      </c>
      <c r="V742" s="3">
        <v>46112.78107638889</v>
      </c>
      <c r="W742" t="inlineStr">
        <is>
          <t>2026-Q1</t>
        </is>
      </c>
    </row>
    <row r="743" ht="25.5" customHeight="1">
      <c r="A743" t="inlineStr">
        <is>
          <t>自制跑量款！260g克重 夏季修身正肩掐腰T恤 小圆领/圆U领</t>
        </is>
      </c>
      <c r="B743" t="inlineStr">
        <is>
          <t>recveNXG9t6ZuG.jpg</t>
        </is>
      </c>
      <c r="C743" s="2" t="str">
        <f>=HYPERLINK("https://xhslink.com/m/6LCJ2D78waC", "https://xhslink.com/m/6LCJ2D78waC")</f>
        <v>https://xhslink.com/m/6LCJ2D78waC</v>
      </c>
      <c r="D743"/>
      <c r="E743">
        <v>17000</v>
      </c>
      <c r="F743">
        <v>75</v>
      </c>
      <c r="G743">
        <v>59</v>
      </c>
      <c r="H743">
        <v>400</v>
      </c>
      <c r="I743" t="inlineStr">
        <is>
          <t>T恤</t>
        </is>
      </c>
      <c r="J743" t="inlineStr">
        <is>
          <t>0.02</t>
        </is>
      </c>
      <c r="K743"/>
      <c r="L743" t="inlineStr">
        <is>
          <t>你的小面包little bread的店</t>
        </is>
      </c>
      <c r="M743">
        <v>29000</v>
      </c>
      <c r="N743">
        <v>4.57</v>
      </c>
      <c r="O743">
        <v>171000</v>
      </c>
      <c r="P743" t="inlineStr">
        <is>
          <t>67a4655397ab01000185f80f</t>
        </is>
      </c>
      <c r="Q743" t="inlineStr">
        <is>
          <t>🚫重复</t>
        </is>
      </c>
      <c r="R743" t="inlineStr">
        <is>
          <t>14周</t>
        </is>
      </c>
      <c r="S743" t="inlineStr">
        <is>
          <t>0.59</t>
        </is>
      </c>
      <c r="T743" t="inlineStr">
        <is>
          <t>服饰穿搭</t>
        </is>
      </c>
      <c r="U743" t="inlineStr">
        <is>
          <t>女装</t>
        </is>
      </c>
      <c r="V743" s="3">
        <v>46112.78107638889</v>
      </c>
      <c r="W743" t="inlineStr">
        <is>
          <t>2026-Q1</t>
        </is>
      </c>
    </row>
    <row r="744" ht="25.5" customHeight="1">
      <c r="A744" t="inlineStr">
        <is>
          <t>TANGTANG 【纸片人】韩国麻棉圆领正肩基础款打底衫长袖T恤显瘦</t>
        </is>
      </c>
      <c r="B744" t="inlineStr">
        <is>
          <t>recveNXG9tvw9k.jpg</t>
        </is>
      </c>
      <c r="C744" s="2" t="str">
        <f>=HYPERLINK("https://xhslink.com/m/3J7AMpVjRfu", "https://xhslink.com/m/3J7AMpVjRfu")</f>
        <v>https://xhslink.com/m/3J7AMpVjRfu</v>
      </c>
      <c r="D744"/>
      <c r="E744">
        <v>21000</v>
      </c>
      <c r="F744">
        <v>109</v>
      </c>
      <c r="G744">
        <v>79</v>
      </c>
      <c r="H744">
        <v>400</v>
      </c>
      <c r="I744" t="inlineStr">
        <is>
          <t>T恤</t>
        </is>
      </c>
      <c r="J744" t="inlineStr">
        <is>
          <t>0.02</t>
        </is>
      </c>
      <c r="K744"/>
      <c r="L744" t="inlineStr">
        <is>
          <t>Tangtang舒展穿搭的店</t>
        </is>
      </c>
      <c r="M744">
        <v>191000</v>
      </c>
      <c r="N744">
        <v>4.56</v>
      </c>
      <c r="O744">
        <v>318000</v>
      </c>
      <c r="P744" t="inlineStr">
        <is>
          <t>678666a671bc78000168844e</t>
        </is>
      </c>
      <c r="Q744" t="inlineStr">
        <is>
          <t>🚫重复</t>
        </is>
      </c>
      <c r="R744" t="inlineStr">
        <is>
          <t>14周</t>
        </is>
      </c>
      <c r="S744" t="inlineStr">
        <is>
          <t>0.11</t>
        </is>
      </c>
      <c r="T744" t="inlineStr">
        <is>
          <t>服饰穿搭</t>
        </is>
      </c>
      <c r="U744" t="inlineStr">
        <is>
          <t>女装</t>
        </is>
      </c>
      <c r="V744" s="3">
        <v>46112.78107638889</v>
      </c>
      <c r="W744" t="inlineStr">
        <is>
          <t>2026-Q1</t>
        </is>
      </c>
    </row>
    <row r="745" ht="25.5" customHeight="1">
      <c r="A745" t="inlineStr">
        <is>
          <t>米尼尼 辣妹风V领中袖T恤女新款显瘦修身百搭上衣舒适正肩打底衫</t>
        </is>
      </c>
      <c r="B745" t="inlineStr">
        <is>
          <t>recveNXG9tzp5E.jpg</t>
        </is>
      </c>
      <c r="C745" s="2" t="str">
        <f>=HYPERLINK("https://xhslink.com/m/9sPLkZcRkz", "https://xhslink.com/m/9sPLkZcRkz")</f>
        <v>https://xhslink.com/m/9sPLkZcRkz</v>
      </c>
      <c r="D745"/>
      <c r="E745">
        <v>13000</v>
      </c>
      <c r="F745">
        <v>55.9</v>
      </c>
      <c r="G745">
        <v>45.9</v>
      </c>
      <c r="H745">
        <v>400</v>
      </c>
      <c r="I745" t="inlineStr">
        <is>
          <t>T恤</t>
        </is>
      </c>
      <c r="J745" t="inlineStr">
        <is>
          <t>0.03</t>
        </is>
      </c>
      <c r="K745"/>
      <c r="L745" t="inlineStr">
        <is>
          <t>米尼尼studio的店</t>
        </is>
      </c>
      <c r="M745">
        <v>488000</v>
      </c>
      <c r="N745">
        <v>4.51</v>
      </c>
      <c r="O745">
        <v>595000</v>
      </c>
      <c r="P745" t="inlineStr">
        <is>
          <t>68a5b7ff6f3f720001f524e4</t>
        </is>
      </c>
      <c r="Q745" t="inlineStr">
        <is>
          <t>🚫重复</t>
        </is>
      </c>
      <c r="R745" t="inlineStr">
        <is>
          <t>14周</t>
        </is>
      </c>
      <c r="S745" t="inlineStr">
        <is>
          <t>0.03</t>
        </is>
      </c>
      <c r="T745" t="inlineStr">
        <is>
          <t>服饰穿搭</t>
        </is>
      </c>
      <c r="U745" t="inlineStr">
        <is>
          <t>女装</t>
        </is>
      </c>
      <c r="V745" s="3">
        <v>46112.78107638889</v>
      </c>
      <c r="W745" t="inlineStr">
        <is>
          <t>2026-Q1</t>
        </is>
      </c>
    </row>
    <row r="746" ht="25.5" customHeight="1">
      <c r="A746" t="inlineStr">
        <is>
          <t>卫衣开衫拉链外套女2026新款爆款连帽设计感小众春秋季修身上衣女</t>
        </is>
      </c>
      <c r="B746" t="inlineStr">
        <is>
          <t>recveNXG9tT9Ed.jpg</t>
        </is>
      </c>
      <c r="C746" s="2" t="str">
        <f>=HYPERLINK("https://xhslink.com/m/6M5Ag9Edzbv", "https://xhslink.com/m/6M5Ag9Edzbv")</f>
        <v>https://xhslink.com/m/6M5Ag9Edzbv</v>
      </c>
      <c r="D746"/>
      <c r="E746">
        <v>82000</v>
      </c>
      <c r="F746">
        <v>199.9</v>
      </c>
      <c r="G746"/>
      <c r="H746">
        <v>400</v>
      </c>
      <c r="I746" t="inlineStr">
        <is>
          <t>外套</t>
        </is>
      </c>
      <c r="J746" t="inlineStr">
        <is>
          <t>0.00</t>
        </is>
      </c>
      <c r="K746" t="inlineStr">
        <is>
          <t>🔥低粉爆款</t>
        </is>
      </c>
      <c r="L746" t="inlineStr">
        <is>
          <t>中山恋淑雅服饰的店</t>
        </is>
      </c>
      <c r="M746">
        <v>3030</v>
      </c>
      <c r="N746">
        <v>4.59</v>
      </c>
      <c r="O746">
        <v>147000</v>
      </c>
      <c r="P746" t="inlineStr">
        <is>
          <t>66b495dcd73f79000137d8ef</t>
        </is>
      </c>
      <c r="Q746" t="inlineStr">
        <is>
          <t>🚫重复</t>
        </is>
      </c>
      <c r="R746" t="inlineStr">
        <is>
          <t>14周</t>
        </is>
      </c>
      <c r="S746" t="inlineStr">
        <is>
          <t>27.06</t>
        </is>
      </c>
      <c r="T746" t="inlineStr">
        <is>
          <t>服饰穿搭</t>
        </is>
      </c>
      <c r="U746" t="inlineStr">
        <is>
          <t>女装</t>
        </is>
      </c>
      <c r="V746" s="3">
        <v>46112.78107638889</v>
      </c>
      <c r="W746" t="inlineStr">
        <is>
          <t>2026-Q1</t>
        </is>
      </c>
    </row>
    <row r="747" ht="25.5" customHeight="1">
      <c r="A747" t="inlineStr">
        <is>
          <t>【600g】量贩装品质恰巴塔600克 9-10枚面包无蔗糖健康健身代餐</t>
        </is>
      </c>
      <c r="B747" t="inlineStr">
        <is>
          <t>recveNXG9t72iE.jpg</t>
        </is>
      </c>
      <c r="C747" s="2" t="str">
        <f>=HYPERLINK("https://xhslink.com/m/AaxE4CstTD1", "https://xhslink.com/m/AaxE4CstTD1")</f>
        <v>https://xhslink.com/m/AaxE4CstTD1</v>
      </c>
      <c r="D747"/>
      <c r="E747">
        <v>40000</v>
      </c>
      <c r="F747">
        <v>29.9</v>
      </c>
      <c r="G747"/>
      <c r="H747">
        <v>400</v>
      </c>
      <c r="I747" t="inlineStr">
        <is>
          <t>健康餐</t>
        </is>
      </c>
      <c r="J747" t="inlineStr">
        <is>
          <t>0.01</t>
        </is>
      </c>
      <c r="K747" t="inlineStr">
        <is>
          <t>🔥低粉爆款</t>
        </is>
      </c>
      <c r="L747" t="inlineStr">
        <is>
          <t>美糖手工烘焙工坊的店</t>
        </is>
      </c>
      <c r="M747">
        <v>8919</v>
      </c>
      <c r="N747">
        <v>4.67</v>
      </c>
      <c r="O747">
        <v>60000</v>
      </c>
      <c r="P747" t="inlineStr">
        <is>
          <t>6885c25379bc470001b05089</t>
        </is>
      </c>
      <c r="Q747" t="inlineStr">
        <is>
          <t>🚫重复</t>
        </is>
      </c>
      <c r="R747" t="inlineStr">
        <is>
          <t>14周</t>
        </is>
      </c>
      <c r="S747" t="inlineStr">
        <is>
          <t>4.48</t>
        </is>
      </c>
      <c r="T747" t="inlineStr">
        <is>
          <t>美食滋补</t>
        </is>
      </c>
      <c r="U747" t="inlineStr">
        <is>
          <t>休闲零食</t>
        </is>
      </c>
      <c r="V747" s="3">
        <v>46112.78107638889</v>
      </c>
      <c r="W747" t="inlineStr">
        <is>
          <t>2026-Q1</t>
        </is>
      </c>
    </row>
    <row r="748" ht="25.5" customHeight="1">
      <c r="A748" t="inlineStr">
        <is>
          <t>【KaKaYOMI原创】新款云朵托特包上班通勤大学生必备百搭单肩包</t>
        </is>
      </c>
      <c r="B748" t="inlineStr">
        <is>
          <t>recveNXG9tfyli.jpg</t>
        </is>
      </c>
      <c r="C748" s="2" t="str">
        <f>=HYPERLINK("https://xhslink.com/m/9TAyk263zuE", "https://xhslink.com/m/9TAyk263zuE")</f>
        <v>https://xhslink.com/m/9TAyk263zuE</v>
      </c>
      <c r="D748"/>
      <c r="E748">
        <v>3200</v>
      </c>
      <c r="F748">
        <v>128.8</v>
      </c>
      <c r="G748">
        <v>87.8</v>
      </c>
      <c r="H748">
        <v>400</v>
      </c>
      <c r="I748" t="inlineStr">
        <is>
          <t>包包</t>
        </is>
      </c>
      <c r="J748" t="inlineStr">
        <is>
          <t>0.12</t>
        </is>
      </c>
      <c r="K748"/>
      <c r="L748" t="inlineStr">
        <is>
          <t>KaKaYOMI的店</t>
        </is>
      </c>
      <c r="M748">
        <v>2415</v>
      </c>
      <c r="N748">
        <v>4.63</v>
      </c>
      <c r="O748">
        <v>6850</v>
      </c>
      <c r="P748" t="inlineStr">
        <is>
          <t>69bbddf55e5f0500016a2256</t>
        </is>
      </c>
      <c r="Q748" t="inlineStr">
        <is>
          <t>🚫重复</t>
        </is>
      </c>
      <c r="R748" t="inlineStr">
        <is>
          <t>14周</t>
        </is>
      </c>
      <c r="S748" t="inlineStr">
        <is>
          <t>1.33</t>
        </is>
      </c>
      <c r="T748" t="inlineStr">
        <is>
          <t>服饰穿搭</t>
        </is>
      </c>
      <c r="U748" t="inlineStr">
        <is>
          <t>鞋靴箱包</t>
        </is>
      </c>
      <c r="V748" s="3">
        <v>46112.78107638889</v>
      </c>
      <c r="W748" t="inlineStr">
        <is>
          <t>2026-Q1</t>
        </is>
      </c>
    </row>
    <row r="749" ht="25.5" customHeight="1">
      <c r="A749" t="inlineStr">
        <is>
          <t>Subcrew · 户外运动防水骑行轻质休闲斜挎包百搭潮牌手机包</t>
        </is>
      </c>
      <c r="B749" t="inlineStr">
        <is>
          <t>recveNXG9tLqlj.jpg</t>
        </is>
      </c>
      <c r="C749" s="2" t="str">
        <f>=HYPERLINK("https://xhslink.com/m/9kuKMJoCrQU", "https://xhslink.com/m/9kuKMJoCrQU")</f>
        <v>https://xhslink.com/m/9kuKMJoCrQU</v>
      </c>
      <c r="D749"/>
      <c r="E749">
        <v>8621</v>
      </c>
      <c r="F749">
        <v>229</v>
      </c>
      <c r="G749">
        <v>199</v>
      </c>
      <c r="H749">
        <v>400</v>
      </c>
      <c r="I749" t="inlineStr">
        <is>
          <t>运动包</t>
        </is>
      </c>
      <c r="J749" t="inlineStr">
        <is>
          <t>0.05</t>
        </is>
      </c>
      <c r="K749"/>
      <c r="L749" t="inlineStr">
        <is>
          <t>Subcrew箱包的店</t>
        </is>
      </c>
      <c r="M749">
        <v>18000</v>
      </c>
      <c r="N749">
        <v>4.61</v>
      </c>
      <c r="O749">
        <v>30000</v>
      </c>
      <c r="P749" t="inlineStr">
        <is>
          <t>69a001bf87daa000017d587e</t>
        </is>
      </c>
      <c r="Q749" t="inlineStr">
        <is>
          <t>🚫重复</t>
        </is>
      </c>
      <c r="R749" t="inlineStr">
        <is>
          <t>14周</t>
        </is>
      </c>
      <c r="S749" t="inlineStr">
        <is>
          <t>0.48</t>
        </is>
      </c>
      <c r="T749" t="inlineStr">
        <is>
          <t>服饰穿搭</t>
        </is>
      </c>
      <c r="U749" t="inlineStr">
        <is>
          <t>鞋靴箱包</t>
        </is>
      </c>
      <c r="V749" s="3">
        <v>46112.78107638889</v>
      </c>
      <c r="W749" t="inlineStr">
        <is>
          <t>2026-Q1</t>
        </is>
      </c>
    </row>
    <row r="750" ht="25.5" customHeight="1">
      <c r="A750" t="inlineStr">
        <is>
          <t>【600g】量贩装品质恰巴塔600克 9-10枚面包无蔗糖健康健身代餐</t>
        </is>
      </c>
      <c r="B750" t="inlineStr">
        <is>
          <t>recveNXG9tpUDb.jpg</t>
        </is>
      </c>
      <c r="C750" s="2" t="str">
        <f>=HYPERLINK("https://xhslink.com/m/2WvxDUtkEd3", "https://xhslink.com/m/2WvxDUtkEd3")</f>
        <v>https://xhslink.com/m/2WvxDUtkEd3</v>
      </c>
      <c r="D750"/>
      <c r="E750">
        <v>40000</v>
      </c>
      <c r="F750">
        <v>29.9</v>
      </c>
      <c r="G750"/>
      <c r="H750">
        <v>400</v>
      </c>
      <c r="I750" t="inlineStr">
        <is>
          <t>减脂主食</t>
        </is>
      </c>
      <c r="J750" t="inlineStr">
        <is>
          <t>0.01</t>
        </is>
      </c>
      <c r="K750" t="inlineStr">
        <is>
          <t>🔥低粉爆款</t>
        </is>
      </c>
      <c r="L750" t="inlineStr">
        <is>
          <t>美糖手工烘焙工坊的店</t>
        </is>
      </c>
      <c r="M750">
        <v>8919</v>
      </c>
      <c r="N750">
        <v>4.67</v>
      </c>
      <c r="O750">
        <v>60000</v>
      </c>
      <c r="P750" t="inlineStr">
        <is>
          <t>6870c2701cfd980001c713ea</t>
        </is>
      </c>
      <c r="Q750" t="inlineStr">
        <is>
          <t>🚫重复</t>
        </is>
      </c>
      <c r="R750" t="inlineStr">
        <is>
          <t>14周</t>
        </is>
      </c>
      <c r="S750" t="inlineStr">
        <is>
          <t>4.48</t>
        </is>
      </c>
      <c r="T750" t="inlineStr">
        <is>
          <t>美食滋补</t>
        </is>
      </c>
      <c r="U750" t="inlineStr">
        <is>
          <t>休闲零食</t>
        </is>
      </c>
      <c r="V750" s="3">
        <v>46112.78107638889</v>
      </c>
      <c r="W750" t="inlineStr">
        <is>
          <t>2026-Q1</t>
        </is>
      </c>
    </row>
    <row r="751" ht="25.5" customHeight="1">
      <c r="A751" t="inlineStr">
        <is>
          <t>「EmberWing」项链｜烬翎｜爱心别针小众女夏百搭</t>
        </is>
      </c>
      <c r="B751" t="inlineStr">
        <is>
          <t>recveTJWJNhhyP.jpg</t>
        </is>
      </c>
      <c r="C751" s="2" t="str">
        <f>=HYPERLINK("https://xhslink.com/m/25P1wwRD0Ne", "https://xhslink.com/m/25P1wwRD0Ne")</f>
        <v>https://xhslink.com/m/25P1wwRD0Ne</v>
      </c>
      <c r="D751"/>
      <c r="E751">
        <v>13000</v>
      </c>
      <c r="F751">
        <v>35.5</v>
      </c>
      <c r="G751">
        <v>23.5</v>
      </c>
      <c r="H751">
        <v>400</v>
      </c>
      <c r="I751" t="inlineStr">
        <is>
          <t>饰品</t>
        </is>
      </c>
      <c r="J751" t="inlineStr">
        <is>
          <t>0.03</t>
        </is>
      </c>
      <c r="K751"/>
      <c r="L751" t="inlineStr">
        <is>
          <t>LFSTUDIO1的店</t>
        </is>
      </c>
      <c r="M751">
        <v>37000</v>
      </c>
      <c r="N751">
        <v>4.63</v>
      </c>
      <c r="O751">
        <v>81000</v>
      </c>
      <c r="P751" t="inlineStr">
        <is>
          <t>684ef968e321340001378011</t>
        </is>
      </c>
      <c r="Q751" t="inlineStr">
        <is>
          <t>🚫重复</t>
        </is>
      </c>
      <c r="R751" t="inlineStr">
        <is>
          <t>14周</t>
        </is>
      </c>
      <c r="S751" t="inlineStr">
        <is>
          <t>0.35</t>
        </is>
      </c>
      <c r="T751" t="inlineStr">
        <is>
          <t>服饰穿搭</t>
        </is>
      </c>
      <c r="U751" t="inlineStr">
        <is>
          <t>配饰</t>
        </is>
      </c>
      <c r="V751" s="3">
        <v>46112.78107638889</v>
      </c>
      <c r="W751" t="inlineStr">
        <is>
          <t>2026-Q1</t>
        </is>
      </c>
    </row>
    <row r="752" ht="25.5" customHeight="1">
      <c r="A752" t="inlineStr">
        <is>
          <t>清润六物饮｜海底椰雪梨玉竹无花果..沙参约70克一包</t>
        </is>
      </c>
      <c r="B752" t="inlineStr">
        <is>
          <t>recveTJWJNd3Fz.jpg</t>
        </is>
      </c>
      <c r="C752" s="2" t="str">
        <f>=HYPERLINK("https://xhslink.com/m/19sMiKmiD9R", "https://xhslink.com/m/19sMiKmiD9R")</f>
        <v>https://xhslink.com/m/19sMiKmiD9R</v>
      </c>
      <c r="D752"/>
      <c r="E752">
        <v>10000</v>
      </c>
      <c r="F752">
        <v>165</v>
      </c>
      <c r="G752"/>
      <c r="H752">
        <v>400</v>
      </c>
      <c r="I752" t="inlineStr">
        <is>
          <t>养生茶</t>
        </is>
      </c>
      <c r="J752" t="inlineStr">
        <is>
          <t>0.04</t>
        </is>
      </c>
      <c r="K752" t="inlineStr">
        <is>
          <t>🔥低粉爆款</t>
        </is>
      </c>
      <c r="L752" t="inlineStr">
        <is>
          <t>茶事的店</t>
        </is>
      </c>
      <c r="M752">
        <v>1818</v>
      </c>
      <c r="N752">
        <v>4.5</v>
      </c>
      <c r="O752">
        <v>16000</v>
      </c>
      <c r="P752" t="inlineStr">
        <is>
          <t>69437e4096f5ad000111fb7f</t>
        </is>
      </c>
      <c r="Q752" t="inlineStr">
        <is>
          <t>🚫重复</t>
        </is>
      </c>
      <c r="R752" t="inlineStr">
        <is>
          <t>14周</t>
        </is>
      </c>
      <c r="S752" t="inlineStr">
        <is>
          <t>5.50</t>
        </is>
      </c>
      <c r="T752" t="inlineStr">
        <is>
          <t>美食滋补</t>
        </is>
      </c>
      <c r="U752" t="inlineStr">
        <is>
          <t>酒水冲饮</t>
        </is>
      </c>
      <c r="V752" s="3">
        <v>46112.78107638889</v>
      </c>
      <c r="W752" t="inlineStr">
        <is>
          <t>2026-Q1</t>
        </is>
      </c>
    </row>
    <row r="753" ht="25.5" customHeight="1">
      <c r="A753" t="inlineStr">
        <is>
          <t>慵懒感阔腿裤女白色棉麻拖地裤高腰垂感老钱风裤子</t>
        </is>
      </c>
      <c r="B753" t="inlineStr">
        <is>
          <t>recveTJWJNS2EV.jpg</t>
        </is>
      </c>
      <c r="C753" s="2" t="str">
        <f>=HYPERLINK("https://xhslink.com/m/3t3OrQhnO3I", "https://xhslink.com/m/3t3OrQhnO3I")</f>
        <v>https://xhslink.com/m/3t3OrQhnO3I</v>
      </c>
      <c r="D753"/>
      <c r="E753">
        <v>9443</v>
      </c>
      <c r="F753">
        <v>95</v>
      </c>
      <c r="G753"/>
      <c r="H753">
        <v>400</v>
      </c>
      <c r="I753" t="inlineStr">
        <is>
          <t>裤子</t>
        </is>
      </c>
      <c r="J753" t="inlineStr">
        <is>
          <t>0.04</t>
        </is>
      </c>
      <c r="K753"/>
      <c r="L753" t="inlineStr">
        <is>
          <t>猫猫不耶的店</t>
        </is>
      </c>
      <c r="M753">
        <v>22000</v>
      </c>
      <c r="N753">
        <v>4.37</v>
      </c>
      <c r="O753">
        <v>391000</v>
      </c>
      <c r="P753" t="inlineStr">
        <is>
          <t>6868d08722340400011ef1eb</t>
        </is>
      </c>
      <c r="Q753" t="inlineStr">
        <is>
          <t>🚫重复</t>
        </is>
      </c>
      <c r="R753" t="inlineStr">
        <is>
          <t>14周</t>
        </is>
      </c>
      <c r="S753" t="inlineStr">
        <is>
          <t>0.43</t>
        </is>
      </c>
      <c r="T753" t="inlineStr">
        <is>
          <t>服饰穿搭</t>
        </is>
      </c>
      <c r="U753" t="inlineStr">
        <is>
          <t>女装</t>
        </is>
      </c>
      <c r="V753" s="3">
        <v>46112.78107638889</v>
      </c>
      <c r="W753" t="inlineStr">
        <is>
          <t>2026-Q1</t>
        </is>
      </c>
    </row>
    <row r="754" ht="25.5" customHeight="1">
      <c r="A754" t="inlineStr">
        <is>
          <t>低腰不贴腿百搭喇叭裤拖地牛仔裤女美式辣妹阔腿裤</t>
        </is>
      </c>
      <c r="B754" t="inlineStr">
        <is>
          <t>recveTJWJN2yG7.jpg</t>
        </is>
      </c>
      <c r="C754" s="2" t="str">
        <f>=HYPERLINK("https://xhslink.com/m/9e9FsClWXka", "https://xhslink.com/m/9e9FsClWXka")</f>
        <v>https://xhslink.com/m/9e9FsClWXka</v>
      </c>
      <c r="D754"/>
      <c r="E754">
        <v>135000</v>
      </c>
      <c r="F754">
        <v>95</v>
      </c>
      <c r="G754">
        <v>79</v>
      </c>
      <c r="H754">
        <v>400</v>
      </c>
      <c r="I754" t="inlineStr">
        <is>
          <t>裤子</t>
        </is>
      </c>
      <c r="J754" t="inlineStr">
        <is>
          <t>0.00</t>
        </is>
      </c>
      <c r="K754"/>
      <c r="L754" t="inlineStr">
        <is>
          <t>OKOKOK的店</t>
        </is>
      </c>
      <c r="M754">
        <v>233000</v>
      </c>
      <c r="N754">
        <v>4.51</v>
      </c>
      <c r="O754">
        <v>1125000</v>
      </c>
      <c r="P754" t="inlineStr">
        <is>
          <t>6741886d17e95f0001f5cf00</t>
        </is>
      </c>
      <c r="Q754" t="inlineStr">
        <is>
          <t>🚫重复</t>
        </is>
      </c>
      <c r="R754" t="inlineStr">
        <is>
          <t>14周</t>
        </is>
      </c>
      <c r="S754" t="inlineStr">
        <is>
          <t>0.58</t>
        </is>
      </c>
      <c r="T754" t="inlineStr">
        <is>
          <t>服饰穿搭</t>
        </is>
      </c>
      <c r="U754" t="inlineStr">
        <is>
          <t>女装</t>
        </is>
      </c>
      <c r="V754" s="3">
        <v>46112.78107638889</v>
      </c>
      <c r="W754" t="inlineStr">
        <is>
          <t>2026-Q1</t>
        </is>
      </c>
    </row>
    <row r="755" ht="25.5" customHeight="1">
      <c r="A755" t="inlineStr">
        <is>
          <t>美式复古弯刀裤阔腿宽松直筒休闲工装裤</t>
        </is>
      </c>
      <c r="B755" t="inlineStr">
        <is>
          <t>recveTJWJNCm9Q.jpg</t>
        </is>
      </c>
      <c r="C755" s="2" t="str">
        <f>=HYPERLINK("https://xhslink.com/m/8CCxHDozQ5W", "https://xhslink.com/m/8CCxHDozQ5W")</f>
        <v>https://xhslink.com/m/8CCxHDozQ5W</v>
      </c>
      <c r="D755"/>
      <c r="E755">
        <v>29000</v>
      </c>
      <c r="F755">
        <v>109</v>
      </c>
      <c r="G755"/>
      <c r="H755">
        <v>400</v>
      </c>
      <c r="I755" t="inlineStr">
        <is>
          <t>裤子</t>
        </is>
      </c>
      <c r="J755" t="inlineStr">
        <is>
          <t>0.01</t>
        </is>
      </c>
      <c r="K755" t="inlineStr">
        <is>
          <t>🔥低粉爆款</t>
        </is>
      </c>
      <c r="L755" t="inlineStr">
        <is>
          <t>半勺糖Tang的店</t>
        </is>
      </c>
      <c r="M755">
        <v>6974</v>
      </c>
      <c r="N755">
        <v>4.16</v>
      </c>
      <c r="O755">
        <v>144000</v>
      </c>
      <c r="P755" t="inlineStr">
        <is>
          <t>68a855ea0991b4000192d71e</t>
        </is>
      </c>
      <c r="Q755" t="inlineStr">
        <is>
          <t>🚫重复</t>
        </is>
      </c>
      <c r="R755" t="inlineStr">
        <is>
          <t>14周</t>
        </is>
      </c>
      <c r="S755" t="inlineStr">
        <is>
          <t>4.16</t>
        </is>
      </c>
      <c r="T755" t="inlineStr">
        <is>
          <t>服饰穿搭</t>
        </is>
      </c>
      <c r="U755" t="inlineStr">
        <is>
          <t>女装</t>
        </is>
      </c>
      <c r="V755" s="3">
        <v>46112.78107638889</v>
      </c>
      <c r="W755" t="inlineStr">
        <is>
          <t>2026-Q1</t>
        </is>
      </c>
    </row>
    <row r="756" ht="25.5" customHeight="1">
      <c r="A756" t="inlineStr">
        <is>
          <t>李空空【爱在西元前】复古蓝高腰微喇牛仔阔腿裤女复古显瘦长裤子</t>
        </is>
      </c>
      <c r="B756" t="inlineStr">
        <is>
          <t>recveTJWJNDI7J.jpg</t>
        </is>
      </c>
      <c r="C756" s="2" t="str">
        <f>=HYPERLINK("https://xhslink.com/m/7sbUquZ8z3p", "https://xhslink.com/m/7sbUquZ8z3p")</f>
        <v>https://xhslink.com/m/7sbUquZ8z3p</v>
      </c>
      <c r="D756"/>
      <c r="E756">
        <v>65000</v>
      </c>
      <c r="F756">
        <v>89.99</v>
      </c>
      <c r="G756"/>
      <c r="H756">
        <v>400</v>
      </c>
      <c r="I756" t="inlineStr">
        <is>
          <t>裤子</t>
        </is>
      </c>
      <c r="J756" t="inlineStr">
        <is>
          <t>0.01</t>
        </is>
      </c>
      <c r="K756"/>
      <c r="L756" t="inlineStr">
        <is>
          <t>李空空的店</t>
        </is>
      </c>
      <c r="M756">
        <v>102000</v>
      </c>
      <c r="N756">
        <v>4.6</v>
      </c>
      <c r="O756">
        <v>557000</v>
      </c>
      <c r="P756" t="inlineStr">
        <is>
          <t>6899f24de078ad0001c8ae94</t>
        </is>
      </c>
      <c r="Q756" t="inlineStr">
        <is>
          <t>🚫重复</t>
        </is>
      </c>
      <c r="R756" t="inlineStr">
        <is>
          <t>14周</t>
        </is>
      </c>
      <c r="S756" t="inlineStr">
        <is>
          <t>0.64</t>
        </is>
      </c>
      <c r="T756" t="inlineStr">
        <is>
          <t>服饰穿搭</t>
        </is>
      </c>
      <c r="U756" t="inlineStr">
        <is>
          <t>女装</t>
        </is>
      </c>
      <c r="V756" s="3">
        <v>46112.78107638889</v>
      </c>
      <c r="W756" t="inlineStr">
        <is>
          <t>2026-Q1</t>
        </is>
      </c>
    </row>
    <row r="757" ht="25.5" customHeight="1">
      <c r="A757" t="inlineStr">
        <is>
          <t>【显瘦百搭】窄版直筒牛仔裤YKK拉链阔腿裤宽松休闲通勤百搭长裤</t>
        </is>
      </c>
      <c r="B757" t="inlineStr">
        <is>
          <t>recveTJWJN7jcw.jpg</t>
        </is>
      </c>
      <c r="C757" s="2" t="str">
        <f>=HYPERLINK("https://xhslink.com/m/8TVlBzcC4Ib", "https://xhslink.com/m/8TVlBzcC4Ib")</f>
        <v>https://xhslink.com/m/8TVlBzcC4Ib</v>
      </c>
      <c r="D757"/>
      <c r="E757">
        <v>32000</v>
      </c>
      <c r="F757">
        <v>109.99</v>
      </c>
      <c r="G757">
        <v>79.99</v>
      </c>
      <c r="H757">
        <v>400</v>
      </c>
      <c r="I757" t="inlineStr">
        <is>
          <t>裤子</t>
        </is>
      </c>
      <c r="J757" t="inlineStr">
        <is>
          <t>0.01</t>
        </is>
      </c>
      <c r="K757" t="inlineStr">
        <is>
          <t>🔥低粉爆款</t>
        </is>
      </c>
      <c r="L757" t="inlineStr">
        <is>
          <t>小晴天1的店</t>
        </is>
      </c>
      <c r="M757">
        <v>4388</v>
      </c>
      <c r="N757">
        <v>4.38</v>
      </c>
      <c r="O757">
        <v>67000</v>
      </c>
      <c r="P757" t="inlineStr">
        <is>
          <t>67380c533293e8000154296c</t>
        </is>
      </c>
      <c r="Q757" t="inlineStr">
        <is>
          <t>🚫重复</t>
        </is>
      </c>
      <c r="R757" t="inlineStr">
        <is>
          <t>14周</t>
        </is>
      </c>
      <c r="S757" t="inlineStr">
        <is>
          <t>7.29</t>
        </is>
      </c>
      <c r="T757" t="inlineStr">
        <is>
          <t>服饰穿搭</t>
        </is>
      </c>
      <c r="U757" t="inlineStr">
        <is>
          <t>女装</t>
        </is>
      </c>
      <c r="V757" s="3">
        <v>46112.78107638889</v>
      </c>
      <c r="W757" t="inlineStr">
        <is>
          <t>2026-Q1</t>
        </is>
      </c>
    </row>
    <row r="758" ht="25.5" customHeight="1">
      <c r="A758" t="inlineStr">
        <is>
          <t>儿童袜子夏季轻薄无骨纯色网眼棉袜男女童抗起球中筒运动袜A037 · A154纯棉横条4双 L码/6-8岁/17-19cm/28-32码</t>
        </is>
      </c>
      <c r="B758" t="inlineStr">
        <is>
          <t>recveTJWJNMgrh.jpg</t>
        </is>
      </c>
      <c r="C758" s="2" t="str">
        <f>=HYPERLINK("https://www.xiaohongshu.com/goods-detail/67cfa2c452503c00015fd759", "https://www.xiaohongshu.com/goods-detail/67cfa2c452503c00015fd759")</f>
        <v>https://www.xiaohongshu.com/goods-detail/67cfa2c452503c00015fd759</v>
      </c>
      <c r="D758"/>
      <c r="E758">
        <v>24000</v>
      </c>
      <c r="F758">
        <v>19.9</v>
      </c>
      <c r="G758"/>
      <c r="H758">
        <v>400</v>
      </c>
      <c r="I758" t="inlineStr">
        <is>
          <t>童袜</t>
        </is>
      </c>
      <c r="J758" t="inlineStr">
        <is>
          <t>0.02</t>
        </is>
      </c>
      <c r="K758" t="inlineStr">
        <is>
          <t>🔥低粉爆款</t>
        </is>
      </c>
      <c r="L758" t="inlineStr">
        <is>
          <t>冉琪童袜的店</t>
        </is>
      </c>
      <c r="M758">
        <v>2847</v>
      </c>
      <c r="N758">
        <v>4.53</v>
      </c>
      <c r="O758">
        <v>72000</v>
      </c>
      <c r="P758" t="inlineStr">
        <is>
          <t>67cfa2c452503c00015fd759</t>
        </is>
      </c>
      <c r="Q758"/>
      <c r="R758" t="inlineStr">
        <is>
          <t>14周</t>
        </is>
      </c>
      <c r="S758" t="inlineStr">
        <is>
          <t>8.43</t>
        </is>
      </c>
      <c r="T758" t="inlineStr">
        <is>
          <t>母婴亲子</t>
        </is>
      </c>
      <c r="U758" t="inlineStr">
        <is>
          <t>童装童鞋</t>
        </is>
      </c>
      <c r="V758" s="3">
        <v>46112.78107638889</v>
      </c>
      <c r="W758" t="inlineStr">
        <is>
          <t>2026-Q1</t>
        </is>
      </c>
    </row>
    <row r="759" ht="25.5" customHeight="1">
      <c r="A759" t="inlineStr">
        <is>
          <t>苹果按摩仪腰部家用靠垫办公室蓝红果果按摩枕送男女朋友妈妈礼物 · 红果果【红运当头】布套可拆洗｜全身按摩｜恒温热敷</t>
        </is>
      </c>
      <c r="B759" t="inlineStr">
        <is>
          <t>recveTJWJNrdIE.jpg</t>
        </is>
      </c>
      <c r="C759" s="2" t="str">
        <f>=HYPERLINK("https://www.xiaohongshu.com/goods-detail/6808584d92ada400012b2abc", "https://www.xiaohongshu.com/goods-detail/6808584d92ada400012b2abc")</f>
        <v>https://www.xiaohongshu.com/goods-detail/6808584d92ada400012b2abc</v>
      </c>
      <c r="D759"/>
      <c r="E759">
        <v>46000</v>
      </c>
      <c r="F759">
        <v>269</v>
      </c>
      <c r="G759">
        <v>169</v>
      </c>
      <c r="H759">
        <v>400</v>
      </c>
      <c r="I759" t="inlineStr">
        <is>
          <t>礼物</t>
        </is>
      </c>
      <c r="J759" t="inlineStr">
        <is>
          <t>0.01</t>
        </is>
      </c>
      <c r="K759" t="inlineStr">
        <is>
          <t>🔥低粉爆款</t>
        </is>
      </c>
      <c r="L759" t="inlineStr">
        <is>
          <t>舒与旗舰店</t>
        </is>
      </c>
      <c r="M759">
        <v>2870</v>
      </c>
      <c r="N759">
        <v>4.69</v>
      </c>
      <c r="O759">
        <v>58000</v>
      </c>
      <c r="P759" t="inlineStr">
        <is>
          <t>6808584d92ada400012b2abc</t>
        </is>
      </c>
      <c r="Q759"/>
      <c r="R759" t="inlineStr">
        <is>
          <t>14周</t>
        </is>
      </c>
      <c r="S759" t="inlineStr">
        <is>
          <t>16.03</t>
        </is>
      </c>
      <c r="T759" t="inlineStr">
        <is>
          <t>服饰穿搭</t>
        </is>
      </c>
      <c r="U759" t="inlineStr">
        <is>
          <t>配饰</t>
        </is>
      </c>
      <c r="V759" s="3">
        <v>46112.78107638889</v>
      </c>
      <c r="W759" t="inlineStr">
        <is>
          <t>2026-Q1</t>
        </is>
      </c>
    </row>
    <row r="760" ht="25.5" customHeight="1">
      <c r="A760" t="inlineStr">
        <is>
          <t>富士柯达插画一次性胶片相机 I 生日礼物【原装正品 拆封不退换】 · 【Kitty 】主题款 I 全格(27张)+礼盒</t>
        </is>
      </c>
      <c r="B760" t="inlineStr">
        <is>
          <t>recveTJWJNeH5w.jpg</t>
        </is>
      </c>
      <c r="C760" s="2" t="str">
        <f>=HYPERLINK("https://www.xiaohongshu.com/goods-detail/691abb3fc57d9c0001b89cf4", "https://www.xiaohongshu.com/goods-detail/691abb3fc57d9c0001b89cf4")</f>
        <v>https://www.xiaohongshu.com/goods-detail/691abb3fc57d9c0001b89cf4</v>
      </c>
      <c r="D760"/>
      <c r="E760">
        <v>22000</v>
      </c>
      <c r="F760">
        <v>169</v>
      </c>
      <c r="G760">
        <v>149</v>
      </c>
      <c r="H760">
        <v>400</v>
      </c>
      <c r="I760" t="inlineStr">
        <is>
          <t>礼物</t>
        </is>
      </c>
      <c r="J760" t="inlineStr">
        <is>
          <t>0.02</t>
        </is>
      </c>
      <c r="K760" t="inlineStr">
        <is>
          <t>🔥低粉爆款</t>
        </is>
      </c>
      <c r="L760" t="inlineStr">
        <is>
          <t>DLA光影室的店</t>
        </is>
      </c>
      <c r="M760">
        <v>786</v>
      </c>
      <c r="N760">
        <v>4.68</v>
      </c>
      <c r="O760">
        <v>23000</v>
      </c>
      <c r="P760" t="inlineStr">
        <is>
          <t>691abb3fc57d9c0001b89cf4</t>
        </is>
      </c>
      <c r="Q760"/>
      <c r="R760" t="inlineStr">
        <is>
          <t>14周</t>
        </is>
      </c>
      <c r="S760" t="inlineStr">
        <is>
          <t>27.99</t>
        </is>
      </c>
      <c r="T760" t="inlineStr">
        <is>
          <t>服饰穿搭</t>
        </is>
      </c>
      <c r="U760" t="inlineStr">
        <is>
          <t>配饰</t>
        </is>
      </c>
      <c r="V760" s="3">
        <v>46112.78107638889</v>
      </c>
      <c r="W760" t="inlineStr">
        <is>
          <t>2026-Q1</t>
        </is>
      </c>
    </row>
    <row r="761" ht="25.5" customHeight="1">
      <c r="A761" t="inlineStr">
        <is>
          <t>SEN X WANG · 美式百搭宽檐字母刺绣棒球帽男女同款显白2026春夏新款软顶显脸小</t>
        </is>
      </c>
      <c r="B761" t="inlineStr">
        <is>
          <t>recvf2aASaUzK9.jpg</t>
        </is>
      </c>
      <c r="C761" s="2" t="str">
        <f>=HYPERLINK("https://xhslink.com/m/LEPauwC1k", "https://xhslink.com/m/LEPauwC1k")</f>
        <v>https://xhslink.com/m/LEPauwC1k</v>
      </c>
      <c r="D761"/>
      <c r="E761">
        <v>81000</v>
      </c>
      <c r="F761">
        <v>47.8</v>
      </c>
      <c r="G761">
        <v>43.8</v>
      </c>
      <c r="H761">
        <v>400</v>
      </c>
      <c r="I761" t="inlineStr">
        <is>
          <t>运动帽</t>
        </is>
      </c>
      <c r="J761" t="inlineStr">
        <is>
          <t>0.00</t>
        </is>
      </c>
      <c r="K761" t="inlineStr">
        <is>
          <t>🔥低粉爆款</t>
        </is>
      </c>
      <c r="L761" t="inlineStr">
        <is>
          <t>SEN X WANG旗舰店</t>
        </is>
      </c>
      <c r="M761">
        <v>11000</v>
      </c>
      <c r="N761">
        <v>4.38</v>
      </c>
      <c r="O761">
        <v>117000</v>
      </c>
      <c r="P761" t="inlineStr">
        <is>
          <t>6620e74c967a4b00016aebf3</t>
        </is>
      </c>
      <c r="Q761" t="inlineStr">
        <is>
          <t>🚫重复</t>
        </is>
      </c>
      <c r="R761" t="inlineStr">
        <is>
          <t>14周</t>
        </is>
      </c>
      <c r="S761" t="inlineStr">
        <is>
          <t>7.36</t>
        </is>
      </c>
      <c r="T761" t="inlineStr">
        <is>
          <t>服饰穿搭</t>
        </is>
      </c>
      <c r="U761" t="inlineStr">
        <is>
          <t>鞋靴箱包</t>
        </is>
      </c>
      <c r="V761" s="3">
        <v>46112.78107638889</v>
      </c>
      <c r="W761" t="inlineStr">
        <is>
          <t>2026-Q1</t>
        </is>
      </c>
    </row>
    <row r="762" ht="25.5" customHeight="1">
      <c r="A762" t="inlineStr">
        <is>
          <t>【超轻薄】速干透气户外防晒遮阳棒球帽女跑步健身鸭舌帽男帽子</t>
        </is>
      </c>
      <c r="B762" t="inlineStr">
        <is>
          <t>recvf2aASaSU2f.jpg</t>
        </is>
      </c>
      <c r="C762" s="2" t="str">
        <f>=HYPERLINK("https://xhslink.com/m/1SlsiMV9lIW", "https://xhslink.com/m/1SlsiMV9lIW")</f>
        <v>https://xhslink.com/m/1SlsiMV9lIW</v>
      </c>
      <c r="D762"/>
      <c r="E762">
        <v>28000</v>
      </c>
      <c r="F762">
        <v>49.9</v>
      </c>
      <c r="G762">
        <v>39.9</v>
      </c>
      <c r="H762">
        <v>400</v>
      </c>
      <c r="I762" t="inlineStr">
        <is>
          <t>运动帽</t>
        </is>
      </c>
      <c r="J762" t="inlineStr">
        <is>
          <t>0.01</t>
        </is>
      </c>
      <c r="K762" t="inlineStr">
        <is>
          <t>🔥低粉爆款</t>
        </is>
      </c>
      <c r="L762" t="inlineStr">
        <is>
          <t>帽次元 CapsLock的店</t>
        </is>
      </c>
      <c r="M762">
        <v>889</v>
      </c>
      <c r="N762">
        <v>4.67</v>
      </c>
      <c r="O762">
        <v>34000</v>
      </c>
      <c r="P762" t="inlineStr">
        <is>
          <t>67dac9f19dab1100154013eb</t>
        </is>
      </c>
      <c r="Q762" t="inlineStr">
        <is>
          <t>🚫重复</t>
        </is>
      </c>
      <c r="R762" t="inlineStr">
        <is>
          <t>14周</t>
        </is>
      </c>
      <c r="S762" t="inlineStr">
        <is>
          <t>31.50</t>
        </is>
      </c>
      <c r="T762" t="inlineStr">
        <is>
          <t>运动潮玩</t>
        </is>
      </c>
      <c r="U762" t="inlineStr">
        <is>
          <t>运动户外装备</t>
        </is>
      </c>
      <c r="V762" s="3">
        <v>46112.78107638889</v>
      </c>
      <c r="W762" t="inlineStr">
        <is>
          <t>2026-Q1</t>
        </is>
      </c>
    </row>
    <row r="763" ht="25.5" customHeight="1">
      <c r="A763" t="inlineStr">
        <is>
          <t>小雪人兔球球好气鸦涂鸦叽玩偶抱枕</t>
        </is>
      </c>
      <c r="B763" t="inlineStr">
        <is>
          <t>recvf2aASaE9Te.jpg</t>
        </is>
      </c>
      <c r="C763" s="2" t="str">
        <f>=HYPERLINK("https://xhslink.com/m/5LLgG9EZqBM", "https://xhslink.com/m/5LLgG9EZqBM")</f>
        <v>https://xhslink.com/m/5LLgG9EZqBM</v>
      </c>
      <c r="D763"/>
      <c r="E763">
        <v>5541</v>
      </c>
      <c r="F763">
        <v>69</v>
      </c>
      <c r="G763"/>
      <c r="H763">
        <v>400</v>
      </c>
      <c r="I763" t="inlineStr">
        <is>
          <t>毛绒玩偶</t>
        </is>
      </c>
      <c r="J763" t="inlineStr">
        <is>
          <t>0.07</t>
        </is>
      </c>
      <c r="K763"/>
      <c r="L763" t="inlineStr">
        <is>
          <t>蜡笔醒醒同人小铺的店</t>
        </is>
      </c>
      <c r="M763">
        <v>13000</v>
      </c>
      <c r="N763">
        <v>4.55</v>
      </c>
      <c r="O763">
        <v>12000</v>
      </c>
      <c r="P763" t="inlineStr">
        <is>
          <t>69b1293a7c9c8f0001138a8b</t>
        </is>
      </c>
      <c r="Q763" t="inlineStr">
        <is>
          <t>🚫重复</t>
        </is>
      </c>
      <c r="R763" t="inlineStr">
        <is>
          <t>14周</t>
        </is>
      </c>
      <c r="S763" t="inlineStr">
        <is>
          <t>0.43</t>
        </is>
      </c>
      <c r="T763" t="inlineStr">
        <is>
          <t>母婴亲子</t>
        </is>
      </c>
      <c r="U763" t="inlineStr">
        <is>
          <t>玩具早教</t>
        </is>
      </c>
      <c r="V763" s="3">
        <v>46112.78107638889</v>
      </c>
      <c r="W763" t="inlineStr">
        <is>
          <t>2026-Q1</t>
        </is>
      </c>
    </row>
    <row r="764" ht="25.5" customHeight="1">
      <c r="A764" t="inlineStr">
        <is>
          <t>雅痞老钱风极简复古卡其裤休闲裤宽松直筒裤女运动长裤 #2579</t>
        </is>
      </c>
      <c r="B764" t="inlineStr">
        <is>
          <t>recvf2aASacxoE.jpg</t>
        </is>
      </c>
      <c r="C764" s="2" t="str">
        <f>=HYPERLINK("https://xhslink.com/m/81LC1TDlDvH", "https://xhslink.com/m/81LC1TDlDvH")</f>
        <v>https://xhslink.com/m/81LC1TDlDvH</v>
      </c>
      <c r="D764"/>
      <c r="E764">
        <v>32000</v>
      </c>
      <c r="F764">
        <v>129</v>
      </c>
      <c r="G764"/>
      <c r="H764">
        <v>400</v>
      </c>
      <c r="I764" t="inlineStr">
        <is>
          <t>运动裤</t>
        </is>
      </c>
      <c r="J764" t="inlineStr">
        <is>
          <t>0.01</t>
        </is>
      </c>
      <c r="K764"/>
      <c r="L764" t="inlineStr">
        <is>
          <t>敏儿Miner的店</t>
        </is>
      </c>
      <c r="M764">
        <v>22000</v>
      </c>
      <c r="N764">
        <v>4.48</v>
      </c>
      <c r="O764">
        <v>131000</v>
      </c>
      <c r="P764" t="inlineStr">
        <is>
          <t>68e4cdb3e0f3b2000100d1ff</t>
        </is>
      </c>
      <c r="Q764" t="inlineStr">
        <is>
          <t>🚫重复</t>
        </is>
      </c>
      <c r="R764" t="inlineStr">
        <is>
          <t>14周</t>
        </is>
      </c>
      <c r="S764" t="inlineStr">
        <is>
          <t>1.45</t>
        </is>
      </c>
      <c r="T764" t="inlineStr">
        <is>
          <t>服饰穿搭</t>
        </is>
      </c>
      <c r="U764" t="inlineStr">
        <is>
          <t>女装</t>
        </is>
      </c>
      <c r="V764" s="3">
        <v>46112.78107638889</v>
      </c>
      <c r="W764" t="inlineStr">
        <is>
          <t>2026-Q1</t>
        </is>
      </c>
    </row>
    <row r="765" ht="25.5" customHeight="1">
      <c r="A765" t="inlineStr">
        <is>
          <t>婴儿背带裤春秋冬季可开档大PP裤针织纯棉a类背带裤</t>
        </is>
      </c>
      <c r="B765" t="inlineStr">
        <is>
          <t>recvf2aASaWSOh.jpg</t>
        </is>
      </c>
      <c r="C765" s="2" t="str">
        <f>=HYPERLINK("https://xhslink.com/m/1tZuOsG61YA", "https://xhslink.com/m/1tZuOsG61YA")</f>
        <v>https://xhslink.com/m/1tZuOsG61YA</v>
      </c>
      <c r="D765"/>
      <c r="E765">
        <v>30000</v>
      </c>
      <c r="F765">
        <v>49.8</v>
      </c>
      <c r="G765"/>
      <c r="H765">
        <v>400</v>
      </c>
      <c r="I765" t="inlineStr">
        <is>
          <t>婴儿穿搭</t>
        </is>
      </c>
      <c r="J765" t="inlineStr">
        <is>
          <t>0.01</t>
        </is>
      </c>
      <c r="K765" t="inlineStr">
        <is>
          <t>🔥低粉爆款</t>
        </is>
      </c>
      <c r="L765" t="inlineStr">
        <is>
          <t>汪小婧〔大屁屁裤版〕的店</t>
        </is>
      </c>
      <c r="M765">
        <v>1551</v>
      </c>
      <c r="N765">
        <v>4.58</v>
      </c>
      <c r="O765">
        <v>35000</v>
      </c>
      <c r="P765" t="inlineStr">
        <is>
          <t>659e3f3ffdf2180001a9dd14</t>
        </is>
      </c>
      <c r="Q765"/>
      <c r="R765" t="inlineStr">
        <is>
          <t>14周</t>
        </is>
      </c>
      <c r="S765" t="inlineStr">
        <is>
          <t>19.34</t>
        </is>
      </c>
      <c r="T765" t="inlineStr">
        <is>
          <t>服饰穿搭</t>
        </is>
      </c>
      <c r="U765" t="inlineStr">
        <is>
          <t>女装</t>
        </is>
      </c>
      <c r="V765" s="3">
        <v>46112.78107638889</v>
      </c>
      <c r="W765" t="inlineStr">
        <is>
          <t>2026-Q1</t>
        </is>
      </c>
    </row>
    <row r="766" ht="25.5" customHeight="1">
      <c r="A766" t="inlineStr">
        <is>
          <t>白色气质V领纽扣长袖针织衫女2026韩系打底衫</t>
        </is>
      </c>
      <c r="B766" t="inlineStr">
        <is>
          <t>recvf5pAkI5zOB.jpg</t>
        </is>
      </c>
      <c r="C766" s="2" t="str">
        <f>=HYPERLINK("https://xhslink.com/m/7U9xahwwKSc", "https://xhslink.com/m/7U9xahwwKSc")</f>
        <v>https://xhslink.com/m/7U9xahwwKSc</v>
      </c>
      <c r="D766"/>
      <c r="E766">
        <v>39000</v>
      </c>
      <c r="F766">
        <v>83</v>
      </c>
      <c r="G766">
        <v>59.3</v>
      </c>
      <c r="H766">
        <v>400</v>
      </c>
      <c r="I766" t="inlineStr">
        <is>
          <t>打底衫</t>
        </is>
      </c>
      <c r="J766" t="inlineStr">
        <is>
          <t>0.01</t>
        </is>
      </c>
      <c r="K766"/>
      <c r="L766" t="inlineStr">
        <is>
          <t>KK穿搭分享~的店</t>
        </is>
      </c>
      <c r="M766">
        <v>595000</v>
      </c>
      <c r="N766">
        <v>4.59</v>
      </c>
      <c r="O766">
        <v>3063000</v>
      </c>
      <c r="P766" t="inlineStr">
        <is>
          <t>676cd0e626657b00015bcbb9</t>
        </is>
      </c>
      <c r="Q766" t="inlineStr">
        <is>
          <t>🚫重复</t>
        </is>
      </c>
      <c r="R766" t="inlineStr">
        <is>
          <t>14周</t>
        </is>
      </c>
      <c r="S766" t="inlineStr">
        <is>
          <t>0.07</t>
        </is>
      </c>
      <c r="T766" t="inlineStr">
        <is>
          <t>服饰穿搭</t>
        </is>
      </c>
      <c r="U766" t="inlineStr">
        <is>
          <t>女装</t>
        </is>
      </c>
      <c r="V766" s="3">
        <v>46112.78107638889</v>
      </c>
      <c r="W766" t="inlineStr">
        <is>
          <t>2026-Q1</t>
        </is>
      </c>
    </row>
    <row r="767" ht="25.5" customHeight="1">
      <c r="A767" t="inlineStr">
        <is>
          <t>复古卡其色牛仔裤2026春夏新款高腰遮胯阔腿裤宽松垂感弯刀裤子女</t>
        </is>
      </c>
      <c r="B767" t="inlineStr">
        <is>
          <t>recvf5pAkIrE41.jpg</t>
        </is>
      </c>
      <c r="C767" s="2" t="str">
        <f>=HYPERLINK("https://xhslink.com/m/4s4SlE2kPpr", "https://xhslink.com/m/4s4SlE2kPpr")</f>
        <v>https://xhslink.com/m/4s4SlE2kPpr</v>
      </c>
      <c r="D767"/>
      <c r="E767">
        <v>14000</v>
      </c>
      <c r="F767">
        <v>119</v>
      </c>
      <c r="G767">
        <v>88</v>
      </c>
      <c r="H767">
        <v>400</v>
      </c>
      <c r="I767" t="inlineStr">
        <is>
          <t>休闲裤</t>
        </is>
      </c>
      <c r="J767" t="inlineStr">
        <is>
          <t>0.03</t>
        </is>
      </c>
      <c r="K767"/>
      <c r="L767" t="inlineStr">
        <is>
          <t>圈圈不转圈⭕的店</t>
        </is>
      </c>
      <c r="M767">
        <v>31000</v>
      </c>
      <c r="N767">
        <v>4.47</v>
      </c>
      <c r="O767">
        <v>240000</v>
      </c>
      <c r="P767" t="inlineStr">
        <is>
          <t>68b44f1d8ec6fa0001721a3d</t>
        </is>
      </c>
      <c r="Q767" t="inlineStr">
        <is>
          <t>🚫重复</t>
        </is>
      </c>
      <c r="R767" t="inlineStr">
        <is>
          <t>14周</t>
        </is>
      </c>
      <c r="S767" t="inlineStr">
        <is>
          <t>0.45</t>
        </is>
      </c>
      <c r="T767" t="inlineStr">
        <is>
          <t>服饰穿搭</t>
        </is>
      </c>
      <c r="U767" t="inlineStr">
        <is>
          <t>女装</t>
        </is>
      </c>
      <c r="V767" s="3">
        <v>46112.78107638889</v>
      </c>
      <c r="W767" t="inlineStr">
        <is>
          <t>2026-Q1</t>
        </is>
      </c>
    </row>
    <row r="768" ht="25.5" customHeight="1">
      <c r="A768" t="inlineStr">
        <is>
          <t>美式阔腿工装裤女新款显瘦高腰阔腿裤宽松复古休闲设计感牛仔裤子</t>
        </is>
      </c>
      <c r="B768" t="inlineStr">
        <is>
          <t>recvf5pAkIneZA.jpg</t>
        </is>
      </c>
      <c r="C768" s="2" t="str">
        <f>=HYPERLINK("https://xhslink.com/m/7ZWy0vCaDk8", "https://xhslink.com/m/7ZWy0vCaDk8")</f>
        <v>https://xhslink.com/m/7ZWy0vCaDk8</v>
      </c>
      <c r="D768"/>
      <c r="E768">
        <v>14000</v>
      </c>
      <c r="F768">
        <v>98</v>
      </c>
      <c r="G768"/>
      <c r="H768">
        <v>400</v>
      </c>
      <c r="I768" t="inlineStr">
        <is>
          <t>休闲裤</t>
        </is>
      </c>
      <c r="J768" t="inlineStr">
        <is>
          <t>0.03</t>
        </is>
      </c>
      <c r="K768"/>
      <c r="L768" t="inlineStr">
        <is>
          <t>猫猫不耶的店</t>
        </is>
      </c>
      <c r="M768">
        <v>22000</v>
      </c>
      <c r="N768">
        <v>4.38</v>
      </c>
      <c r="O768">
        <v>392000</v>
      </c>
      <c r="P768" t="inlineStr">
        <is>
          <t>688f1cf447d5bd00010b1e0b</t>
        </is>
      </c>
      <c r="Q768" t="inlineStr">
        <is>
          <t>🚫重复</t>
        </is>
      </c>
      <c r="R768" t="inlineStr">
        <is>
          <t>14周</t>
        </is>
      </c>
      <c r="S768" t="inlineStr">
        <is>
          <t>0.64</t>
        </is>
      </c>
      <c r="T768" t="inlineStr">
        <is>
          <t>服饰穿搭</t>
        </is>
      </c>
      <c r="U768" t="inlineStr">
        <is>
          <t>女装</t>
        </is>
      </c>
      <c r="V768" s="3">
        <v>46112.78107638889</v>
      </c>
      <c r="W768" t="inlineStr">
        <is>
          <t>2026-Q1</t>
        </is>
      </c>
    </row>
    <row r="769" ht="25.5" customHeight="1">
      <c r="A769" t="inlineStr">
        <is>
          <t>梨茉~高弹力高腰窄版直筒修身显瘦牛仔裤小个子女</t>
        </is>
      </c>
      <c r="B769" t="inlineStr">
        <is>
          <t>recvf5pAkISrmr.jpg</t>
        </is>
      </c>
      <c r="C769" s="2" t="str">
        <f>=HYPERLINK("https://xhslink.com/m/9S0ayrtcoFB", "https://xhslink.com/m/9S0ayrtcoFB")</f>
        <v>https://xhslink.com/m/9S0ayrtcoFB</v>
      </c>
      <c r="D769"/>
      <c r="E769">
        <v>5022</v>
      </c>
      <c r="F769">
        <v>118</v>
      </c>
      <c r="G769">
        <v>98</v>
      </c>
      <c r="H769">
        <v>400</v>
      </c>
      <c r="I769" t="inlineStr">
        <is>
          <t>直筒裤</t>
        </is>
      </c>
      <c r="J769" t="inlineStr">
        <is>
          <t>0.08</t>
        </is>
      </c>
      <c r="K769"/>
      <c r="L769" t="inlineStr">
        <is>
          <t>梨茉STUDIO👖的店</t>
        </is>
      </c>
      <c r="M769">
        <v>3189</v>
      </c>
      <c r="N769">
        <v>4.56</v>
      </c>
      <c r="O769">
        <v>63000</v>
      </c>
      <c r="P769" t="inlineStr">
        <is>
          <t>67d576425fc3f70001126ad6</t>
        </is>
      </c>
      <c r="Q769" t="inlineStr">
        <is>
          <t>🚫重复</t>
        </is>
      </c>
      <c r="R769" t="inlineStr">
        <is>
          <t>14周</t>
        </is>
      </c>
      <c r="S769" t="inlineStr">
        <is>
          <t>1.57</t>
        </is>
      </c>
      <c r="T769" t="inlineStr">
        <is>
          <t>服饰穿搭</t>
        </is>
      </c>
      <c r="U769" t="inlineStr">
        <is>
          <t>女装</t>
        </is>
      </c>
      <c r="V769" s="3">
        <v>46112.78107638889</v>
      </c>
      <c r="W769" t="inlineStr">
        <is>
          <t>2026-Q1</t>
        </is>
      </c>
    </row>
    <row r="770" ht="25.5" customHeight="1">
      <c r="A770" t="inlineStr">
        <is>
          <t>潇淑雅 · 宽松直筒瑜伽裤薄款鲨鱼裤26新款高腰显瘦休闲阔腿裤子春夏推荐女</t>
        </is>
      </c>
      <c r="B770" t="inlineStr">
        <is>
          <t>recvf5pAkIX06b.jpg</t>
        </is>
      </c>
      <c r="C770" s="2" t="str">
        <f>=HYPERLINK("https://xhslink.com/m/hp1Hs9PyqJ", "https://xhslink.com/m/hp1Hs9PyqJ")</f>
        <v>https://xhslink.com/m/hp1Hs9PyqJ</v>
      </c>
      <c r="D770"/>
      <c r="E770">
        <v>28000</v>
      </c>
      <c r="F770">
        <v>89.9</v>
      </c>
      <c r="G770">
        <v>69.9</v>
      </c>
      <c r="H770">
        <v>400</v>
      </c>
      <c r="I770" t="inlineStr">
        <is>
          <t>运动裤</t>
        </is>
      </c>
      <c r="J770" t="inlineStr">
        <is>
          <t>0.01</t>
        </is>
      </c>
      <c r="K770"/>
      <c r="L770" t="inlineStr">
        <is>
          <t>潇淑雅旗舰店</t>
        </is>
      </c>
      <c r="M770">
        <v>10000</v>
      </c>
      <c r="N770">
        <v>4.61</v>
      </c>
      <c r="O770">
        <v>141000</v>
      </c>
      <c r="P770" t="inlineStr">
        <is>
          <t>68da497dc165480015278a9e</t>
        </is>
      </c>
      <c r="Q770" t="inlineStr">
        <is>
          <t>🚫重复</t>
        </is>
      </c>
      <c r="R770" t="inlineStr">
        <is>
          <t>14周</t>
        </is>
      </c>
      <c r="S770" t="inlineStr">
        <is>
          <t>2.80</t>
        </is>
      </c>
      <c r="T770" t="inlineStr">
        <is>
          <t>服饰穿搭</t>
        </is>
      </c>
      <c r="U770" t="inlineStr">
        <is>
          <t>女装</t>
        </is>
      </c>
      <c r="V770" s="3">
        <v>46112.78107638889</v>
      </c>
      <c r="W770" t="inlineStr">
        <is>
          <t>2026-Q1</t>
        </is>
      </c>
    </row>
    <row r="771" ht="25.5" customHeight="1">
      <c r="A771" t="inlineStr">
        <is>
          <t>A4文件夹旋转侧开插页活页夹档案试卷整理办公收纳夹</t>
        </is>
      </c>
      <c r="B771" t="inlineStr">
        <is>
          <t>recvfenb180htK.jpg</t>
        </is>
      </c>
      <c r="C771" s="2" t="str">
        <f>=HYPERLINK("https://www.xiaohongshu.com/goods-detail/6915780d956aac00154d5f16", "https://www.xiaohongshu.com/goods-detail/6915780d956aac00154d5f16")</f>
        <v>https://www.xiaohongshu.com/goods-detail/6915780d956aac00154d5f16</v>
      </c>
      <c r="D771"/>
      <c r="E771">
        <v>23000</v>
      </c>
      <c r="F771">
        <v>33.9</v>
      </c>
      <c r="G771">
        <v>13.9</v>
      </c>
      <c r="H771">
        <v>400</v>
      </c>
      <c r="I771" t="inlineStr">
        <is>
          <t>文具</t>
        </is>
      </c>
      <c r="J771" t="inlineStr">
        <is>
          <t>0.02</t>
        </is>
      </c>
      <c r="K771" t="inlineStr">
        <is>
          <t>🔥低粉爆款</t>
        </is>
      </c>
      <c r="L771" t="inlineStr">
        <is>
          <t>Joyyo的店</t>
        </is>
      </c>
      <c r="M771">
        <v>170</v>
      </c>
      <c r="N771">
        <v>4.7</v>
      </c>
      <c r="O771">
        <v>47000</v>
      </c>
      <c r="P771" t="inlineStr">
        <is>
          <t>6915780d956aac00154d5f16</t>
        </is>
      </c>
      <c r="Q771" t="inlineStr">
        <is>
          <t>🚫重复</t>
        </is>
      </c>
      <c r="R771" t="inlineStr">
        <is>
          <t>14周</t>
        </is>
      </c>
      <c r="S771" t="inlineStr">
        <is>
          <t>135.29</t>
        </is>
      </c>
      <c r="T771" t="inlineStr">
        <is>
          <t>家居生活</t>
        </is>
      </c>
      <c r="U771" t="inlineStr">
        <is>
          <t>家居日用</t>
        </is>
      </c>
      <c r="V771" s="3">
        <v>46112.78107638889</v>
      </c>
      <c r="W771" t="inlineStr">
        <is>
          <t>2026-Q1</t>
        </is>
      </c>
    </row>
    <row r="772" ht="25.5" customHeight="1">
      <c r="A772" t="inlineStr">
        <is>
          <t>PAILAILI · 【内增高7cm】小个子春季新款厚底休闲百搭德训鞋P3052</t>
        </is>
      </c>
      <c r="B772" t="inlineStr">
        <is>
          <t>recvfenb18RgJD.jpg</t>
        </is>
      </c>
      <c r="C772" s="2" t="str">
        <f>=HYPERLINK("https://xhslink.com/m/7889FRTxEMz", "https://xhslink.com/m/7889FRTxEMz")</f>
        <v>https://xhslink.com/m/7889FRTxEMz</v>
      </c>
      <c r="D772"/>
      <c r="E772">
        <v>28000</v>
      </c>
      <c r="F772">
        <v>278</v>
      </c>
      <c r="G772">
        <v>228</v>
      </c>
      <c r="H772">
        <v>400</v>
      </c>
      <c r="I772" t="inlineStr">
        <is>
          <t>德训鞋</t>
        </is>
      </c>
      <c r="J772" t="inlineStr">
        <is>
          <t>0.01</t>
        </is>
      </c>
      <c r="K772"/>
      <c r="L772" t="inlineStr">
        <is>
          <t>派莱丽的店</t>
        </is>
      </c>
      <c r="M772">
        <v>1378000</v>
      </c>
      <c r="N772">
        <v>4.48</v>
      </c>
      <c r="O772">
        <v>349000</v>
      </c>
      <c r="P772" t="inlineStr">
        <is>
          <t>695a3ccdfe4ff5001535b9c6</t>
        </is>
      </c>
      <c r="Q772" t="inlineStr">
        <is>
          <t>🚫重复</t>
        </is>
      </c>
      <c r="R772" t="inlineStr">
        <is>
          <t>14周</t>
        </is>
      </c>
      <c r="S772" t="inlineStr">
        <is>
          <t>0.02</t>
        </is>
      </c>
      <c r="T772" t="inlineStr">
        <is>
          <t>服饰穿搭</t>
        </is>
      </c>
      <c r="U772" t="inlineStr">
        <is>
          <t>鞋靴箱包</t>
        </is>
      </c>
      <c r="V772" s="3">
        <v>46112.78107638889</v>
      </c>
      <c r="W772" t="inlineStr">
        <is>
          <t>2026-Q1</t>
        </is>
      </c>
    </row>
    <row r="773" ht="25.5" customHeight="1">
      <c r="A773" t="inlineStr">
        <is>
          <t>[增高5cm]春夏新款复古老钱风百搭薄底德训鞋透气防滑时尚休闲鞋</t>
        </is>
      </c>
      <c r="B773" t="inlineStr">
        <is>
          <t>recvfenb18Wkk7.jpg</t>
        </is>
      </c>
      <c r="C773" s="2" t="str">
        <f>=HYPERLINK("https://xhslink.com/m/2TOnoVO9fSq", "https://xhslink.com/m/2TOnoVO9fSq")</f>
        <v>https://xhslink.com/m/2TOnoVO9fSq</v>
      </c>
      <c r="D773"/>
      <c r="E773">
        <v>349</v>
      </c>
      <c r="F773">
        <v>199</v>
      </c>
      <c r="G773">
        <v>159</v>
      </c>
      <c r="H773">
        <v>400</v>
      </c>
      <c r="I773" t="inlineStr">
        <is>
          <t>德训鞋</t>
        </is>
      </c>
      <c r="J773" t="inlineStr">
        <is>
          <t>1.15</t>
        </is>
      </c>
      <c r="K773"/>
      <c r="L773" t="inlineStr">
        <is>
          <t>Sangseey三市的店</t>
        </is>
      </c>
      <c r="M773">
        <v>28000</v>
      </c>
      <c r="N773">
        <v>4.65</v>
      </c>
      <c r="O773">
        <v>125000</v>
      </c>
      <c r="P773" t="inlineStr">
        <is>
          <t>699e60c183f25d00010bcf5e</t>
        </is>
      </c>
      <c r="Q773" t="inlineStr">
        <is>
          <t>🚫重复</t>
        </is>
      </c>
      <c r="R773" t="inlineStr">
        <is>
          <t>14周</t>
        </is>
      </c>
      <c r="S773" t="inlineStr">
        <is>
          <t>0.01</t>
        </is>
      </c>
      <c r="T773" t="inlineStr">
        <is>
          <t>服饰穿搭</t>
        </is>
      </c>
      <c r="U773" t="inlineStr">
        <is>
          <t>鞋靴箱包</t>
        </is>
      </c>
      <c r="V773" s="3">
        <v>46112.78107638889</v>
      </c>
      <c r="W773" t="inlineStr">
        <is>
          <t>2026-Q1</t>
        </is>
      </c>
    </row>
    <row r="774" ht="25.5" customHeight="1">
      <c r="A774" t="inlineStr">
        <is>
          <t>日单可收纳遮阳渔夫帽防风防水户外出游登山徒步旅行收纳男女同款</t>
        </is>
      </c>
      <c r="B774" t="inlineStr">
        <is>
          <t>recvfenb18yuGU.jpg</t>
        </is>
      </c>
      <c r="C774" s="2" t="str">
        <f>=HYPERLINK("https://xhslink.com/m/A9vs7IF5h1h", "https://xhslink.com/m/A9vs7IF5h1h")</f>
        <v>https://xhslink.com/m/A9vs7IF5h1h</v>
      </c>
      <c r="D774"/>
      <c r="E774">
        <v>24000</v>
      </c>
      <c r="F774">
        <v>34.9</v>
      </c>
      <c r="G774">
        <v>29.9</v>
      </c>
      <c r="H774">
        <v>400</v>
      </c>
      <c r="I774" t="inlineStr">
        <is>
          <t>徒步溯溪</t>
        </is>
      </c>
      <c r="J774" t="inlineStr">
        <is>
          <t>0.02</t>
        </is>
      </c>
      <c r="K774"/>
      <c r="L774" t="inlineStr">
        <is>
          <t>是二喜呀的店</t>
        </is>
      </c>
      <c r="M774">
        <v>48000</v>
      </c>
      <c r="N774">
        <v>4.59</v>
      </c>
      <c r="O774">
        <v>258000</v>
      </c>
      <c r="P774" t="inlineStr">
        <is>
          <t>688439b8e08d4d00014a9928</t>
        </is>
      </c>
      <c r="Q774" t="inlineStr">
        <is>
          <t>🚫重复</t>
        </is>
      </c>
      <c r="R774" t="inlineStr">
        <is>
          <t>14周</t>
        </is>
      </c>
      <c r="S774" t="inlineStr">
        <is>
          <t>0.50</t>
        </is>
      </c>
      <c r="T774" t="inlineStr">
        <is>
          <t>家居生活</t>
        </is>
      </c>
      <c r="U774" t="inlineStr">
        <is>
          <t>家居日用</t>
        </is>
      </c>
      <c r="V774" s="3">
        <v>46112.78107638889</v>
      </c>
      <c r="W774" t="inlineStr">
        <is>
          <t>2026-Q1</t>
        </is>
      </c>
    </row>
    <row r="775" ht="25.5" customHeight="1">
      <c r="A775" t="inlineStr">
        <is>
          <t>sonatural for your skin · 韩国sonatural fixx定妆喷雾水光哑光控油持久不脱妆</t>
        </is>
      </c>
      <c r="B775" t="inlineStr">
        <is>
          <t>recvfenb18iCFH.jpg</t>
        </is>
      </c>
      <c r="C775" s="2" t="str">
        <f>=HYPERLINK("https://xhslink.com/m/4JKINfVaNQD", "https://xhslink.com/m/4JKINfVaNQD")</f>
        <v>https://xhslink.com/m/4JKINfVaNQD</v>
      </c>
      <c r="D775"/>
      <c r="E775">
        <v>91000</v>
      </c>
      <c r="F775">
        <v>79</v>
      </c>
      <c r="G775">
        <v>66</v>
      </c>
      <c r="H775">
        <v>400</v>
      </c>
      <c r="I775" t="inlineStr">
        <is>
          <t>底妆</t>
        </is>
      </c>
      <c r="J775" t="inlineStr">
        <is>
          <t>0.00</t>
        </is>
      </c>
      <c r="K775"/>
      <c r="L775" t="inlineStr">
        <is>
          <t>星期8休息的店</t>
        </is>
      </c>
      <c r="M775">
        <v>43000</v>
      </c>
      <c r="N775">
        <v>4.67</v>
      </c>
      <c r="O775">
        <v>243000</v>
      </c>
      <c r="P775" t="inlineStr">
        <is>
          <t>66c703173913a30001baa8ca</t>
        </is>
      </c>
      <c r="Q775"/>
      <c r="R775" t="inlineStr">
        <is>
          <t>14周</t>
        </is>
      </c>
      <c r="S775" t="inlineStr">
        <is>
          <t>2.12</t>
        </is>
      </c>
      <c r="T775" t="inlineStr">
        <is>
          <t>美妆个护</t>
        </is>
      </c>
      <c r="U775" t="inlineStr">
        <is>
          <t>护肤彩妆</t>
        </is>
      </c>
      <c r="V775" s="3">
        <v>46112.78107638889</v>
      </c>
      <c r="W775" t="inlineStr">
        <is>
          <t>2026-Q1</t>
        </is>
      </c>
    </row>
    <row r="776" ht="25.5" customHeight="1">
      <c r="A776" t="inlineStr">
        <is>
          <t>Hello ya · 双头修容笔推荐立体修容阴影修饰鼻影高光持久提亮哑光</t>
        </is>
      </c>
      <c r="B776" t="inlineStr">
        <is>
          <t>recvfenb18MNnq.jpg</t>
        </is>
      </c>
      <c r="C776" s="2" t="str">
        <f>=HYPERLINK("https://xhslink.com/m/1HPmTLGGoT9", "https://xhslink.com/m/1HPmTLGGoT9")</f>
        <v>https://xhslink.com/m/1HPmTLGGoT9</v>
      </c>
      <c r="D776"/>
      <c r="E776">
        <v>86000</v>
      </c>
      <c r="F776">
        <v>20.8</v>
      </c>
      <c r="G776">
        <v>6.8</v>
      </c>
      <c r="H776">
        <v>400</v>
      </c>
      <c r="I776" t="inlineStr">
        <is>
          <t>修容</t>
        </is>
      </c>
      <c r="J776" t="inlineStr">
        <is>
          <t>0.00</t>
        </is>
      </c>
      <c r="K776" t="inlineStr">
        <is>
          <t>🔥低粉爆款</t>
        </is>
      </c>
      <c r="L776" t="inlineStr">
        <is>
          <t>Meili蜜语美妆的店</t>
        </is>
      </c>
      <c r="M776">
        <v>11000</v>
      </c>
      <c r="N776">
        <v>4.33</v>
      </c>
      <c r="O776">
        <v>186000</v>
      </c>
      <c r="P776" t="inlineStr">
        <is>
          <t>6706aeee75e23c0001720b27</t>
        </is>
      </c>
      <c r="Q776" t="inlineStr">
        <is>
          <t>🚫重复</t>
        </is>
      </c>
      <c r="R776" t="inlineStr">
        <is>
          <t>14周</t>
        </is>
      </c>
      <c r="S776" t="inlineStr">
        <is>
          <t>7.82</t>
        </is>
      </c>
      <c r="T776" t="inlineStr">
        <is>
          <t>美妆个护</t>
        </is>
      </c>
      <c r="U776" t="inlineStr">
        <is>
          <t>护肤彩妆</t>
        </is>
      </c>
      <c r="V776" s="3">
        <v>46112.78107638889</v>
      </c>
      <c r="W776" t="inlineStr">
        <is>
          <t>2026-Q1</t>
        </is>
      </c>
    </row>
    <row r="777" ht="25.5" customHeight="1">
      <c r="A777" t="inlineStr">
        <is>
          <t>黑兔 · 【重磅上新】底妆腮红膏提亮遮瑕膏阴湿感裸色收缩</t>
        </is>
      </c>
      <c r="B777" t="inlineStr">
        <is>
          <t>recvfenb18GfIT.jpg</t>
        </is>
      </c>
      <c r="C777" s="2" t="str">
        <f>=HYPERLINK("https://xhslink.com/m/6ng6qvfTNAG", "https://xhslink.com/m/6ng6qvfTNAG")</f>
        <v>https://xhslink.com/m/6ng6qvfTNAG</v>
      </c>
      <c r="D777"/>
      <c r="E777">
        <v>17000</v>
      </c>
      <c r="F777">
        <v>49</v>
      </c>
      <c r="G777">
        <v>39</v>
      </c>
      <c r="H777">
        <v>400</v>
      </c>
      <c r="I777" t="inlineStr">
        <is>
          <t>彩妆</t>
        </is>
      </c>
      <c r="J777" t="inlineStr">
        <is>
          <t>0.02</t>
        </is>
      </c>
      <c r="K777"/>
      <c r="L777" t="inlineStr">
        <is>
          <t>HYNTOOR黑兔旗舰店</t>
        </is>
      </c>
      <c r="M777">
        <v>42000</v>
      </c>
      <c r="N777">
        <v>4.69</v>
      </c>
      <c r="O777">
        <v>105000</v>
      </c>
      <c r="P777" t="inlineStr">
        <is>
          <t>690c63fbdcedc700015a9914</t>
        </is>
      </c>
      <c r="Q777" t="inlineStr">
        <is>
          <t>🚫重复</t>
        </is>
      </c>
      <c r="R777" t="inlineStr">
        <is>
          <t>14周</t>
        </is>
      </c>
      <c r="S777" t="inlineStr">
        <is>
          <t>0.40</t>
        </is>
      </c>
      <c r="T777" t="inlineStr">
        <is>
          <t>美妆个护</t>
        </is>
      </c>
      <c r="U777" t="inlineStr">
        <is>
          <t>护肤彩妆</t>
        </is>
      </c>
      <c r="V777" s="3">
        <v>46112.78107638889</v>
      </c>
      <c r="W777" t="inlineStr">
        <is>
          <t>2026-Q1</t>
        </is>
      </c>
    </row>
    <row r="778" ht="25.5" customHeight="1">
      <c r="A778" t="inlineStr">
        <is>
          <t>黄体酮粉  姨妈量少推迟 多囊长痘食养卵巢保养 纯手工无添加</t>
        </is>
      </c>
      <c r="B778" t="inlineStr">
        <is>
          <t>recvfenb18IHRX.jpg</t>
        </is>
      </c>
      <c r="C778" s="2" t="str">
        <f>=HYPERLINK("https://xhslink.com/m/4UG5gejWmHr", "https://xhslink.com/m/4UG5gejWmHr")</f>
        <v>https://xhslink.com/m/4UG5gejWmHr</v>
      </c>
      <c r="D778"/>
      <c r="E778">
        <v>99000</v>
      </c>
      <c r="F778">
        <v>68.3</v>
      </c>
      <c r="G778">
        <v>58</v>
      </c>
      <c r="H778">
        <v>400</v>
      </c>
      <c r="I778" t="inlineStr">
        <is>
          <t>养生茶</t>
        </is>
      </c>
      <c r="J778" t="inlineStr">
        <is>
          <t>0.00</t>
        </is>
      </c>
      <c r="K778" t="inlineStr">
        <is>
          <t>🔥低粉爆款</t>
        </is>
      </c>
      <c r="L778" t="inlineStr">
        <is>
          <t>王岚萱的养生日记的店</t>
        </is>
      </c>
      <c r="M778">
        <v>29000</v>
      </c>
      <c r="N778">
        <v>4.6</v>
      </c>
      <c r="O778">
        <v>161000</v>
      </c>
      <c r="P778" t="inlineStr">
        <is>
          <t>64f926de618d3e0001420197</t>
        </is>
      </c>
      <c r="Q778"/>
      <c r="R778" t="inlineStr">
        <is>
          <t>14周</t>
        </is>
      </c>
      <c r="S778" t="inlineStr">
        <is>
          <t>3.41</t>
        </is>
      </c>
      <c r="T778" t="inlineStr">
        <is>
          <t>美食滋补</t>
        </is>
      </c>
      <c r="U778" t="inlineStr">
        <is>
          <t>酒水冲饮</t>
        </is>
      </c>
      <c r="V778" s="3">
        <v>46112.78107638889</v>
      </c>
      <c r="W778" t="inlineStr">
        <is>
          <t>2026-Q1</t>
        </is>
      </c>
    </row>
    <row r="779" ht="25.5" customHeight="1">
      <c r="A779" t="inlineStr">
        <is>
          <t>清润六物饮｜海底椰雪梨玉竹无花果..沙参约70克一包</t>
        </is>
      </c>
      <c r="B779" t="inlineStr">
        <is>
          <t>recvfenb18NRLN.jpg</t>
        </is>
      </c>
      <c r="C779" s="2" t="str">
        <f>=HYPERLINK("https://xhslink.com/m/7jJyueZIbCN", "https://xhslink.com/m/7jJyueZIbCN")</f>
        <v>https://xhslink.com/m/7jJyueZIbCN</v>
      </c>
      <c r="D779"/>
      <c r="E779">
        <v>11000</v>
      </c>
      <c r="F779">
        <v>29.9</v>
      </c>
      <c r="G779"/>
      <c r="H779">
        <v>400</v>
      </c>
      <c r="I779" t="inlineStr">
        <is>
          <t>养生茶</t>
        </is>
      </c>
      <c r="J779" t="inlineStr">
        <is>
          <t>0.04</t>
        </is>
      </c>
      <c r="K779" t="inlineStr">
        <is>
          <t>🔥低粉爆款</t>
        </is>
      </c>
      <c r="L779" t="inlineStr">
        <is>
          <t>茶事的店</t>
        </is>
      </c>
      <c r="M779">
        <v>1865</v>
      </c>
      <c r="N779">
        <v>4.51</v>
      </c>
      <c r="O779">
        <v>17000</v>
      </c>
      <c r="P779" t="inlineStr">
        <is>
          <t>69437e4096f5ad000111fb76</t>
        </is>
      </c>
      <c r="Q779" t="inlineStr">
        <is>
          <t>🚫重复</t>
        </is>
      </c>
      <c r="R779" t="inlineStr">
        <is>
          <t>14周</t>
        </is>
      </c>
      <c r="S779" t="inlineStr">
        <is>
          <t>5.90</t>
        </is>
      </c>
      <c r="T779" t="inlineStr">
        <is>
          <t>美食滋补</t>
        </is>
      </c>
      <c r="U779" t="inlineStr">
        <is>
          <t>酒水冲饮</t>
        </is>
      </c>
      <c r="V779" s="3">
        <v>46112.78107638889</v>
      </c>
      <c r="W779" t="inlineStr">
        <is>
          <t>2026-Q1</t>
        </is>
      </c>
    </row>
    <row r="780" ht="25.5" customHeight="1">
      <c r="A780" t="inlineStr">
        <is>
          <t>滇品客 · 冻干咖啡速溶黑咖啡冻干颗粒美式健身</t>
        </is>
      </c>
      <c r="B780" t="inlineStr">
        <is>
          <t>recvfenb18Qobd.jpg</t>
        </is>
      </c>
      <c r="C780" s="2" t="str">
        <f>=HYPERLINK("https://xhslink.com/m/3y9cAvG6t4K", "https://xhslink.com/m/3y9cAvG6t4K")</f>
        <v>https://xhslink.com/m/3y9cAvG6t4K</v>
      </c>
      <c r="D780"/>
      <c r="E780">
        <v>49000</v>
      </c>
      <c r="F780">
        <v>10.8</v>
      </c>
      <c r="G780"/>
      <c r="H780">
        <v>400</v>
      </c>
      <c r="I780" t="inlineStr">
        <is>
          <t>冻干咖啡</t>
        </is>
      </c>
      <c r="J780" t="inlineStr">
        <is>
          <t>0.01</t>
        </is>
      </c>
      <c r="K780" t="inlineStr">
        <is>
          <t>🔥低粉爆款</t>
        </is>
      </c>
      <c r="L780" t="inlineStr">
        <is>
          <t>滇品客食品专营店</t>
        </is>
      </c>
      <c r="M780">
        <v>7935</v>
      </c>
      <c r="N780">
        <v>4.74</v>
      </c>
      <c r="O780">
        <v>136000</v>
      </c>
      <c r="P780" t="inlineStr">
        <is>
          <t>67f8a9ad8c17470001fed896</t>
        </is>
      </c>
      <c r="Q780" t="inlineStr">
        <is>
          <t>🚫重复</t>
        </is>
      </c>
      <c r="R780" t="inlineStr">
        <is>
          <t>14周</t>
        </is>
      </c>
      <c r="S780" t="inlineStr">
        <is>
          <t>6.18</t>
        </is>
      </c>
      <c r="T780" t="inlineStr">
        <is>
          <t>运动潮玩</t>
        </is>
      </c>
      <c r="U780" t="inlineStr">
        <is>
          <t>运动户外装备</t>
        </is>
      </c>
      <c r="V780" s="3">
        <v>46112.78107638889</v>
      </c>
      <c r="W780" t="inlineStr">
        <is>
          <t>2026-Q1</t>
        </is>
      </c>
    </row>
    <row r="781" ht="25.5" customHeight="1">
      <c r="A781" t="inlineStr">
        <is>
          <t>【每天仅100单】私房纯手作系列碱水包 低卡饱腹早餐健身代餐</t>
        </is>
      </c>
      <c r="B781" t="inlineStr">
        <is>
          <t>recvfenb18A8YI.jpg</t>
        </is>
      </c>
      <c r="C781" s="2" t="str">
        <f>=HYPERLINK("https://xhslink.com/m/4GuMLFmgLzG", "https://xhslink.com/m/4GuMLFmgLzG")</f>
        <v>https://xhslink.com/m/4GuMLFmgLzG</v>
      </c>
      <c r="D781"/>
      <c r="E781">
        <v>58000</v>
      </c>
      <c r="F781">
        <v>23.8</v>
      </c>
      <c r="G781"/>
      <c r="H781">
        <v>400</v>
      </c>
      <c r="I781" t="inlineStr">
        <is>
          <t>低脂零食</t>
        </is>
      </c>
      <c r="J781" t="inlineStr">
        <is>
          <t>0.01</t>
        </is>
      </c>
      <c r="K781" t="inlineStr">
        <is>
          <t>🔥低粉爆款</t>
        </is>
      </c>
      <c r="L781" t="inlineStr">
        <is>
          <t>福满多手作面包的店</t>
        </is>
      </c>
      <c r="M781">
        <v>6325</v>
      </c>
      <c r="N781">
        <v>4.41</v>
      </c>
      <c r="O781">
        <v>77000</v>
      </c>
      <c r="P781" t="inlineStr">
        <is>
          <t>6946774223d3ce0001c8eb93</t>
        </is>
      </c>
      <c r="Q781" t="inlineStr">
        <is>
          <t>🚫重复</t>
        </is>
      </c>
      <c r="R781" t="inlineStr">
        <is>
          <t>14周</t>
        </is>
      </c>
      <c r="S781" t="inlineStr">
        <is>
          <t>9.17</t>
        </is>
      </c>
      <c r="T781" t="inlineStr">
        <is>
          <t>美食滋补</t>
        </is>
      </c>
      <c r="U781" t="inlineStr">
        <is>
          <t>休闲零食</t>
        </is>
      </c>
      <c r="V781" s="3">
        <v>46112.78107638889</v>
      </c>
      <c r="W781" t="inlineStr">
        <is>
          <t>2026-Q1</t>
        </is>
      </c>
    </row>
    <row r="782" ht="25.5" customHeight="1">
      <c r="A782" t="inlineStr">
        <is>
          <t>（巨遮肚）夏季新款微胖正肩荷叶边短袖T恤显瘦上衣奶皮裤温柔套</t>
        </is>
      </c>
      <c r="B782" t="inlineStr">
        <is>
          <t>recvfenb18KMsL.jpg</t>
        </is>
      </c>
      <c r="C782" s="2" t="str">
        <f>=HYPERLINK("https://xhslink.com/m/3Oq9sLKECJD", "https://xhslink.com/m/3Oq9sLKECJD")</f>
        <v>https://xhslink.com/m/3Oq9sLKECJD</v>
      </c>
      <c r="D782"/>
      <c r="E782">
        <v>43000</v>
      </c>
      <c r="F782">
        <v>59.9</v>
      </c>
      <c r="G782"/>
      <c r="H782">
        <v>400</v>
      </c>
      <c r="I782" t="inlineStr">
        <is>
          <t>T恤</t>
        </is>
      </c>
      <c r="J782" t="inlineStr">
        <is>
          <t>0.01</t>
        </is>
      </c>
      <c r="K782"/>
      <c r="L782" t="inlineStr">
        <is>
          <t>高冷冷的店</t>
        </is>
      </c>
      <c r="M782">
        <v>515000</v>
      </c>
      <c r="N782">
        <v>4.57</v>
      </c>
      <c r="O782">
        <v>361000</v>
      </c>
      <c r="P782" t="inlineStr">
        <is>
          <t>681c88376856670001f95fd2</t>
        </is>
      </c>
      <c r="Q782" t="inlineStr">
        <is>
          <t>🚫重复</t>
        </is>
      </c>
      <c r="R782" t="inlineStr">
        <is>
          <t>14周</t>
        </is>
      </c>
      <c r="S782" t="inlineStr">
        <is>
          <t>0.08</t>
        </is>
      </c>
      <c r="T782" t="inlineStr">
        <is>
          <t>服饰穿搭</t>
        </is>
      </c>
      <c r="U782" t="inlineStr">
        <is>
          <t>女装</t>
        </is>
      </c>
      <c r="V782" s="3">
        <v>46112.78107638889</v>
      </c>
      <c r="W782" t="inlineStr">
        <is>
          <t>2026-Q1</t>
        </is>
      </c>
    </row>
    <row r="783" ht="25.5" customHeight="1">
      <c r="A783" t="inlineStr">
        <is>
          <t>口粮系列 澳洲谷饲原切牛肉片 顺丰生鲜【一件包邮，高性价比】</t>
        </is>
      </c>
      <c r="B783" t="inlineStr">
        <is>
          <t>recvfenb18o0rw.jpg</t>
        </is>
      </c>
      <c r="C783" s="2" t="str">
        <f>=HYPERLINK("https://xhslink.com/m/1QC1vUDbHlU", "https://xhslink.com/m/1QC1vUDbHlU")</f>
        <v>https://xhslink.com/m/1QC1vUDbHlU</v>
      </c>
      <c r="D783"/>
      <c r="E783">
        <v>40000</v>
      </c>
      <c r="F783">
        <v>379</v>
      </c>
      <c r="G783">
        <v>299</v>
      </c>
      <c r="H783">
        <v>400</v>
      </c>
      <c r="I783" t="inlineStr">
        <is>
          <t>肉禽</t>
        </is>
      </c>
      <c r="J783" t="inlineStr">
        <is>
          <t>0.01</t>
        </is>
      </c>
      <c r="K783" t="inlineStr">
        <is>
          <t>🔥低粉爆款</t>
        </is>
      </c>
      <c r="L783" t="inlineStr">
        <is>
          <t>BLACKCAT黑猫农场的店</t>
        </is>
      </c>
      <c r="M783">
        <v>13000</v>
      </c>
      <c r="N783">
        <v>4.76</v>
      </c>
      <c r="O783">
        <v>59000</v>
      </c>
      <c r="P783" t="inlineStr">
        <is>
          <t>6644bcce50a08c00018f245b</t>
        </is>
      </c>
      <c r="Q783"/>
      <c r="R783" t="inlineStr">
        <is>
          <t>14周</t>
        </is>
      </c>
      <c r="S783" t="inlineStr">
        <is>
          <t>3.08</t>
        </is>
      </c>
      <c r="T783" t="inlineStr">
        <is>
          <t>美食滋补</t>
        </is>
      </c>
      <c r="U783" t="inlineStr">
        <is>
          <t>生鲜特产</t>
        </is>
      </c>
      <c r="V783" s="3">
        <v>46112.78107638889</v>
      </c>
      <c r="W783" t="inlineStr">
        <is>
          <t>2026-Q1</t>
        </is>
      </c>
    </row>
    <row r="784" ht="25.5" customHeight="1">
      <c r="A784" t="inlineStr">
        <is>
          <t>【任选5个改价30元】顺丰手工贝果碱水面包代餐欧包夹心早餐健身</t>
        </is>
      </c>
      <c r="B784" t="inlineStr">
        <is>
          <t>recvfjOYGLYZvT.jpg</t>
        </is>
      </c>
      <c r="C784" s="2" t="str">
        <f>=HYPERLINK("https://xhslink.com/m/1jXft1GKv4S", "https://xhslink.com/m/1jXft1GKv4S")</f>
        <v>https://xhslink.com/m/1jXft1GKv4S</v>
      </c>
      <c r="D784"/>
      <c r="E784">
        <v>277000</v>
      </c>
      <c r="F784">
        <v>20</v>
      </c>
      <c r="G784"/>
      <c r="H784">
        <v>400</v>
      </c>
      <c r="I784" t="inlineStr">
        <is>
          <t>面包早餐</t>
        </is>
      </c>
      <c r="J784" t="inlineStr">
        <is>
          <t>0.00</t>
        </is>
      </c>
      <c r="K784" t="inlineStr">
        <is>
          <t>🔥低粉爆款</t>
        </is>
      </c>
      <c r="L784" t="inlineStr">
        <is>
          <t>焙客手作的店</t>
        </is>
      </c>
      <c r="M784">
        <v>1150</v>
      </c>
      <c r="N784">
        <v>4.62</v>
      </c>
      <c r="O784">
        <v>282000</v>
      </c>
      <c r="P784" t="inlineStr">
        <is>
          <t>68ec9f17002e7e00013e3c81</t>
        </is>
      </c>
      <c r="Q784" t="inlineStr">
        <is>
          <t>🚫重复</t>
        </is>
      </c>
      <c r="R784" t="inlineStr">
        <is>
          <t>14周</t>
        </is>
      </c>
      <c r="S784" t="inlineStr">
        <is>
          <t>240.87</t>
        </is>
      </c>
      <c r="T784" t="inlineStr">
        <is>
          <t>美食滋补</t>
        </is>
      </c>
      <c r="U784" t="inlineStr">
        <is>
          <t>休闲零食</t>
        </is>
      </c>
      <c r="V784" s="3">
        <v>46112.78107638889</v>
      </c>
      <c r="W784" t="inlineStr">
        <is>
          <t>2026-Q1</t>
        </is>
      </c>
    </row>
    <row r="785" ht="25.5" customHeight="1">
      <c r="A785" t="inlineStr">
        <is>
          <t>【独立包装】七日计划膳食果蔬馒头手工不加蔗糖0油0添加剂早餐</t>
        </is>
      </c>
      <c r="B785" t="inlineStr">
        <is>
          <t>recvfjOYGLEpWh.jpg</t>
        </is>
      </c>
      <c r="C785" s="2" t="str">
        <f>=HYPERLINK("https://xhslink.com/m/962oGpja0FI", "https://xhslink.com/m/962oGpja0FI")</f>
        <v>https://xhslink.com/m/962oGpja0FI</v>
      </c>
      <c r="D785"/>
      <c r="E785">
        <v>22000</v>
      </c>
      <c r="F785">
        <v>32.8</v>
      </c>
      <c r="G785">
        <v>12.8</v>
      </c>
      <c r="H785">
        <v>400</v>
      </c>
      <c r="I785" t="inlineStr">
        <is>
          <t>冻品速食</t>
        </is>
      </c>
      <c r="J785" t="inlineStr">
        <is>
          <t>0.02</t>
        </is>
      </c>
      <c r="K785" t="inlineStr">
        <is>
          <t>🔥低粉爆款</t>
        </is>
      </c>
      <c r="L785" t="inlineStr">
        <is>
          <t>穗穗手作的店</t>
        </is>
      </c>
      <c r="M785">
        <v>7172</v>
      </c>
      <c r="N785">
        <v>4.49</v>
      </c>
      <c r="O785">
        <v>88000</v>
      </c>
      <c r="P785" t="inlineStr">
        <is>
          <t>692feec02aa9d000014577a0</t>
        </is>
      </c>
      <c r="Q785" t="inlineStr">
        <is>
          <t>🚫重复</t>
        </is>
      </c>
      <c r="R785" t="inlineStr">
        <is>
          <t>14周</t>
        </is>
      </c>
      <c r="S785" t="inlineStr">
        <is>
          <t>3.07</t>
        </is>
      </c>
      <c r="T785" t="inlineStr">
        <is>
          <t>美食滋补</t>
        </is>
      </c>
      <c r="U785" t="inlineStr">
        <is>
          <t>休闲零食</t>
        </is>
      </c>
      <c r="V785" s="3">
        <v>46112.78107638889</v>
      </c>
      <c r="W785" t="inlineStr">
        <is>
          <t>2026-Q1</t>
        </is>
      </c>
    </row>
    <row r="786" ht="25.5" customHeight="1">
      <c r="A786" t="inlineStr">
        <is>
          <t>GUNAI·棉柔合集 65x65方巾（完美主义者慎拍）</t>
        </is>
      </c>
      <c r="B786" t="inlineStr">
        <is>
          <t>recvfjOYGLOmrM.jpg</t>
        </is>
      </c>
      <c r="C786" s="2" t="str">
        <f>=HYPERLINK("https://xhslink.com/m/9TcQvuz9KdH", "https://xhslink.com/m/9TcQvuz9KdH")</f>
        <v>https://xhslink.com/m/9TcQvuz9KdH</v>
      </c>
      <c r="D786"/>
      <c r="E786">
        <v>41000</v>
      </c>
      <c r="F786">
        <v>19.9</v>
      </c>
      <c r="G786">
        <v>16.9</v>
      </c>
      <c r="H786">
        <v>400</v>
      </c>
      <c r="I786" t="inlineStr">
        <is>
          <t>丝巾</t>
        </is>
      </c>
      <c r="J786" t="inlineStr">
        <is>
          <t>0.01</t>
        </is>
      </c>
      <c r="K786"/>
      <c r="L786" t="inlineStr">
        <is>
          <t>顾萘丝巾铺的店</t>
        </is>
      </c>
      <c r="M786">
        <v>46000</v>
      </c>
      <c r="N786">
        <v>4.56</v>
      </c>
      <c r="O786">
        <v>70000</v>
      </c>
      <c r="P786" t="inlineStr">
        <is>
          <t>6832ecddd5fe8c000139289b</t>
        </is>
      </c>
      <c r="Q786" t="inlineStr">
        <is>
          <t>🚫重复</t>
        </is>
      </c>
      <c r="R786" t="inlineStr">
        <is>
          <t>14周</t>
        </is>
      </c>
      <c r="S786" t="inlineStr">
        <is>
          <t>0.89</t>
        </is>
      </c>
      <c r="T786" t="inlineStr">
        <is>
          <t>服饰穿搭</t>
        </is>
      </c>
      <c r="U786" t="inlineStr">
        <is>
          <t>配饰</t>
        </is>
      </c>
      <c r="V786" s="3">
        <v>46112.78107638889</v>
      </c>
      <c r="W786" t="inlineStr">
        <is>
          <t>2026-Q1</t>
        </is>
      </c>
    </row>
    <row r="787" ht="25.5" customHeight="1">
      <c r="A787" t="inlineStr">
        <is>
          <t>升级版复古水洗莱赛尔天丝牛仔裤2026春夏新品垂感直筒宽松阔腿裤</t>
        </is>
      </c>
      <c r="B787" t="inlineStr">
        <is>
          <t>recvfqmLqZlPKz.jpg</t>
        </is>
      </c>
      <c r="C787" s="2" t="str">
        <f>=HYPERLINK("https://xhslink.com/m/3NlwJ1jbil1", "https://xhslink.com/m/3NlwJ1jbil1")</f>
        <v>https://xhslink.com/m/3NlwJ1jbil1</v>
      </c>
      <c r="D787"/>
      <c r="E787">
        <v>20000</v>
      </c>
      <c r="F787">
        <v>89.9</v>
      </c>
      <c r="G787">
        <v>59.9</v>
      </c>
      <c r="H787">
        <v>400</v>
      </c>
      <c r="I787" t="inlineStr">
        <is>
          <t>牛仔裤</t>
        </is>
      </c>
      <c r="J787" t="inlineStr">
        <is>
          <t>0.02</t>
        </is>
      </c>
      <c r="K787"/>
      <c r="L787" t="inlineStr">
        <is>
          <t>半甜吐司的店</t>
        </is>
      </c>
      <c r="M787">
        <v>28000</v>
      </c>
      <c r="N787">
        <v>4.56</v>
      </c>
      <c r="O787">
        <v>510000</v>
      </c>
      <c r="P787" t="inlineStr">
        <is>
          <t>67ce7d108deea80001017c08</t>
        </is>
      </c>
      <c r="Q787" t="inlineStr">
        <is>
          <t>🚫重复</t>
        </is>
      </c>
      <c r="R787" t="inlineStr">
        <is>
          <t>14周</t>
        </is>
      </c>
      <c r="S787" t="inlineStr">
        <is>
          <t>0.71</t>
        </is>
      </c>
      <c r="T787" t="inlineStr">
        <is>
          <t>服饰穿搭</t>
        </is>
      </c>
      <c r="U787" t="inlineStr">
        <is>
          <t>女装</t>
        </is>
      </c>
      <c r="V787" s="3">
        <v>46112.78107638889</v>
      </c>
      <c r="W787" t="inlineStr">
        <is>
          <t>2026-Q1</t>
        </is>
      </c>
    </row>
    <row r="788" ht="25.5" customHeight="1">
      <c r="A788" t="inlineStr">
        <is>
          <t>低腰微喇牛仔裤女2026春季新款黑牛同款显瘦微弹百搭喇叭裤拖地裤</t>
        </is>
      </c>
      <c r="B788" t="inlineStr">
        <is>
          <t>recvfqmLqZmYvz.jpg</t>
        </is>
      </c>
      <c r="C788" s="2" t="str">
        <f>=HYPERLINK("https://xhslink.com/m/AHwJIDmbOoC", "https://xhslink.com/m/AHwJIDmbOoC")</f>
        <v>https://xhslink.com/m/AHwJIDmbOoC</v>
      </c>
      <c r="D788"/>
      <c r="E788">
        <v>26000</v>
      </c>
      <c r="F788">
        <v>98</v>
      </c>
      <c r="G788"/>
      <c r="H788">
        <v>400</v>
      </c>
      <c r="I788" t="inlineStr">
        <is>
          <t>牛仔裤</t>
        </is>
      </c>
      <c r="J788" t="inlineStr">
        <is>
          <t>0.02</t>
        </is>
      </c>
      <c r="K788"/>
      <c r="L788" t="inlineStr">
        <is>
          <t>哈哈哈穿搭分享的店</t>
        </is>
      </c>
      <c r="M788">
        <v>21000</v>
      </c>
      <c r="N788">
        <v>4.49</v>
      </c>
      <c r="O788">
        <v>39000</v>
      </c>
      <c r="P788" t="inlineStr">
        <is>
          <t>68a57a6bdb7e430001e6f0bd</t>
        </is>
      </c>
      <c r="Q788" t="inlineStr">
        <is>
          <t>🚫重复</t>
        </is>
      </c>
      <c r="R788" t="inlineStr">
        <is>
          <t>14周</t>
        </is>
      </c>
      <c r="S788" t="inlineStr">
        <is>
          <t>1.24</t>
        </is>
      </c>
      <c r="T788" t="inlineStr">
        <is>
          <t>服饰穿搭</t>
        </is>
      </c>
      <c r="U788" t="inlineStr">
        <is>
          <t>女装</t>
        </is>
      </c>
      <c r="V788" s="3">
        <v>46112.78107638889</v>
      </c>
      <c r="W788" t="inlineStr">
        <is>
          <t>2026-Q1</t>
        </is>
      </c>
    </row>
    <row r="789" ht="25.5" customHeight="1">
      <c r="A789" t="inlineStr">
        <is>
          <t>【虞UU】户外超有型！山系秋季男女宽松阔腿裤显瘦撞色明线长裤</t>
        </is>
      </c>
      <c r="B789" t="inlineStr">
        <is>
          <t>recvfqmLqZeHQt.jpg</t>
        </is>
      </c>
      <c r="C789" s="2" t="str">
        <f>=HYPERLINK("https://xhslink.com/m/2vm49yMCTkB", "https://xhslink.com/m/2vm49yMCTkB")</f>
        <v>https://xhslink.com/m/2vm49yMCTkB</v>
      </c>
      <c r="D789"/>
      <c r="E789">
        <v>3198</v>
      </c>
      <c r="F789">
        <v>69.9</v>
      </c>
      <c r="G789"/>
      <c r="H789">
        <v>400</v>
      </c>
      <c r="I789" t="inlineStr">
        <is>
          <t>登山</t>
        </is>
      </c>
      <c r="J789" t="inlineStr">
        <is>
          <t>0.13</t>
        </is>
      </c>
      <c r="K789"/>
      <c r="L789" t="inlineStr">
        <is>
          <t>虞优的U的店</t>
        </is>
      </c>
      <c r="M789">
        <v>11000</v>
      </c>
      <c r="N789">
        <v>4.43</v>
      </c>
      <c r="O789">
        <v>103000</v>
      </c>
      <c r="P789" t="inlineStr">
        <is>
          <t>68b34c04ec7fed00011263d8</t>
        </is>
      </c>
      <c r="Q789" t="inlineStr">
        <is>
          <t>🚫重复</t>
        </is>
      </c>
      <c r="R789" t="inlineStr">
        <is>
          <t>14周</t>
        </is>
      </c>
      <c r="S789" t="inlineStr">
        <is>
          <t>0.29</t>
        </is>
      </c>
      <c r="T789" t="inlineStr">
        <is>
          <t>服饰穿搭</t>
        </is>
      </c>
      <c r="U789" t="inlineStr">
        <is>
          <t>女装</t>
        </is>
      </c>
      <c r="V789" s="3">
        <v>46112.78107638889</v>
      </c>
      <c r="W789" t="inlineStr">
        <is>
          <t>2026-Q1</t>
        </is>
      </c>
    </row>
    <row r="790" ht="25.5" customHeight="1">
      <c r="A790" t="inlineStr">
        <is>
          <t>OAW · 2026新款复古工装拼色字母渔夫帽子女夏季户外徒步遮阳防晒登山帽</t>
        </is>
      </c>
      <c r="B790" t="inlineStr">
        <is>
          <t>recvfqmLqZ6uyH.jpg</t>
        </is>
      </c>
      <c r="C790" s="2" t="str">
        <f>=HYPERLINK("https://xhslink.com/m/17hjuQRSGxq", "https://xhslink.com/m/17hjuQRSGxq")</f>
        <v>https://xhslink.com/m/17hjuQRSGxq</v>
      </c>
      <c r="D790"/>
      <c r="E790">
        <v>25000</v>
      </c>
      <c r="F790">
        <v>35.8</v>
      </c>
      <c r="G790"/>
      <c r="H790">
        <v>400</v>
      </c>
      <c r="I790" t="inlineStr">
        <is>
          <t>登山</t>
        </is>
      </c>
      <c r="J790" t="inlineStr">
        <is>
          <t>0.02</t>
        </is>
      </c>
      <c r="K790" t="inlineStr">
        <is>
          <t>🔥低粉爆款</t>
        </is>
      </c>
      <c r="L790" t="inlineStr">
        <is>
          <t>OAW服饰配件的店</t>
        </is>
      </c>
      <c r="M790">
        <v>91</v>
      </c>
      <c r="N790">
        <v>4.43</v>
      </c>
      <c r="O790">
        <v>40000</v>
      </c>
      <c r="P790" t="inlineStr">
        <is>
          <t>682076a427596b0015e8bae3</t>
        </is>
      </c>
      <c r="Q790" t="inlineStr">
        <is>
          <t>🚫重复</t>
        </is>
      </c>
      <c r="R790" t="inlineStr">
        <is>
          <t>14周</t>
        </is>
      </c>
      <c r="S790" t="inlineStr">
        <is>
          <t>274.73</t>
        </is>
      </c>
      <c r="T790" t="inlineStr">
        <is>
          <t>服饰穿搭</t>
        </is>
      </c>
      <c r="U790" t="inlineStr">
        <is>
          <t>配饰</t>
        </is>
      </c>
      <c r="V790" s="3">
        <v>46112.78107638889</v>
      </c>
      <c r="W790" t="inlineStr">
        <is>
          <t>2026-Q1</t>
        </is>
      </c>
    </row>
    <row r="791" ht="25.5" customHeight="1">
      <c r="A791" t="inlineStr">
        <is>
          <t>小雪人兔球球好气鸦涂鸦叽玩偶抱枕</t>
        </is>
      </c>
      <c r="B791" t="inlineStr">
        <is>
          <t>recvfqmLqZa4Gu.jpg</t>
        </is>
      </c>
      <c r="C791" s="2" t="str">
        <f>=HYPERLINK("https://xhslink.com/m/9NUH4E6FCkF", "https://xhslink.com/m/9NUH4E6FCkF")</f>
        <v>https://xhslink.com/m/9NUH4E6FCkF</v>
      </c>
      <c r="D791"/>
      <c r="E791">
        <v>5653</v>
      </c>
      <c r="F791">
        <v>32</v>
      </c>
      <c r="G791"/>
      <c r="H791">
        <v>400</v>
      </c>
      <c r="I791" t="inlineStr">
        <is>
          <t>毛绒玩偶</t>
        </is>
      </c>
      <c r="J791" t="inlineStr">
        <is>
          <t>0.07</t>
        </is>
      </c>
      <c r="K791"/>
      <c r="L791" t="inlineStr">
        <is>
          <t>蜡笔醒醒同人小铺的店</t>
        </is>
      </c>
      <c r="M791">
        <v>13000</v>
      </c>
      <c r="N791">
        <v>4.54</v>
      </c>
      <c r="O791">
        <v>12000</v>
      </c>
      <c r="P791" t="inlineStr">
        <is>
          <t>68e237184daabe000175eb51</t>
        </is>
      </c>
      <c r="Q791" t="inlineStr">
        <is>
          <t>🚫重复</t>
        </is>
      </c>
      <c r="R791" t="inlineStr">
        <is>
          <t>14周</t>
        </is>
      </c>
      <c r="S791" t="inlineStr">
        <is>
          <t>0.43</t>
        </is>
      </c>
      <c r="T791" t="inlineStr">
        <is>
          <t>母婴亲子</t>
        </is>
      </c>
      <c r="U791" t="inlineStr">
        <is>
          <t>玩具早教</t>
        </is>
      </c>
      <c r="V791" s="3">
        <v>46112.78107638889</v>
      </c>
      <c r="W791" t="inlineStr">
        <is>
          <t>2026-Q1</t>
        </is>
      </c>
    </row>
    <row r="792" ht="25.5" customHeight="1">
      <c r="A792" t="inlineStr">
        <is>
          <t>星星自制~韩版ins 银色星星简约大学生购物袋大容量纯色单肩包女</t>
        </is>
      </c>
      <c r="B792" t="inlineStr">
        <is>
          <t>recvfqmLqZ9Iex.jpg</t>
        </is>
      </c>
      <c r="C792" s="2" t="str">
        <f>=HYPERLINK("https://xhslink.com/m/1Z8GAdC8Euu", "https://xhslink.com/m/1Z8GAdC8Euu")</f>
        <v>https://xhslink.com/m/1Z8GAdC8Euu</v>
      </c>
      <c r="D792"/>
      <c r="E792">
        <v>5841</v>
      </c>
      <c r="F792">
        <v>35.9</v>
      </c>
      <c r="G792">
        <v>15.9</v>
      </c>
      <c r="H792">
        <v>400</v>
      </c>
      <c r="I792" t="inlineStr">
        <is>
          <t>韩系包包</t>
        </is>
      </c>
      <c r="J792" t="inlineStr">
        <is>
          <t>0.07</t>
        </is>
      </c>
      <c r="K792"/>
      <c r="L792" t="inlineStr">
        <is>
          <t>oi～小财星的店</t>
        </is>
      </c>
      <c r="M792">
        <v>3035</v>
      </c>
      <c r="N792">
        <v>4.39</v>
      </c>
      <c r="O792">
        <v>21000</v>
      </c>
      <c r="P792" t="inlineStr">
        <is>
          <t>694d4e50d0c58a0001b59039</t>
        </is>
      </c>
      <c r="Q792"/>
      <c r="R792" t="inlineStr">
        <is>
          <t>14周</t>
        </is>
      </c>
      <c r="S792" t="inlineStr">
        <is>
          <t>1.92</t>
        </is>
      </c>
      <c r="T792" t="inlineStr">
        <is>
          <t>服饰穿搭</t>
        </is>
      </c>
      <c r="U792" t="inlineStr">
        <is>
          <t>鞋靴箱包</t>
        </is>
      </c>
      <c r="V792" s="3">
        <v>46112.78107638889</v>
      </c>
      <c r="W792" t="inlineStr">
        <is>
          <t>2026-Q1</t>
        </is>
      </c>
    </row>
    <row r="793" ht="25.5" customHeight="1">
      <c r="A793" t="inlineStr">
        <is>
          <t>okcc「原创独版」韩国两面用条纹托特包 肌理感柔软通勤购物袋</t>
        </is>
      </c>
      <c r="B793" t="inlineStr">
        <is>
          <t>recvfqmLqZpqrD.jpg</t>
        </is>
      </c>
      <c r="C793" s="2" t="str">
        <f>=HYPERLINK("https://xhslink.com/m/4HOUP2JHXLZ", "https://xhslink.com/m/4HOUP2JHXLZ")</f>
        <v>https://xhslink.com/m/4HOUP2JHXLZ</v>
      </c>
      <c r="D793"/>
      <c r="E793">
        <v>2988</v>
      </c>
      <c r="F793">
        <v>59.9</v>
      </c>
      <c r="G793">
        <v>29.9</v>
      </c>
      <c r="H793">
        <v>400</v>
      </c>
      <c r="I793" t="inlineStr">
        <is>
          <t>韩系包包</t>
        </is>
      </c>
      <c r="J793" t="inlineStr">
        <is>
          <t>0.13</t>
        </is>
      </c>
      <c r="K793"/>
      <c r="L793" t="inlineStr">
        <is>
          <t>捏我小肥脸u的店</t>
        </is>
      </c>
      <c r="M793">
        <v>435000</v>
      </c>
      <c r="N793">
        <v>4.43</v>
      </c>
      <c r="O793">
        <v>579000</v>
      </c>
      <c r="P793" t="inlineStr">
        <is>
          <t>69b904a05e5f050001f723b5</t>
        </is>
      </c>
      <c r="Q793" t="inlineStr">
        <is>
          <t>🚫重复</t>
        </is>
      </c>
      <c r="R793" t="inlineStr">
        <is>
          <t>14周</t>
        </is>
      </c>
      <c r="S793" t="inlineStr">
        <is>
          <t>0.01</t>
        </is>
      </c>
      <c r="T793" t="inlineStr">
        <is>
          <t>服饰穿搭</t>
        </is>
      </c>
      <c r="U793" t="inlineStr">
        <is>
          <t>鞋靴箱包</t>
        </is>
      </c>
      <c r="V793" s="3">
        <v>46112.78107638889</v>
      </c>
      <c r="W793" t="inlineStr">
        <is>
          <t>2026-Q1</t>
        </is>
      </c>
    </row>
    <row r="794" ht="25.5" customHeight="1">
      <c r="A794" t="inlineStr">
        <is>
          <t>【加长钉】52*52钉耐高温拼豆板，可拼接 适用2.6毫米拼豆</t>
        </is>
      </c>
      <c r="B794" t="inlineStr">
        <is>
          <t>recvfqmLqZMY7i.jpg</t>
        </is>
      </c>
      <c r="C794" s="2" t="str">
        <f>=HYPERLINK("https://xhslink.com/m/1gLhdsl1hCc", "https://xhslink.com/m/1gLhdsl1hCc")</f>
        <v>https://xhslink.com/m/1gLhdsl1hCc</v>
      </c>
      <c r="D794"/>
      <c r="E794">
        <v>47000</v>
      </c>
      <c r="F794">
        <v>12.9</v>
      </c>
      <c r="G794">
        <v>11.9</v>
      </c>
      <c r="H794">
        <v>400</v>
      </c>
      <c r="I794" t="inlineStr">
        <is>
          <t>积木拼图</t>
        </is>
      </c>
      <c r="J794" t="inlineStr">
        <is>
          <t>0.01</t>
        </is>
      </c>
      <c r="K794" t="inlineStr">
        <is>
          <t>🔥低粉爆款</t>
        </is>
      </c>
      <c r="L794" t="inlineStr">
        <is>
          <t>一口芋头（拼豆版）的店</t>
        </is>
      </c>
      <c r="M794">
        <v>15000</v>
      </c>
      <c r="N794">
        <v>4.55</v>
      </c>
      <c r="O794">
        <v>129000</v>
      </c>
      <c r="P794" t="inlineStr">
        <is>
          <t>69216c0733d9ce0001348b18</t>
        </is>
      </c>
      <c r="Q794"/>
      <c r="R794" t="inlineStr">
        <is>
          <t>14周</t>
        </is>
      </c>
      <c r="S794" t="inlineStr">
        <is>
          <t>3.13</t>
        </is>
      </c>
      <c r="T794" t="inlineStr">
        <is>
          <t>母婴亲子</t>
        </is>
      </c>
      <c r="U794" t="inlineStr">
        <is>
          <t>玩具早教</t>
        </is>
      </c>
      <c r="V794" s="3">
        <v>46112.78107638889</v>
      </c>
      <c r="W794" t="inlineStr">
        <is>
          <t>2026-Q1</t>
        </is>
      </c>
    </row>
    <row r="795" ht="25.5" customHeight="1">
      <c r="A795" t="inlineStr">
        <is>
          <t>手工纯铁无涂层铁锅炒锅小铁锅圆肚锅一人食小锅平底锅不挑炉灶</t>
        </is>
      </c>
      <c r="B795" t="inlineStr">
        <is>
          <t>recvfvVmDwUDe1.jpg</t>
        </is>
      </c>
      <c r="C795" s="2" t="str">
        <f>=HYPERLINK("https://xhslink.com/m/ARUFgQnWbP9", "https://xhslink.com/m/ARUFgQnWbP9")</f>
        <v>https://xhslink.com/m/ARUFgQnWbP9</v>
      </c>
      <c r="D795"/>
      <c r="E795">
        <v>18000</v>
      </c>
      <c r="F795">
        <v>65</v>
      </c>
      <c r="G795"/>
      <c r="H795">
        <v>400</v>
      </c>
      <c r="I795" t="inlineStr">
        <is>
          <t>厨房用品</t>
        </is>
      </c>
      <c r="J795" t="inlineStr">
        <is>
          <t>0.02</t>
        </is>
      </c>
      <c r="K795" t="inlineStr">
        <is>
          <t>🔥低粉爆款</t>
        </is>
      </c>
      <c r="L795" t="inlineStr">
        <is>
          <t>Little Beauty（ 外贸厨具馆 ）的店</t>
        </is>
      </c>
      <c r="M795">
        <v>5895</v>
      </c>
      <c r="N795">
        <v>4.7</v>
      </c>
      <c r="O795">
        <v>28000</v>
      </c>
      <c r="P795" t="inlineStr">
        <is>
          <t>690732772fdb7c00019baf2c</t>
        </is>
      </c>
      <c r="Q795" t="inlineStr">
        <is>
          <t>🚫重复</t>
        </is>
      </c>
      <c r="R795" t="inlineStr">
        <is>
          <t>14周</t>
        </is>
      </c>
      <c r="S795" t="inlineStr">
        <is>
          <t>3.05</t>
        </is>
      </c>
      <c r="T795" t="inlineStr">
        <is>
          <t>家居生活</t>
        </is>
      </c>
      <c r="U795" t="inlineStr">
        <is>
          <t>厨房餐饮</t>
        </is>
      </c>
      <c r="V795" s="3">
        <v>46113.55826388889</v>
      </c>
      <c r="W795" t="inlineStr">
        <is>
          <t>2026-Q2</t>
        </is>
      </c>
    </row>
    <row r="796" ht="25.5" customHeight="1">
      <c r="A796" t="inlineStr">
        <is>
          <t>iPureson · 【春夏可用】泊芮森水感身体油 滋养修护细腻嫩滑持久留香 旅行装</t>
        </is>
      </c>
      <c r="B796" t="inlineStr">
        <is>
          <t>recvfvVmDwCIoZ.jpg</t>
        </is>
      </c>
      <c r="C796" s="2" t="str">
        <f>=HYPERLINK("https://xhslink.com/m/4k8Y1HNyAVk", "https://xhslink.com/m/4k8Y1HNyAVk")</f>
        <v>https://xhslink.com/m/4k8Y1HNyAVk</v>
      </c>
      <c r="D796"/>
      <c r="E796">
        <v>39000</v>
      </c>
      <c r="F796">
        <v>178</v>
      </c>
      <c r="G796">
        <v>49.9</v>
      </c>
      <c r="H796">
        <v>400</v>
      </c>
      <c r="I796" t="inlineStr">
        <is>
          <t>身体护理</t>
        </is>
      </c>
      <c r="J796" t="inlineStr">
        <is>
          <t>0.01</t>
        </is>
      </c>
      <c r="K796"/>
      <c r="L796" t="inlineStr">
        <is>
          <t>iPureson旗舰店</t>
        </is>
      </c>
      <c r="M796">
        <v>22000</v>
      </c>
      <c r="N796">
        <v>4.53</v>
      </c>
      <c r="O796">
        <v>49000</v>
      </c>
      <c r="P796" t="inlineStr">
        <is>
          <t>6734404e4a9865000167fc2d</t>
        </is>
      </c>
      <c r="Q796" t="inlineStr">
        <is>
          <t>🚫重复</t>
        </is>
      </c>
      <c r="R796" t="inlineStr">
        <is>
          <t>14周</t>
        </is>
      </c>
      <c r="S796" t="inlineStr">
        <is>
          <t>1.77</t>
        </is>
      </c>
      <c r="T796" t="inlineStr">
        <is>
          <t>运动潮玩</t>
        </is>
      </c>
      <c r="U796" t="inlineStr">
        <is>
          <t>旅行出行</t>
        </is>
      </c>
      <c r="V796" s="3">
        <v>46113.55826388889</v>
      </c>
      <c r="W796" t="inlineStr">
        <is>
          <t>2026-Q2</t>
        </is>
      </c>
    </row>
    <row r="797" ht="25.5" customHeight="1">
      <c r="A797" t="inlineStr">
        <is>
          <t>无边 · 原创设计立体花法式小众网纱上衣透视T恤圆领短袖女夏</t>
        </is>
      </c>
      <c r="B797" t="inlineStr">
        <is>
          <t>recvfD7quwMuOz.jpg</t>
        </is>
      </c>
      <c r="C797" s="2" t="str">
        <f>=HYPERLINK("https://xhslink.com/m/AW3w0FDzgPI", "https://xhslink.com/m/AW3w0FDzgPI")</f>
        <v>https://xhslink.com/m/AW3w0FDzgPI</v>
      </c>
      <c r="D797"/>
      <c r="E797">
        <v>12000</v>
      </c>
      <c r="F797">
        <v>269</v>
      </c>
      <c r="G797">
        <v>228.65</v>
      </c>
      <c r="H797">
        <v>400</v>
      </c>
      <c r="I797" t="inlineStr">
        <is>
          <t>夏天上衣</t>
        </is>
      </c>
      <c r="J797" t="inlineStr">
        <is>
          <t>0.03</t>
        </is>
      </c>
      <c r="K797"/>
      <c r="L797" t="inlineStr">
        <is>
          <t>无边旗舰店</t>
        </is>
      </c>
      <c r="M797">
        <v>12000</v>
      </c>
      <c r="N797">
        <v>4.52</v>
      </c>
      <c r="O797">
        <v>17000</v>
      </c>
      <c r="P797" t="inlineStr">
        <is>
          <t>62ecd40d74e7100001c1b88a</t>
        </is>
      </c>
      <c r="Q797" t="inlineStr">
        <is>
          <t>🚫重复</t>
        </is>
      </c>
      <c r="R797" t="inlineStr">
        <is>
          <t>14周</t>
        </is>
      </c>
      <c r="S797" t="inlineStr">
        <is>
          <t>1.00</t>
        </is>
      </c>
      <c r="T797" t="inlineStr">
        <is>
          <t>服饰穿搭</t>
        </is>
      </c>
      <c r="U797" t="inlineStr">
        <is>
          <t>女装</t>
        </is>
      </c>
      <c r="V797" s="3">
        <v>46114.78872685185</v>
      </c>
      <c r="W797" t="inlineStr">
        <is>
          <t>2026-Q2</t>
        </is>
      </c>
    </row>
    <row r="798" ht="25.5" customHeight="1">
      <c r="A798" t="inlineStr">
        <is>
          <t>阿芮叱·经典防水台一字带细跟黑色凉鞋模特走秀高跟鞋</t>
        </is>
      </c>
      <c r="B798" t="inlineStr">
        <is>
          <t>recvfD7quwAc0L.jpg</t>
        </is>
      </c>
      <c r="C798" s="2" t="str">
        <f>=HYPERLINK("https://xhslink.com/m/29JQFcob7Bx", "https://xhslink.com/m/29JQFcob7Bx")</f>
        <v>https://xhslink.com/m/29JQFcob7Bx</v>
      </c>
      <c r="D798"/>
      <c r="E798">
        <v>26000</v>
      </c>
      <c r="F798">
        <v>200</v>
      </c>
      <c r="G798">
        <v>149.9</v>
      </c>
      <c r="H798">
        <v>400</v>
      </c>
      <c r="I798" t="inlineStr">
        <is>
          <t>百搭鞋子</t>
        </is>
      </c>
      <c r="J798" t="inlineStr">
        <is>
          <t>0.02</t>
        </is>
      </c>
      <c r="K798"/>
      <c r="L798" t="inlineStr">
        <is>
          <t>阿芮叱的店</t>
        </is>
      </c>
      <c r="M798">
        <v>35000</v>
      </c>
      <c r="N798">
        <v>4.67</v>
      </c>
      <c r="O798">
        <v>164000</v>
      </c>
      <c r="P798" t="inlineStr">
        <is>
          <t>6666d9bded6bc10001098a29</t>
        </is>
      </c>
      <c r="Q798" t="inlineStr">
        <is>
          <t>🚫重复</t>
        </is>
      </c>
      <c r="R798" t="inlineStr">
        <is>
          <t>14周</t>
        </is>
      </c>
      <c r="S798" t="inlineStr">
        <is>
          <t>0.74</t>
        </is>
      </c>
      <c r="T798" t="inlineStr">
        <is>
          <t>服饰穿搭</t>
        </is>
      </c>
      <c r="U798" t="inlineStr">
        <is>
          <t>鞋靴箱包</t>
        </is>
      </c>
      <c r="V798" s="3">
        <v>46114.78872685185</v>
      </c>
      <c r="W798" t="inlineStr">
        <is>
          <t>2026-Q2</t>
        </is>
      </c>
    </row>
    <row r="799" ht="25.5" customHeight="1">
      <c r="A799" t="inlineStr">
        <is>
          <t>URZA＆TAFR · 户外工装休闲裤廓形系腰带弯刀镰刀裤春夏机能裤女</t>
        </is>
      </c>
      <c r="B799" t="inlineStr">
        <is>
          <t>recvfD7quwx2Z1.jpg</t>
        </is>
      </c>
      <c r="C799" s="2" t="str">
        <f>=HYPERLINK("https://xhslink.com/m/7snByaE6O5", "https://xhslink.com/m/7snByaE6O5")</f>
        <v>https://xhslink.com/m/7snByaE6O5</v>
      </c>
      <c r="D799"/>
      <c r="E799">
        <v>3040</v>
      </c>
      <c r="F799">
        <v>79.9</v>
      </c>
      <c r="G799"/>
      <c r="H799">
        <v>400</v>
      </c>
      <c r="I799" t="inlineStr">
        <is>
          <t>裤子</t>
        </is>
      </c>
      <c r="J799" t="inlineStr">
        <is>
          <t>0.13</t>
        </is>
      </c>
      <c r="K799"/>
      <c r="L799" t="inlineStr">
        <is>
          <t>虞兜兜的店</t>
        </is>
      </c>
      <c r="M799">
        <v>7765</v>
      </c>
      <c r="N799">
        <v>4.58</v>
      </c>
      <c r="O799">
        <v>62000</v>
      </c>
      <c r="P799" t="inlineStr">
        <is>
          <t>6865ce9dc340d500010d918b</t>
        </is>
      </c>
      <c r="Q799"/>
      <c r="R799" t="inlineStr">
        <is>
          <t>14周</t>
        </is>
      </c>
      <c r="S799" t="inlineStr">
        <is>
          <t>0.39</t>
        </is>
      </c>
      <c r="T799" t="inlineStr">
        <is>
          <t>服饰穿搭</t>
        </is>
      </c>
      <c r="U799" t="inlineStr">
        <is>
          <t>女装</t>
        </is>
      </c>
      <c r="V799" s="3">
        <v>46114.78872685185</v>
      </c>
      <c r="W799" t="inlineStr">
        <is>
          <t>2026-Q2</t>
        </is>
      </c>
    </row>
    <row r="800" ht="25.5" customHeight="1">
      <c r="A800" t="inlineStr">
        <is>
          <t>【海南金煌芒果】三亚芒果当季新鲜水果孕妇水仙芒纸核芒鲜甜5斤</t>
        </is>
      </c>
      <c r="B800" t="inlineStr">
        <is>
          <t>recvfD7quw9hBO.jpg</t>
        </is>
      </c>
      <c r="C800" s="2" t="str">
        <f>=HYPERLINK("https://xhslink.com/m/1WsoXx1Wytm", "https://xhslink.com/m/1WsoXx1Wytm")</f>
        <v>https://xhslink.com/m/1WsoXx1Wytm</v>
      </c>
      <c r="D800"/>
      <c r="E800">
        <v>422000</v>
      </c>
      <c r="F800">
        <v>26.9</v>
      </c>
      <c r="G800">
        <v>21.8</v>
      </c>
      <c r="H800">
        <v>400</v>
      </c>
      <c r="I800" t="inlineStr">
        <is>
          <t>水果</t>
        </is>
      </c>
      <c r="J800" t="inlineStr">
        <is>
          <t>0.00</t>
        </is>
      </c>
      <c r="K800" t="inlineStr">
        <is>
          <t>🔥低粉爆款</t>
        </is>
      </c>
      <c r="L800" t="inlineStr">
        <is>
          <t>野里鲜果的店</t>
        </is>
      </c>
      <c r="M800">
        <v>2851</v>
      </c>
      <c r="N800">
        <v>4.54</v>
      </c>
      <c r="O800">
        <v>232000</v>
      </c>
      <c r="P800" t="inlineStr">
        <is>
          <t>67bc9c6ef2389c00019d201c</t>
        </is>
      </c>
      <c r="Q800" t="inlineStr">
        <is>
          <t>🚫重复</t>
        </is>
      </c>
      <c r="R800" t="inlineStr">
        <is>
          <t>14周</t>
        </is>
      </c>
      <c r="S800" t="inlineStr">
        <is>
          <t>148.02</t>
        </is>
      </c>
      <c r="T800" t="inlineStr">
        <is>
          <t>美食滋补</t>
        </is>
      </c>
      <c r="U800" t="inlineStr">
        <is>
          <t>生鲜特产</t>
        </is>
      </c>
      <c r="V800" s="3">
        <v>46114.78872685185</v>
      </c>
      <c r="W800" t="inlineStr">
        <is>
          <t>2026-Q2</t>
        </is>
      </c>
    </row>
    <row r="801" ht="25.5" customHeight="1">
      <c r="A801" t="inlineStr">
        <is>
          <t>西域伯爵 · 【需要催熟/也可以生吃】海南金煌芒纸核芒新鲜应季核薄无丝</t>
        </is>
      </c>
      <c r="B801" t="inlineStr">
        <is>
          <t>recvfD7quwvyDI.jpg</t>
        </is>
      </c>
      <c r="C801" s="2" t="str">
        <f>=HYPERLINK("https://xhslink.com/m/57k1ywdawyY", "https://xhslink.com/m/57k1ywdawyY")</f>
        <v>https://xhslink.com/m/57k1ywdawyY</v>
      </c>
      <c r="D801"/>
      <c r="E801">
        <v>516000</v>
      </c>
      <c r="F801">
        <v>46.9</v>
      </c>
      <c r="G801"/>
      <c r="H801">
        <v>400</v>
      </c>
      <c r="I801" t="inlineStr">
        <is>
          <t>水果</t>
        </is>
      </c>
      <c r="J801" t="inlineStr">
        <is>
          <t>0.00</t>
        </is>
      </c>
      <c r="K801" t="inlineStr">
        <is>
          <t>🔥低粉爆款</t>
        </is>
      </c>
      <c r="L801" t="inlineStr">
        <is>
          <t>西域伯爵旗舰店</t>
        </is>
      </c>
      <c r="M801">
        <v>2156</v>
      </c>
      <c r="N801">
        <v>4.47</v>
      </c>
      <c r="O801">
        <v>142000</v>
      </c>
      <c r="P801" t="inlineStr">
        <is>
          <t>682aac8880956a0001526b05</t>
        </is>
      </c>
      <c r="Q801" t="inlineStr">
        <is>
          <t>🚫重复</t>
        </is>
      </c>
      <c r="R801" t="inlineStr">
        <is>
          <t>14周</t>
        </is>
      </c>
      <c r="S801" t="inlineStr">
        <is>
          <t>239.33</t>
        </is>
      </c>
      <c r="T801" t="inlineStr">
        <is>
          <t>美食滋补</t>
        </is>
      </c>
      <c r="U801" t="inlineStr">
        <is>
          <t>生鲜特产</t>
        </is>
      </c>
      <c r="V801" s="3">
        <v>46114.78872685185</v>
      </c>
      <c r="W801" t="inlineStr">
        <is>
          <t>2026-Q2</t>
        </is>
      </c>
    </row>
    <row r="802" ht="25.5" customHeight="1">
      <c r="A802" t="inlineStr">
        <is>
          <t>【不定时限量】坚果全麦吐司边角料边皮0蔗糖粗粮代餐宿舍早餐</t>
        </is>
      </c>
      <c r="B802" t="inlineStr">
        <is>
          <t>recvfD7quwwZPL.jpg</t>
        </is>
      </c>
      <c r="C802" s="2" t="str">
        <f>=HYPERLINK("https://xhslink.com/m/3NlZUZMmPKp", "https://xhslink.com/m/3NlZUZMmPKp")</f>
        <v>https://xhslink.com/m/3NlZUZMmPKp</v>
      </c>
      <c r="D802"/>
      <c r="E802">
        <v>20000</v>
      </c>
      <c r="F802">
        <v>25.9</v>
      </c>
      <c r="G802">
        <v>16.9</v>
      </c>
      <c r="H802">
        <v>400</v>
      </c>
      <c r="I802" t="inlineStr">
        <is>
          <t>宿舍零食</t>
        </is>
      </c>
      <c r="J802" t="inlineStr">
        <is>
          <t>0.02</t>
        </is>
      </c>
      <c r="K802" t="inlineStr">
        <is>
          <t>🔥低粉爆款</t>
        </is>
      </c>
      <c r="L802" t="inlineStr">
        <is>
          <t>吐司掉地上了的店</t>
        </is>
      </c>
      <c r="M802">
        <v>627</v>
      </c>
      <c r="N802">
        <v>4.64</v>
      </c>
      <c r="O802">
        <v>42000</v>
      </c>
      <c r="P802" t="inlineStr">
        <is>
          <t>69b8b91dffa26d0001e0eef3</t>
        </is>
      </c>
      <c r="Q802" t="inlineStr">
        <is>
          <t>🚫重复</t>
        </is>
      </c>
      <c r="R802" t="inlineStr">
        <is>
          <t>14周</t>
        </is>
      </c>
      <c r="S802" t="inlineStr">
        <is>
          <t>31.90</t>
        </is>
      </c>
      <c r="T802" t="inlineStr">
        <is>
          <t>美食滋补</t>
        </is>
      </c>
      <c r="U802" t="inlineStr">
        <is>
          <t>休闲零食</t>
        </is>
      </c>
      <c r="V802" s="3">
        <v>46114.78872685185</v>
      </c>
      <c r="W802" t="inlineStr">
        <is>
          <t>2026-Q2</t>
        </is>
      </c>
    </row>
    <row r="803" ht="25.5" customHeight="1">
      <c r="A803" t="inlineStr">
        <is>
          <t>Kola Kola · 【认准正版 升级雪花棉】慵懒风百搭显瘦高品质背心骑行服</t>
        </is>
      </c>
      <c r="B803" t="inlineStr">
        <is>
          <t>recvfD7quwv3W1.jpg</t>
        </is>
      </c>
      <c r="C803" s="2" t="str">
        <f>=HYPERLINK("https://xhslink.com/m/45mIuHuJoHE", "https://xhslink.com/m/45mIuHuJoHE")</f>
        <v>https://xhslink.com/m/45mIuHuJoHE</v>
      </c>
      <c r="D803"/>
      <c r="E803">
        <v>2252</v>
      </c>
      <c r="F803">
        <v>49.9</v>
      </c>
      <c r="G803"/>
      <c r="H803">
        <v>400</v>
      </c>
      <c r="I803" t="inlineStr">
        <is>
          <t>背心吊带</t>
        </is>
      </c>
      <c r="J803" t="inlineStr">
        <is>
          <t>0.18</t>
        </is>
      </c>
      <c r="K803" t="inlineStr">
        <is>
          <t>🔥低粉爆款</t>
        </is>
      </c>
      <c r="L803" t="inlineStr">
        <is>
          <t>Kola Kola甄选女装的店</t>
        </is>
      </c>
      <c r="M803">
        <v>450</v>
      </c>
      <c r="N803">
        <v>4.58</v>
      </c>
      <c r="O803">
        <v>4547</v>
      </c>
      <c r="P803" t="inlineStr">
        <is>
          <t>69c643f9c675dc0001875412</t>
        </is>
      </c>
      <c r="Q803"/>
      <c r="R803" t="inlineStr">
        <is>
          <t>14周</t>
        </is>
      </c>
      <c r="S803" t="inlineStr">
        <is>
          <t>5.00</t>
        </is>
      </c>
      <c r="T803" t="inlineStr">
        <is>
          <t>服饰穿搭</t>
        </is>
      </c>
      <c r="U803" t="inlineStr">
        <is>
          <t>女装</t>
        </is>
      </c>
      <c r="V803" s="3">
        <v>46114.78872685185</v>
      </c>
      <c r="W803" t="inlineStr">
        <is>
          <t>2026-Q2</t>
        </is>
      </c>
    </row>
    <row r="804" ht="25.5" customHeight="1">
      <c r="A804" t="inlineStr">
        <is>
          <t>复古工装裙2026春遮胯半身裙</t>
        </is>
      </c>
      <c r="B804" t="inlineStr">
        <is>
          <t>recvfD7quwHBRv.jpg</t>
        </is>
      </c>
      <c r="C804" s="2" t="str">
        <f>=HYPERLINK("https://xhslink.com/m/5PJ2D5cRIOe", "https://xhslink.com/m/5PJ2D5cRIOe")</f>
        <v>https://xhslink.com/m/5PJ2D5cRIOe</v>
      </c>
      <c r="D804"/>
      <c r="E804">
        <v>2359</v>
      </c>
      <c r="F804">
        <v>68.5</v>
      </c>
      <c r="G804"/>
      <c r="H804">
        <v>400</v>
      </c>
      <c r="I804" t="inlineStr">
        <is>
          <t>混搭工装</t>
        </is>
      </c>
      <c r="J804" t="inlineStr">
        <is>
          <t>0.17</t>
        </is>
      </c>
      <c r="K804"/>
      <c r="L804" t="inlineStr">
        <is>
          <t>八宫妃的店</t>
        </is>
      </c>
      <c r="M804">
        <v>10000</v>
      </c>
      <c r="N804">
        <v>4.46</v>
      </c>
      <c r="O804">
        <v>73000</v>
      </c>
      <c r="P804" t="inlineStr">
        <is>
          <t>68611e9848753b00013d2c7d</t>
        </is>
      </c>
      <c r="Q804" t="inlineStr">
        <is>
          <t>🚫重复</t>
        </is>
      </c>
      <c r="R804" t="inlineStr">
        <is>
          <t>14周</t>
        </is>
      </c>
      <c r="S804" t="inlineStr">
        <is>
          <t>0.24</t>
        </is>
      </c>
      <c r="T804" t="inlineStr">
        <is>
          <t>服饰穿搭</t>
        </is>
      </c>
      <c r="U804" t="inlineStr">
        <is>
          <t>女装</t>
        </is>
      </c>
      <c r="V804" s="3">
        <v>46114.78872685185</v>
      </c>
      <c r="W804" t="inlineStr">
        <is>
          <t>2026-Q2</t>
        </is>
      </c>
    </row>
    <row r="805" ht="25.5" customHeight="1">
      <c r="A805" t="inlineStr">
        <is>
          <t>随机花材普快基地直发售后无忧</t>
        </is>
      </c>
      <c r="B805" t="inlineStr">
        <is>
          <t>recvfD7quwh40s.jpg</t>
        </is>
      </c>
      <c r="C805" s="2" t="str">
        <f>=HYPERLINK("https://xhslink.com/m/tXekw7jiZl", "https://xhslink.com/m/tXekw7jiZl")</f>
        <v>https://xhslink.com/m/tXekw7jiZl</v>
      </c>
      <c r="D805"/>
      <c r="E805">
        <v>192000</v>
      </c>
      <c r="F805">
        <v>19.9</v>
      </c>
      <c r="G805"/>
      <c r="H805">
        <v>400</v>
      </c>
      <c r="I805" t="inlineStr">
        <is>
          <t>花花草草</t>
        </is>
      </c>
      <c r="J805" t="inlineStr">
        <is>
          <t>0.00</t>
        </is>
      </c>
      <c r="K805" t="inlineStr">
        <is>
          <t>🔥低粉爆款</t>
        </is>
      </c>
      <c r="L805" t="inlineStr">
        <is>
          <t>长花原野的店</t>
        </is>
      </c>
      <c r="M805">
        <v>32000</v>
      </c>
      <c r="N805">
        <v>4.01</v>
      </c>
      <c r="O805">
        <v>224000</v>
      </c>
      <c r="P805" t="inlineStr">
        <is>
          <t>69a14e3736330e0001e4142f</t>
        </is>
      </c>
      <c r="Q805" t="inlineStr">
        <is>
          <t>🚫重复</t>
        </is>
      </c>
      <c r="R805" t="inlineStr">
        <is>
          <t>14周</t>
        </is>
      </c>
      <c r="S805" t="inlineStr">
        <is>
          <t>6.00</t>
        </is>
      </c>
      <c r="T805" t="inlineStr">
        <is>
          <t>家居生活</t>
        </is>
      </c>
      <c r="U805" t="inlineStr">
        <is>
          <t>家具家装</t>
        </is>
      </c>
      <c r="V805" s="3">
        <v>46114.78872685185</v>
      </c>
      <c r="W805" t="inlineStr">
        <is>
          <t>2026-Q2</t>
        </is>
      </c>
    </row>
    <row r="806" ht="25.5" customHeight="1">
      <c r="A806" t="inlineStr">
        <is>
          <t>山东芍药鲜花重瓣大牡丹花束云南鲜切花全新基地母亲节花礼物家庭</t>
        </is>
      </c>
      <c r="B806" t="inlineStr">
        <is>
          <t>recvfD7quwjSJd.jpg</t>
        </is>
      </c>
      <c r="C806" s="2" t="str">
        <f>=HYPERLINK("https://xhslink.com/m/1uJrRhe1Ges", "https://xhslink.com/m/1uJrRhe1Ges")</f>
        <v>https://xhslink.com/m/1uJrRhe1Ges</v>
      </c>
      <c r="D806"/>
      <c r="E806">
        <v>24000</v>
      </c>
      <c r="F806">
        <v>29</v>
      </c>
      <c r="G806">
        <v>28</v>
      </c>
      <c r="H806">
        <v>400</v>
      </c>
      <c r="I806" t="inlineStr">
        <is>
          <t>花花草草</t>
        </is>
      </c>
      <c r="J806" t="inlineStr">
        <is>
          <t>0.02</t>
        </is>
      </c>
      <c r="K806" t="inlineStr">
        <is>
          <t>🔥低粉爆款</t>
        </is>
      </c>
      <c r="L806" t="inlineStr">
        <is>
          <t>芯悦牡丹芍药的店</t>
        </is>
      </c>
      <c r="M806">
        <v>2999</v>
      </c>
      <c r="N806">
        <v>4.79</v>
      </c>
      <c r="O806">
        <v>26000</v>
      </c>
      <c r="P806" t="inlineStr">
        <is>
          <t>661500bd6a084a000125898f</t>
        </is>
      </c>
      <c r="Q806"/>
      <c r="R806" t="inlineStr">
        <is>
          <t>14周</t>
        </is>
      </c>
      <c r="S806" t="inlineStr">
        <is>
          <t>8.00</t>
        </is>
      </c>
      <c r="T806" t="inlineStr">
        <is>
          <t>家居生活</t>
        </is>
      </c>
      <c r="U806" t="inlineStr">
        <is>
          <t>家具家装</t>
        </is>
      </c>
      <c r="V806" s="3">
        <v>46114.78872685185</v>
      </c>
      <c r="W806" t="inlineStr">
        <is>
          <t>2026-Q2</t>
        </is>
      </c>
    </row>
    <row r="807" ht="25.5" customHeight="1">
      <c r="A807" t="inlineStr">
        <is>
          <t>带胸垫睡衣夏天女短袖短裤薄款甜美风夏季小个子宽松可外穿</t>
        </is>
      </c>
      <c r="B807" t="inlineStr">
        <is>
          <t>recvfKbRx10PTH.jpg</t>
        </is>
      </c>
      <c r="C807" s="2" t="str">
        <f>=HYPERLINK("https://xhslink.com/m/6tJEdYlNlFi", "https://xhslink.com/m/6tJEdYlNlFi")</f>
        <v>https://xhslink.com/m/6tJEdYlNlFi</v>
      </c>
      <c r="D807"/>
      <c r="E807">
        <v>355</v>
      </c>
      <c r="F807">
        <v>39.9</v>
      </c>
      <c r="G807"/>
      <c r="H807">
        <v>400</v>
      </c>
      <c r="I807" t="inlineStr">
        <is>
          <t>睡衣家居服</t>
        </is>
      </c>
      <c r="J807" t="inlineStr">
        <is>
          <t>1.13</t>
        </is>
      </c>
      <c r="K807"/>
      <c r="L807" t="inlineStr">
        <is>
          <t>李小小服饰的店</t>
        </is>
      </c>
      <c r="M807">
        <v>901</v>
      </c>
      <c r="N807">
        <v>4.52</v>
      </c>
      <c r="O807">
        <v>16000</v>
      </c>
      <c r="P807" t="inlineStr">
        <is>
          <t>69b2b8d49b4aae0001fe9e13</t>
        </is>
      </c>
      <c r="Q807" t="inlineStr">
        <is>
          <t>🚫重复</t>
        </is>
      </c>
      <c r="R807" t="inlineStr">
        <is>
          <t>14周</t>
        </is>
      </c>
      <c r="S807" t="inlineStr">
        <is>
          <t>0.39</t>
        </is>
      </c>
      <c r="T807" t="inlineStr">
        <is>
          <t>服饰穿搭</t>
        </is>
      </c>
      <c r="U807" t="inlineStr">
        <is>
          <t>女装</t>
        </is>
      </c>
      <c r="V807" s="3">
        <v>46115.998090277775</v>
      </c>
      <c r="W807" t="inlineStr">
        <is>
          <t>2026-Q2</t>
        </is>
      </c>
    </row>
    <row r="808" ht="25.5" customHeight="1">
      <c r="A808" t="inlineStr">
        <is>
          <t>HERORANGE · 年度爱用!液体腮红液高光修容三合一收缩膨胀色遮黑眼圈 2025 新</t>
        </is>
      </c>
      <c r="B808" t="inlineStr">
        <is>
          <t>recvfKbRx17BB4.jpg</t>
        </is>
      </c>
      <c r="C808" s="2" t="str">
        <f>=HYPERLINK("https://xhslink.com/m/8RWFTMZK3JC", "https://xhslink.com/m/8RWFTMZK3JC")</f>
        <v>https://xhslink.com/m/8RWFTMZK3JC</v>
      </c>
      <c r="D808"/>
      <c r="E808">
        <v>58000</v>
      </c>
      <c r="F808">
        <v>27.99</v>
      </c>
      <c r="G808">
        <v>7.99</v>
      </c>
      <c r="H808">
        <v>400</v>
      </c>
      <c r="I808" t="inlineStr">
        <is>
          <t>面部色彩</t>
        </is>
      </c>
      <c r="J808" t="inlineStr">
        <is>
          <t>0.01</t>
        </is>
      </c>
      <c r="K808" t="inlineStr">
        <is>
          <t>🔥低粉爆款</t>
        </is>
      </c>
      <c r="L808" t="inlineStr">
        <is>
          <t>TY懒懒猫美妆的店</t>
        </is>
      </c>
      <c r="M808">
        <v>9573</v>
      </c>
      <c r="N808">
        <v>4.53</v>
      </c>
      <c r="O808">
        <v>83000</v>
      </c>
      <c r="P808" t="inlineStr">
        <is>
          <t>67779455e11459000195d75a</t>
        </is>
      </c>
      <c r="Q808"/>
      <c r="R808" t="inlineStr">
        <is>
          <t>14周</t>
        </is>
      </c>
      <c r="S808" t="inlineStr">
        <is>
          <t>6.06</t>
        </is>
      </c>
      <c r="T808" t="inlineStr">
        <is>
          <t>美妆个护</t>
        </is>
      </c>
      <c r="U808" t="inlineStr">
        <is>
          <t>护肤彩妆</t>
        </is>
      </c>
      <c r="V808" s="3">
        <v>46115.998090277775</v>
      </c>
      <c r="W808" t="inlineStr">
        <is>
          <t>2026-Q2</t>
        </is>
      </c>
    </row>
    <row r="809" ht="25.5" customHeight="1">
      <c r="A809" t="inlineStr">
        <is>
          <t>休闲外穿轻薄瑜伽T恤时尚百搭通勤运动短袖修身骑行健身衣女</t>
        </is>
      </c>
      <c r="B809" t="inlineStr">
        <is>
          <t>recvfKbRx1cyDI.jpg</t>
        </is>
      </c>
      <c r="C809" s="2" t="str">
        <f>=HYPERLINK("https://xhslink.com/m/8rZLFntwE1W", "https://xhslink.com/m/8rZLFntwE1W")</f>
        <v>https://xhslink.com/m/8rZLFntwE1W</v>
      </c>
      <c r="D809"/>
      <c r="E809">
        <v>402</v>
      </c>
      <c r="F809">
        <v>39.9</v>
      </c>
      <c r="G809"/>
      <c r="H809">
        <v>400</v>
      </c>
      <c r="I809" t="inlineStr">
        <is>
          <t>瑜伽服</t>
        </is>
      </c>
      <c r="J809" t="inlineStr">
        <is>
          <t>1.00</t>
        </is>
      </c>
      <c r="K809"/>
      <c r="L809" t="inlineStr">
        <is>
          <t>Ruru的肌动日常的店</t>
        </is>
      </c>
      <c r="M809">
        <v>472</v>
      </c>
      <c r="N809">
        <v>4.55</v>
      </c>
      <c r="O809">
        <v>2959</v>
      </c>
      <c r="P809" t="inlineStr">
        <is>
          <t>69ae41b116b37a0015b2204b</t>
        </is>
      </c>
      <c r="Q809" t="inlineStr">
        <is>
          <t>🚫重复</t>
        </is>
      </c>
      <c r="R809" t="inlineStr">
        <is>
          <t>14周</t>
        </is>
      </c>
      <c r="S809" t="inlineStr">
        <is>
          <t>0.85</t>
        </is>
      </c>
      <c r="T809" t="inlineStr">
        <is>
          <t>运动潮玩</t>
        </is>
      </c>
      <c r="U809" t="inlineStr">
        <is>
          <t>运动户外装备</t>
        </is>
      </c>
      <c r="V809" s="3">
        <v>46115.998090277775</v>
      </c>
      <c r="W809" t="inlineStr">
        <is>
          <t>2026-Q2</t>
        </is>
      </c>
    </row>
    <row r="810" ht="25.5" customHeight="1">
      <c r="A810" t="inlineStr">
        <is>
          <t>带胸垫睡衣夏天女短袖短裤薄款甜美风夏季小个子宽松可外穿</t>
        </is>
      </c>
      <c r="B810" t="inlineStr">
        <is>
          <t>recvfKbRx1kFvR.jpg</t>
        </is>
      </c>
      <c r="C810" s="2" t="str">
        <f>=HYPERLINK("https://xhslink.com/m/7J5dmbZYWx3", "https://xhslink.com/m/7J5dmbZYWx3")</f>
        <v>https://xhslink.com/m/7J5dmbZYWx3</v>
      </c>
      <c r="D810"/>
      <c r="E810">
        <v>382</v>
      </c>
      <c r="F810">
        <v>39.9</v>
      </c>
      <c r="G810"/>
      <c r="H810">
        <v>400</v>
      </c>
      <c r="I810" t="inlineStr">
        <is>
          <t>夏季睡衣</t>
        </is>
      </c>
      <c r="J810" t="inlineStr">
        <is>
          <t>1.05</t>
        </is>
      </c>
      <c r="K810"/>
      <c r="L810" t="inlineStr">
        <is>
          <t>李小小服饰的店</t>
        </is>
      </c>
      <c r="M810">
        <v>901</v>
      </c>
      <c r="N810">
        <v>4.52</v>
      </c>
      <c r="O810">
        <v>16000</v>
      </c>
      <c r="P810" t="inlineStr">
        <is>
          <t>69b2b8d49b4aae0001fe9df8</t>
        </is>
      </c>
      <c r="Q810" t="inlineStr">
        <is>
          <t>🚫重复</t>
        </is>
      </c>
      <c r="R810" t="inlineStr">
        <is>
          <t>14周</t>
        </is>
      </c>
      <c r="S810" t="inlineStr">
        <is>
          <t>0.42</t>
        </is>
      </c>
      <c r="T810" t="inlineStr">
        <is>
          <t>服饰穿搭</t>
        </is>
      </c>
      <c r="U810" t="inlineStr">
        <is>
          <t>女装</t>
        </is>
      </c>
      <c r="V810" s="3">
        <v>46115.998090277775</v>
      </c>
      <c r="W810" t="inlineStr">
        <is>
          <t>2026-Q2</t>
        </is>
      </c>
    </row>
    <row r="811" ht="25.5" customHeight="1">
      <c r="A811" t="inlineStr">
        <is>
          <t>夏季薄款小个子九分休闲裤女百搭显瘦通勤烟管裤</t>
        </is>
      </c>
      <c r="B811" t="inlineStr">
        <is>
          <t>recvfKbRx1GaBO.jpg</t>
        </is>
      </c>
      <c r="C811" s="2" t="str">
        <f>=HYPERLINK("https://xhslink.com/m/8twnwgTc6DB", "https://xhslink.com/m/8twnwgTc6DB")</f>
        <v>https://xhslink.com/m/8twnwgTc6DB</v>
      </c>
      <c r="D811"/>
      <c r="E811">
        <v>8001</v>
      </c>
      <c r="F811">
        <v>99</v>
      </c>
      <c r="G811">
        <v>89</v>
      </c>
      <c r="H811">
        <v>400</v>
      </c>
      <c r="I811" t="inlineStr">
        <is>
          <t>裤子</t>
        </is>
      </c>
      <c r="J811" t="inlineStr">
        <is>
          <t>0.05</t>
        </is>
      </c>
      <c r="K811" t="inlineStr">
        <is>
          <t>🔥低粉爆款</t>
        </is>
      </c>
      <c r="L811" t="inlineStr">
        <is>
          <t>一口芝士饼的店</t>
        </is>
      </c>
      <c r="M811">
        <v>751</v>
      </c>
      <c r="N811">
        <v>4.78</v>
      </c>
      <c r="O811">
        <v>9162</v>
      </c>
      <c r="P811" t="inlineStr">
        <is>
          <t>6849b7a20b26930015f208ee</t>
        </is>
      </c>
      <c r="Q811" t="inlineStr">
        <is>
          <t>🚫重复</t>
        </is>
      </c>
      <c r="R811" t="inlineStr">
        <is>
          <t>14周</t>
        </is>
      </c>
      <c r="S811" t="inlineStr">
        <is>
          <t>10.65</t>
        </is>
      </c>
      <c r="T811" t="inlineStr">
        <is>
          <t>服饰穿搭</t>
        </is>
      </c>
      <c r="U811" t="inlineStr">
        <is>
          <t>女装</t>
        </is>
      </c>
      <c r="V811" s="3">
        <v>46115.998090277775</v>
      </c>
      <c r="W811" t="inlineStr">
        <is>
          <t>2026-Q2</t>
        </is>
      </c>
    </row>
    <row r="812" ht="25.5" customHeight="1">
      <c r="A812" t="inlineStr">
        <is>
          <t>【28.8元任选8个加购自动改价】手作碱水球低卡早餐推荐 顺丰包邮</t>
        </is>
      </c>
      <c r="B812" t="inlineStr">
        <is>
          <t>recvfP5nJfkapB.jpg</t>
        </is>
      </c>
      <c r="C812" s="2" t="str">
        <f>=HYPERLINK("https://xhslink.com/m/159CqIPyvxX", "https://xhslink.com/m/159CqIPyvxX")</f>
        <v>https://xhslink.com/m/159CqIPyvxX</v>
      </c>
      <c r="D812"/>
      <c r="E812">
        <v>191000</v>
      </c>
      <c r="F812">
        <v>28.8</v>
      </c>
      <c r="G812"/>
      <c r="H812">
        <v>400</v>
      </c>
      <c r="I812" t="inlineStr">
        <is>
          <t>手作面包</t>
        </is>
      </c>
      <c r="J812" t="inlineStr">
        <is>
          <t>0.00</t>
        </is>
      </c>
      <c r="K812" t="inlineStr">
        <is>
          <t>🔥低粉爆款</t>
        </is>
      </c>
      <c r="L812" t="inlineStr">
        <is>
          <t>山禾四季手作工坊的店</t>
        </is>
      </c>
      <c r="M812">
        <v>4747</v>
      </c>
      <c r="N812">
        <v>4.62</v>
      </c>
      <c r="O812">
        <v>207000</v>
      </c>
      <c r="P812" t="inlineStr">
        <is>
          <t>69b9681b916f6b0001d5e64c</t>
        </is>
      </c>
      <c r="Q812" t="inlineStr">
        <is>
          <t>🚫重复</t>
        </is>
      </c>
      <c r="R812" t="inlineStr">
        <is>
          <t>14周</t>
        </is>
      </c>
      <c r="S812" t="inlineStr">
        <is>
          <t>40.24</t>
        </is>
      </c>
      <c r="T812" t="inlineStr">
        <is>
          <t>美食滋补</t>
        </is>
      </c>
      <c r="U812" t="inlineStr">
        <is>
          <t>休闲零食</t>
        </is>
      </c>
      <c r="V812" s="3">
        <v>46116.835335648146</v>
      </c>
      <c r="W812" t="inlineStr">
        <is>
          <t>2026-Q2</t>
        </is>
      </c>
    </row>
    <row r="813" ht="25.5" customHeight="1">
      <c r="A813" t="inlineStr">
        <is>
          <t>【新年福利】私房手作碱水包纯手工低卡饱腹早餐（口味自选）</t>
        </is>
      </c>
      <c r="B813" t="inlineStr">
        <is>
          <t>recvfP5nJfxIgu.jpg</t>
        </is>
      </c>
      <c r="C813" s="2" t="str">
        <f>=HYPERLINK("https://xhslink.com/m/3QwE9Vgfc0K", "https://xhslink.com/m/3QwE9Vgfc0K")</f>
        <v>https://xhslink.com/m/3QwE9Vgfc0K</v>
      </c>
      <c r="D813"/>
      <c r="E813">
        <v>12000</v>
      </c>
      <c r="F813">
        <v>22.8</v>
      </c>
      <c r="G813">
        <v>16.8</v>
      </c>
      <c r="H813">
        <v>400</v>
      </c>
      <c r="I813" t="inlineStr">
        <is>
          <t>手作面包</t>
        </is>
      </c>
      <c r="J813" t="inlineStr">
        <is>
          <t>0.03</t>
        </is>
      </c>
      <c r="K813" t="inlineStr">
        <is>
          <t>🔥低粉爆款</t>
        </is>
      </c>
      <c r="L813" t="inlineStr">
        <is>
          <t>茜茜爸私房手作的店</t>
        </is>
      </c>
      <c r="M813">
        <v>2227</v>
      </c>
      <c r="N813">
        <v>4.26</v>
      </c>
      <c r="O813">
        <v>48000</v>
      </c>
      <c r="P813" t="inlineStr">
        <is>
          <t>68d56c8c702da100013935a3</t>
        </is>
      </c>
      <c r="Q813"/>
      <c r="R813" t="inlineStr">
        <is>
          <t>14周</t>
        </is>
      </c>
      <c r="S813" t="inlineStr">
        <is>
          <t>5.39</t>
        </is>
      </c>
      <c r="T813" t="inlineStr">
        <is>
          <t>美食滋补</t>
        </is>
      </c>
      <c r="U813" t="inlineStr">
        <is>
          <t>休闲零食</t>
        </is>
      </c>
      <c r="V813" s="3">
        <v>46116.835335648146</v>
      </c>
      <c r="W813" t="inlineStr">
        <is>
          <t>2026-Q2</t>
        </is>
      </c>
    </row>
    <row r="814" ht="25.5" customHeight="1">
      <c r="A814" t="inlineStr">
        <is>
          <t>休闲百搭德训鞋女软底舒适小白鞋新款时尚校园风低帮平底通勤板鞋</t>
        </is>
      </c>
      <c r="B814" t="inlineStr">
        <is>
          <t>recvfP5nJfQxdI.jpg</t>
        </is>
      </c>
      <c r="C814" s="2" t="str">
        <f>=HYPERLINK("https://xhslink.com/m/5XWFiDTnxUE", "https://xhslink.com/m/5XWFiDTnxUE")</f>
        <v>https://xhslink.com/m/5XWFiDTnxUE</v>
      </c>
      <c r="D814"/>
      <c r="E814">
        <v>2236</v>
      </c>
      <c r="F814">
        <v>98</v>
      </c>
      <c r="G814">
        <v>68</v>
      </c>
      <c r="H814">
        <v>400</v>
      </c>
      <c r="I814" t="inlineStr">
        <is>
          <t>休闲鞋</t>
        </is>
      </c>
      <c r="J814" t="inlineStr">
        <is>
          <t>0.18</t>
        </is>
      </c>
      <c r="K814" t="inlineStr">
        <is>
          <t>🔥低粉爆款</t>
        </is>
      </c>
      <c r="L814" t="inlineStr">
        <is>
          <t>王依依YiYi的店</t>
        </is>
      </c>
      <c r="M814">
        <v>632</v>
      </c>
      <c r="N814">
        <v>4.7</v>
      </c>
      <c r="O814">
        <v>5963</v>
      </c>
      <c r="P814" t="inlineStr">
        <is>
          <t>68cd467139f90c00011c7110</t>
        </is>
      </c>
      <c r="Q814" t="inlineStr">
        <is>
          <t>🚫重复</t>
        </is>
      </c>
      <c r="R814" t="inlineStr">
        <is>
          <t>14周</t>
        </is>
      </c>
      <c r="S814" t="inlineStr">
        <is>
          <t>3.54</t>
        </is>
      </c>
      <c r="T814" t="inlineStr">
        <is>
          <t>服饰穿搭</t>
        </is>
      </c>
      <c r="U814" t="inlineStr">
        <is>
          <t>鞋靴箱包</t>
        </is>
      </c>
      <c r="V814" s="3">
        <v>46116.835335648146</v>
      </c>
      <c r="W814" t="inlineStr">
        <is>
          <t>2026-Q2</t>
        </is>
      </c>
    </row>
    <row r="815" ht="25.5" customHeight="1">
      <c r="A815" t="inlineStr">
        <is>
          <t>且遇 2025春季新女士时尚休闲平底单鞋百搭蝴蝶结奶奶鞋一脚蹬女</t>
        </is>
      </c>
      <c r="B815" t="inlineStr">
        <is>
          <t>recvfP5nJfEdFN.jpg</t>
        </is>
      </c>
      <c r="C815" s="2" t="str">
        <f>=HYPERLINK("https://xhslink.com/m/eCz3lWksAy", "https://xhslink.com/m/eCz3lWksAy")</f>
        <v>https://xhslink.com/m/eCz3lWksAy</v>
      </c>
      <c r="D815"/>
      <c r="E815">
        <v>61000</v>
      </c>
      <c r="F815">
        <v>59.9</v>
      </c>
      <c r="G815"/>
      <c r="H815">
        <v>400</v>
      </c>
      <c r="I815" t="inlineStr">
        <is>
          <t>休闲鞋</t>
        </is>
      </c>
      <c r="J815" t="inlineStr">
        <is>
          <t>0.01</t>
        </is>
      </c>
      <c r="K815" t="inlineStr">
        <is>
          <t>🔥低粉爆款</t>
        </is>
      </c>
      <c r="L815" t="inlineStr">
        <is>
          <t>鞋生会的店</t>
        </is>
      </c>
      <c r="M815">
        <v>7978</v>
      </c>
      <c r="N815">
        <v>4.62</v>
      </c>
      <c r="O815">
        <v>88000</v>
      </c>
      <c r="P815" t="inlineStr">
        <is>
          <t>67bdcceef65889000130a687</t>
        </is>
      </c>
      <c r="Q815" t="inlineStr">
        <is>
          <t>🚫重复</t>
        </is>
      </c>
      <c r="R815" t="inlineStr">
        <is>
          <t>14周</t>
        </is>
      </c>
      <c r="S815" t="inlineStr">
        <is>
          <t>7.65</t>
        </is>
      </c>
      <c r="T815" t="inlineStr">
        <is>
          <t>服饰穿搭</t>
        </is>
      </c>
      <c r="U815" t="inlineStr">
        <is>
          <t>鞋靴箱包</t>
        </is>
      </c>
      <c r="V815" s="3">
        <v>46116.835335648146</v>
      </c>
      <c r="W815" t="inlineStr">
        <is>
          <t>2026-Q2</t>
        </is>
      </c>
    </row>
    <row r="816" ht="25.5" customHeight="1">
      <c r="A816" t="inlineStr">
        <is>
          <t>PAILAILI · 【内增高7cm】小个子春季新款厚底休闲百搭德训鞋P3052</t>
        </is>
      </c>
      <c r="B816" t="inlineStr">
        <is>
          <t>recvfP5nJfE6FG.jpg</t>
        </is>
      </c>
      <c r="C816" s="2" t="str">
        <f>=HYPERLINK("https://xhslink.com/m/6JSU7tZx2aC", "https://xhslink.com/m/6JSU7tZx2aC")</f>
        <v>https://xhslink.com/m/6JSU7tZx2aC</v>
      </c>
      <c r="D816"/>
      <c r="E816">
        <v>32000</v>
      </c>
      <c r="F816">
        <v>278</v>
      </c>
      <c r="G816">
        <v>228</v>
      </c>
      <c r="H816">
        <v>400</v>
      </c>
      <c r="I816" t="inlineStr">
        <is>
          <t>休闲鞋</t>
        </is>
      </c>
      <c r="J816" t="inlineStr">
        <is>
          <t>0.01</t>
        </is>
      </c>
      <c r="K816"/>
      <c r="L816" t="inlineStr">
        <is>
          <t>派莱丽的店</t>
        </is>
      </c>
      <c r="M816">
        <v>1387000</v>
      </c>
      <c r="N816">
        <v>4.46</v>
      </c>
      <c r="O816">
        <v>354000</v>
      </c>
      <c r="P816" t="inlineStr">
        <is>
          <t>699a982606f9da0001742007</t>
        </is>
      </c>
      <c r="Q816" t="inlineStr">
        <is>
          <t>🚫重复</t>
        </is>
      </c>
      <c r="R816" t="inlineStr">
        <is>
          <t>14周</t>
        </is>
      </c>
      <c r="S816" t="inlineStr">
        <is>
          <t>0.02</t>
        </is>
      </c>
      <c r="T816" t="inlineStr">
        <is>
          <t>服饰穿搭</t>
        </is>
      </c>
      <c r="U816" t="inlineStr">
        <is>
          <t>鞋靴箱包</t>
        </is>
      </c>
      <c r="V816" s="3">
        <v>46116.835335648146</v>
      </c>
      <c r="W816" t="inlineStr">
        <is>
          <t>2026-Q2</t>
        </is>
      </c>
    </row>
    <row r="817" ht="25.5" customHeight="1">
      <c r="A817" t="inlineStr">
        <is>
          <t>周三的情书 天气：小雨 · 手工厚切吐司面包奶香手撕吐司营养早餐糕点代餐零食品整箱即食</t>
        </is>
      </c>
      <c r="B817" t="inlineStr">
        <is>
          <t>recvfP5nJfhAHu.jpg</t>
        </is>
      </c>
      <c r="C817" s="2" t="str">
        <f>=HYPERLINK("https://xhslink.com/m/5FzlAWwg1Nq", "https://xhslink.com/m/5FzlAWwg1Nq")</f>
        <v>https://xhslink.com/m/5FzlAWwg1Nq</v>
      </c>
      <c r="D817"/>
      <c r="E817">
        <v>181000</v>
      </c>
      <c r="F817">
        <v>24.9</v>
      </c>
      <c r="G817">
        <v>13.9</v>
      </c>
      <c r="H817">
        <v>400</v>
      </c>
      <c r="I817" t="inlineStr">
        <is>
          <t>面包</t>
        </is>
      </c>
      <c r="J817" t="inlineStr">
        <is>
          <t>0.00</t>
        </is>
      </c>
      <c r="K817" t="inlineStr">
        <is>
          <t>🔥低粉爆款</t>
        </is>
      </c>
      <c r="L817" t="inlineStr">
        <is>
          <t>周三的情书 天气：小雨旗舰店</t>
        </is>
      </c>
      <c r="M817">
        <v>27000</v>
      </c>
      <c r="N817">
        <v>3.9</v>
      </c>
      <c r="O817">
        <v>428000</v>
      </c>
      <c r="P817" t="inlineStr">
        <is>
          <t>66cf0b43912c5400015b5eb7</t>
        </is>
      </c>
      <c r="Q817" t="inlineStr">
        <is>
          <t>🚫重复</t>
        </is>
      </c>
      <c r="R817" t="inlineStr">
        <is>
          <t>14周</t>
        </is>
      </c>
      <c r="S817" t="inlineStr">
        <is>
          <t>6.70</t>
        </is>
      </c>
      <c r="T817" t="inlineStr">
        <is>
          <t>美食滋补</t>
        </is>
      </c>
      <c r="U817" t="inlineStr">
        <is>
          <t>休闲零食</t>
        </is>
      </c>
      <c r="V817" s="3">
        <v>46116.835335648146</v>
      </c>
      <c r="W817" t="inlineStr">
        <is>
          <t>2026-Q2</t>
        </is>
      </c>
    </row>
    <row r="818" ht="25.5" customHeight="1">
      <c r="A818" t="inlineStr">
        <is>
          <t>醋酸缎面鱼尾半身裙2026春季新款气质简约垂感显瘦包臀a字裙子</t>
        </is>
      </c>
      <c r="B818" t="inlineStr">
        <is>
          <t>recvfP5nJfjc8w.jpg</t>
        </is>
      </c>
      <c r="C818" s="2" t="str">
        <f>=HYPERLINK("https://xhslink.com/m/6D4RqedwGoR", "https://xhslink.com/m/6D4RqedwGoR")</f>
        <v>https://xhslink.com/m/6D4RqedwGoR</v>
      </c>
      <c r="D818"/>
      <c r="E818">
        <v>37000</v>
      </c>
      <c r="F818">
        <v>69.9</v>
      </c>
      <c r="G818"/>
      <c r="H818">
        <v>400</v>
      </c>
      <c r="I818" t="inlineStr">
        <is>
          <t>长裙</t>
        </is>
      </c>
      <c r="J818" t="inlineStr">
        <is>
          <t>0.01</t>
        </is>
      </c>
      <c r="K818" t="inlineStr">
        <is>
          <t>🔥低粉爆款</t>
        </is>
      </c>
      <c r="L818" t="inlineStr">
        <is>
          <t>Goobobo Studio的店</t>
        </is>
      </c>
      <c r="M818">
        <v>818</v>
      </c>
      <c r="N818">
        <v>4.67</v>
      </c>
      <c r="O818">
        <v>39000</v>
      </c>
      <c r="P818" t="inlineStr">
        <is>
          <t>67dd167a2af7ec001575c5c0</t>
        </is>
      </c>
      <c r="Q818"/>
      <c r="R818" t="inlineStr">
        <is>
          <t>14周</t>
        </is>
      </c>
      <c r="S818" t="inlineStr">
        <is>
          <t>45.23</t>
        </is>
      </c>
      <c r="T818" t="inlineStr">
        <is>
          <t>服饰穿搭</t>
        </is>
      </c>
      <c r="U818" t="inlineStr">
        <is>
          <t>女装</t>
        </is>
      </c>
      <c r="V818" s="3">
        <v>46116.835335648146</v>
      </c>
      <c r="W818" t="inlineStr">
        <is>
          <t>2026-Q2</t>
        </is>
      </c>
    </row>
    <row r="819" ht="25.5" customHeight="1">
      <c r="A819" t="inlineStr">
        <is>
          <t>RPDCLaVie · 「切块吐司」便携多功能风琴手串戒指项链首饰包</t>
        </is>
      </c>
      <c r="B819" t="inlineStr">
        <is>
          <t>recvfP5nJfhJka.jpg</t>
        </is>
      </c>
      <c r="C819" s="2" t="str">
        <f>=HYPERLINK("https://xhslink.com/m/7gvPVERltA3", "https://xhslink.com/m/7gvPVERltA3")</f>
        <v>https://xhslink.com/m/7gvPVERltA3</v>
      </c>
      <c r="D819"/>
      <c r="E819">
        <v>3836</v>
      </c>
      <c r="F819">
        <v>169</v>
      </c>
      <c r="G819">
        <v>132.65</v>
      </c>
      <c r="H819">
        <v>400</v>
      </c>
      <c r="I819" t="inlineStr">
        <is>
          <t>厨房用品</t>
        </is>
      </c>
      <c r="J819" t="inlineStr">
        <is>
          <t>0.10</t>
        </is>
      </c>
      <c r="K819"/>
      <c r="L819" t="inlineStr">
        <is>
          <t>RPDCLaVie旗舰店</t>
        </is>
      </c>
      <c r="M819">
        <v>43000</v>
      </c>
      <c r="N819">
        <v>4.73</v>
      </c>
      <c r="O819">
        <v>59000</v>
      </c>
      <c r="P819" t="inlineStr">
        <is>
          <t>69719df39738780001be248d</t>
        </is>
      </c>
      <c r="Q819"/>
      <c r="R819" t="inlineStr">
        <is>
          <t>14周</t>
        </is>
      </c>
      <c r="S819" t="inlineStr">
        <is>
          <t>0.09</t>
        </is>
      </c>
      <c r="T819" t="inlineStr">
        <is>
          <t>服饰穿搭</t>
        </is>
      </c>
      <c r="U819" t="inlineStr">
        <is>
          <t>配饰</t>
        </is>
      </c>
      <c r="V819" s="3">
        <v>46116.835335648146</v>
      </c>
      <c r="W819" t="inlineStr">
        <is>
          <t>2026-Q2</t>
        </is>
      </c>
    </row>
    <row r="820" ht="25.5" customHeight="1">
      <c r="A820" t="inlineStr">
        <is>
          <t>【央ma推荐】侧柏叶乌斯曼手工洗发皂何首乌草本植萃防断控油清洁</t>
        </is>
      </c>
      <c r="B820" t="inlineStr">
        <is>
          <t>recvfVt9jWTm5y.jpg</t>
        </is>
      </c>
      <c r="C820" s="2" t="str">
        <f>=HYPERLINK("https://xhslink.com/m/5msBt3T8Ex2", "https://xhslink.com/m/5msBt3T8Ex2")</f>
        <v>https://xhslink.com/m/5msBt3T8Ex2</v>
      </c>
      <c r="D820"/>
      <c r="E820">
        <v>16000</v>
      </c>
      <c r="F820">
        <v>39.9</v>
      </c>
      <c r="G820">
        <v>25.9</v>
      </c>
      <c r="H820">
        <v>400</v>
      </c>
      <c r="I820" t="inlineStr">
        <is>
          <t>美发养发</t>
        </is>
      </c>
      <c r="J820" t="inlineStr">
        <is>
          <t>0.03</t>
        </is>
      </c>
      <c r="K820" t="inlineStr">
        <is>
          <t>🔥低粉爆款</t>
        </is>
      </c>
      <c r="L820" t="inlineStr">
        <is>
          <t>觅柚呦的店</t>
        </is>
      </c>
      <c r="M820">
        <v>2925</v>
      </c>
      <c r="N820">
        <v>4.55</v>
      </c>
      <c r="O820">
        <v>20000</v>
      </c>
      <c r="P820" t="inlineStr">
        <is>
          <t>694f43d7b8f0bb0001b31c04</t>
        </is>
      </c>
      <c r="Q820"/>
      <c r="R820" t="inlineStr">
        <is>
          <t>14周</t>
        </is>
      </c>
      <c r="S820" t="inlineStr">
        <is>
          <t>5.47</t>
        </is>
      </c>
      <c r="T820" t="inlineStr">
        <is>
          <t>美妆个护</t>
        </is>
      </c>
      <c r="U820" t="inlineStr">
        <is>
          <t>个人护理</t>
        </is>
      </c>
      <c r="V820" s="3">
        <v>46117.927083333336</v>
      </c>
      <c r="W820" t="inlineStr">
        <is>
          <t>2026-Q2</t>
        </is>
      </c>
    </row>
    <row r="821" ht="25.5" customHeight="1">
      <c r="A821" t="inlineStr">
        <is>
          <t>低腰不贴腿百搭喇叭裤拖地牛仔裤女美式辣妹阔腿裤</t>
        </is>
      </c>
      <c r="B821" t="inlineStr">
        <is>
          <t>recvfVt9jWXJ2o.jpg</t>
        </is>
      </c>
      <c r="C821" s="2" t="str">
        <f>=HYPERLINK("https://xhslink.com/m/7QBdiOWI1H7", "https://xhslink.com/m/7QBdiOWI1H7")</f>
        <v>https://xhslink.com/m/7QBdiOWI1H7</v>
      </c>
      <c r="D821"/>
      <c r="E821">
        <v>137000</v>
      </c>
      <c r="F821">
        <v>95</v>
      </c>
      <c r="G821">
        <v>79</v>
      </c>
      <c r="H821">
        <v>400</v>
      </c>
      <c r="I821" t="inlineStr">
        <is>
          <t>裤子</t>
        </is>
      </c>
      <c r="J821" t="inlineStr">
        <is>
          <t>0.00</t>
        </is>
      </c>
      <c r="K821"/>
      <c r="L821" t="inlineStr">
        <is>
          <t>OKOKOK的店</t>
        </is>
      </c>
      <c r="M821">
        <v>234000</v>
      </c>
      <c r="N821">
        <v>4.51</v>
      </c>
      <c r="O821">
        <v>1134000</v>
      </c>
      <c r="P821" t="inlineStr">
        <is>
          <t>67b74b7dfb9622000175d2e4</t>
        </is>
      </c>
      <c r="Q821" t="inlineStr">
        <is>
          <t>🚫重复</t>
        </is>
      </c>
      <c r="R821" t="inlineStr">
        <is>
          <t>14周</t>
        </is>
      </c>
      <c r="S821" t="inlineStr">
        <is>
          <t>0.59</t>
        </is>
      </c>
      <c r="T821" t="inlineStr">
        <is>
          <t>服饰穿搭</t>
        </is>
      </c>
      <c r="U821" t="inlineStr">
        <is>
          <t>女装</t>
        </is>
      </c>
      <c r="V821" s="3">
        <v>46117.927083333336</v>
      </c>
      <c r="W821" t="inlineStr">
        <is>
          <t>2026-Q2</t>
        </is>
      </c>
    </row>
    <row r="822" ht="25.5" customHeight="1">
      <c r="A822" t="inlineStr">
        <is>
          <t>灰色阔腿牛仔工装裤女2026春季新款高腰休闲宽松显瘦垂感直筒裤子</t>
        </is>
      </c>
      <c r="B822" t="inlineStr">
        <is>
          <t>recvfVt9jWLNSA.jpg</t>
        </is>
      </c>
      <c r="C822" s="2" t="str">
        <f>=HYPERLINK("https://xhslink.com/m/2YcFx68Tt4m", "https://xhslink.com/m/2YcFx68Tt4m")</f>
        <v>https://xhslink.com/m/2YcFx68Tt4m</v>
      </c>
      <c r="D822"/>
      <c r="E822">
        <v>6866</v>
      </c>
      <c r="F822">
        <v>129</v>
      </c>
      <c r="G822">
        <v>89.9</v>
      </c>
      <c r="H822">
        <v>400</v>
      </c>
      <c r="I822" t="inlineStr">
        <is>
          <t>裤子</t>
        </is>
      </c>
      <c r="J822" t="inlineStr">
        <is>
          <t>0.06</t>
        </is>
      </c>
      <c r="K822"/>
      <c r="L822" t="inlineStr">
        <is>
          <t>XUYI叙衣的店</t>
        </is>
      </c>
      <c r="M822">
        <v>7059</v>
      </c>
      <c r="N822">
        <v>4.6</v>
      </c>
      <c r="O822">
        <v>38000</v>
      </c>
      <c r="P822" t="inlineStr">
        <is>
          <t>698debde2080aa0001373f78</t>
        </is>
      </c>
      <c r="Q822" t="inlineStr">
        <is>
          <t>🚫重复</t>
        </is>
      </c>
      <c r="R822" t="inlineStr">
        <is>
          <t>14周</t>
        </is>
      </c>
      <c r="S822" t="inlineStr">
        <is>
          <t>0.97</t>
        </is>
      </c>
      <c r="T822" t="inlineStr">
        <is>
          <t>服饰穿搭</t>
        </is>
      </c>
      <c r="U822" t="inlineStr">
        <is>
          <t>女装</t>
        </is>
      </c>
      <c r="V822" s="3">
        <v>46117.927083333336</v>
      </c>
      <c r="W822" t="inlineStr">
        <is>
          <t>2026-Q2</t>
        </is>
      </c>
    </row>
    <row r="823" ht="25.5" customHeight="1">
      <c r="A823" t="inlineStr">
        <is>
          <t>【前5000单立减26】复古天丝轻薄牛仔裤女高腰垂感直筒裤宽松休闲</t>
        </is>
      </c>
      <c r="B823" t="inlineStr">
        <is>
          <t>recvfVt9jWypsO.jpg</t>
        </is>
      </c>
      <c r="C823" s="2" t="str">
        <f>=HYPERLINK("https://xhslink.com/m/4TmVxuPaw0E", "https://xhslink.com/m/4TmVxuPaw0E")</f>
        <v>https://xhslink.com/m/4TmVxuPaw0E</v>
      </c>
      <c r="D823"/>
      <c r="E823">
        <v>5426</v>
      </c>
      <c r="F823">
        <v>95</v>
      </c>
      <c r="G823">
        <v>69.5</v>
      </c>
      <c r="H823">
        <v>400</v>
      </c>
      <c r="I823" t="inlineStr">
        <is>
          <t>裤子</t>
        </is>
      </c>
      <c r="J823" t="inlineStr">
        <is>
          <t>0.07</t>
        </is>
      </c>
      <c r="K823" t="inlineStr">
        <is>
          <t>🔥低粉爆款</t>
        </is>
      </c>
      <c r="L823" t="inlineStr">
        <is>
          <t>财财实拍工作室的店</t>
        </is>
      </c>
      <c r="M823">
        <v>846</v>
      </c>
      <c r="N823">
        <v>4.57</v>
      </c>
      <c r="O823">
        <v>15000</v>
      </c>
      <c r="P823" t="inlineStr">
        <is>
          <t>683eea67da805a001566d025</t>
        </is>
      </c>
      <c r="Q823" t="inlineStr">
        <is>
          <t>🚫重复</t>
        </is>
      </c>
      <c r="R823" t="inlineStr">
        <is>
          <t>14周</t>
        </is>
      </c>
      <c r="S823" t="inlineStr">
        <is>
          <t>6.41</t>
        </is>
      </c>
      <c r="T823" t="inlineStr">
        <is>
          <t>服饰穿搭</t>
        </is>
      </c>
      <c r="U823" t="inlineStr">
        <is>
          <t>女装</t>
        </is>
      </c>
      <c r="V823" s="3">
        <v>46117.927083333336</v>
      </c>
      <c r="W823" t="inlineStr">
        <is>
          <t>2026-Q2</t>
        </is>
      </c>
    </row>
    <row r="824" ht="25.5" customHeight="1">
      <c r="A824" t="inlineStr">
        <is>
          <t>白色直筒牛仔裤女夏季2026多色新款高腰宽松阔腿显瘦慵懒拖地裤子</t>
        </is>
      </c>
      <c r="B824" t="inlineStr">
        <is>
          <t>recvfVt9jWFiaV.jpg</t>
        </is>
      </c>
      <c r="C824" s="2" t="str">
        <f>=HYPERLINK("https://xhslink.com/m/4aLYJ11pdqO", "https://xhslink.com/m/4aLYJ11pdqO")</f>
        <v>https://xhslink.com/m/4aLYJ11pdqO</v>
      </c>
      <c r="D824"/>
      <c r="E824">
        <v>21000</v>
      </c>
      <c r="F824">
        <v>109</v>
      </c>
      <c r="G824">
        <v>78</v>
      </c>
      <c r="H824">
        <v>400</v>
      </c>
      <c r="I824" t="inlineStr">
        <is>
          <t>裤子</t>
        </is>
      </c>
      <c r="J824" t="inlineStr">
        <is>
          <t>0.02</t>
        </is>
      </c>
      <c r="K824"/>
      <c r="L824" t="inlineStr">
        <is>
          <t>圈圈不转圈⭕的店</t>
        </is>
      </c>
      <c r="M824">
        <v>33000</v>
      </c>
      <c r="N824">
        <v>4.46</v>
      </c>
      <c r="O824">
        <v>247000</v>
      </c>
      <c r="P824" t="inlineStr">
        <is>
          <t>67d06c8501442700019c9428</t>
        </is>
      </c>
      <c r="Q824" t="inlineStr">
        <is>
          <t>🚫重复</t>
        </is>
      </c>
      <c r="R824" t="inlineStr">
        <is>
          <t>14周</t>
        </is>
      </c>
      <c r="S824" t="inlineStr">
        <is>
          <t>0.64</t>
        </is>
      </c>
      <c r="T824" t="inlineStr">
        <is>
          <t>服饰穿搭</t>
        </is>
      </c>
      <c r="U824" t="inlineStr">
        <is>
          <t>女装</t>
        </is>
      </c>
      <c r="V824" s="3">
        <v>46117.927083333336</v>
      </c>
      <c r="W824" t="inlineStr">
        <is>
          <t>2026-Q2</t>
        </is>
      </c>
    </row>
    <row r="825" ht="25.5" customHeight="1">
      <c r="A825" t="inlineStr">
        <is>
          <t>阿搭 · 复古水洗蓝牛仔裤春夏季美式高街低腰宽松直筒拖地裤长裤</t>
        </is>
      </c>
      <c r="B825" t="inlineStr">
        <is>
          <t>recvfVt9jWQNih.jpg</t>
        </is>
      </c>
      <c r="C825" s="2" t="str">
        <f>=HYPERLINK("https://xhslink.com/m/74OfPq1kTAP", "https://xhslink.com/m/74OfPq1kTAP")</f>
        <v>https://xhslink.com/m/74OfPq1kTAP</v>
      </c>
      <c r="D825"/>
      <c r="E825">
        <v>27000</v>
      </c>
      <c r="F825">
        <v>110</v>
      </c>
      <c r="G825">
        <v>99</v>
      </c>
      <c r="H825">
        <v>400</v>
      </c>
      <c r="I825" t="inlineStr">
        <is>
          <t>裤子</t>
        </is>
      </c>
      <c r="J825" t="inlineStr">
        <is>
          <t>0.01</t>
        </is>
      </c>
      <c r="K825" t="inlineStr">
        <is>
          <t>🔥低粉爆款</t>
        </is>
      </c>
      <c r="L825" t="inlineStr">
        <is>
          <t>阿搭阿搭的店</t>
        </is>
      </c>
      <c r="M825">
        <v>4672</v>
      </c>
      <c r="N825">
        <v>4.56</v>
      </c>
      <c r="O825">
        <v>34000</v>
      </c>
      <c r="P825" t="inlineStr">
        <is>
          <t>6867e664a57c68000175743d</t>
        </is>
      </c>
      <c r="Q825" t="inlineStr">
        <is>
          <t>🚫重复</t>
        </is>
      </c>
      <c r="R825" t="inlineStr">
        <is>
          <t>14周</t>
        </is>
      </c>
      <c r="S825" t="inlineStr">
        <is>
          <t>5.78</t>
        </is>
      </c>
      <c r="T825" t="inlineStr">
        <is>
          <t>服饰穿搭</t>
        </is>
      </c>
      <c r="U825" t="inlineStr">
        <is>
          <t>女装</t>
        </is>
      </c>
      <c r="V825" s="3">
        <v>46117.927083333336</v>
      </c>
      <c r="W825" t="inlineStr">
        <is>
          <t>2026-Q2</t>
        </is>
      </c>
    </row>
    <row r="826" ht="25.5" customHeight="1">
      <c r="A826" t="inlineStr">
        <is>
          <t>贪心小猫系列玩偶拓展扣包包挂饰钥匙扣可爱挂件展示扣</t>
        </is>
      </c>
      <c r="B826" t="inlineStr">
        <is>
          <t>recvfVt9jWMVG3.jpg</t>
        </is>
      </c>
      <c r="C826" s="2" t="str">
        <f>=HYPERLINK("https://xhslink.com/m/2Thakjs2z3j", "https://xhslink.com/m/2Thakjs2z3j")</f>
        <v>https://xhslink.com/m/2Thakjs2z3j</v>
      </c>
      <c r="D826"/>
      <c r="E826">
        <v>1548</v>
      </c>
      <c r="F826">
        <v>31.9</v>
      </c>
      <c r="G826">
        <v>29.9</v>
      </c>
      <c r="H826">
        <v>400</v>
      </c>
      <c r="I826" t="inlineStr">
        <is>
          <t>挂件公仔</t>
        </is>
      </c>
      <c r="J826" t="inlineStr">
        <is>
          <t>0.26</t>
        </is>
      </c>
      <c r="K826"/>
      <c r="L826" t="inlineStr">
        <is>
          <t>Tou透的店</t>
        </is>
      </c>
      <c r="M826">
        <v>9491</v>
      </c>
      <c r="N826">
        <v>4.5</v>
      </c>
      <c r="O826">
        <v>3754</v>
      </c>
      <c r="P826" t="inlineStr">
        <is>
          <t>69c73080c675dc0001ac34f9</t>
        </is>
      </c>
      <c r="Q826" t="inlineStr">
        <is>
          <t>🚫重复</t>
        </is>
      </c>
      <c r="R826" t="inlineStr">
        <is>
          <t>14周</t>
        </is>
      </c>
      <c r="S826" t="inlineStr">
        <is>
          <t>0.16</t>
        </is>
      </c>
      <c r="T826" t="inlineStr">
        <is>
          <t>服饰穿搭</t>
        </is>
      </c>
      <c r="U826" t="inlineStr">
        <is>
          <t>鞋靴箱包</t>
        </is>
      </c>
      <c r="V826" s="3">
        <v>46117.927083333336</v>
      </c>
      <c r="W826" t="inlineStr">
        <is>
          <t>2026-Q2</t>
        </is>
      </c>
    </row>
    <row r="827" ht="25.5" customHeight="1">
      <c r="A827" t="inlineStr">
        <is>
          <t>yoyo推荐运动内衣外穿健身背心一体式固定杯女系带挂脖瑜伽内衣</t>
        </is>
      </c>
      <c r="B827" t="inlineStr">
        <is>
          <t>recvfVt9jW5Cky.jpg</t>
        </is>
      </c>
      <c r="C827" s="2" t="str">
        <f>=HYPERLINK("https://xhslink.com/m/1gaKdP9cOty", "https://xhslink.com/m/1gaKdP9cOty")</f>
        <v>https://xhslink.com/m/1gaKdP9cOty</v>
      </c>
      <c r="D827"/>
      <c r="E827">
        <v>2201</v>
      </c>
      <c r="F827">
        <v>79.9</v>
      </c>
      <c r="G827">
        <v>70.31</v>
      </c>
      <c r="H827">
        <v>400</v>
      </c>
      <c r="I827" t="inlineStr">
        <is>
          <t>运动内衣</t>
        </is>
      </c>
      <c r="J827" t="inlineStr">
        <is>
          <t>0.18</t>
        </is>
      </c>
      <c r="K827"/>
      <c r="L827" t="inlineStr">
        <is>
          <t>yoyo推荐的店</t>
        </is>
      </c>
      <c r="M827">
        <v>103000</v>
      </c>
      <c r="N827">
        <v>4.65</v>
      </c>
      <c r="O827">
        <v>320000</v>
      </c>
      <c r="P827" t="inlineStr">
        <is>
          <t>6870dffa75ae0c00019466d8</t>
        </is>
      </c>
      <c r="Q827" t="inlineStr">
        <is>
          <t>🚫重复</t>
        </is>
      </c>
      <c r="R827" t="inlineStr">
        <is>
          <t>14周</t>
        </is>
      </c>
      <c r="S827" t="inlineStr">
        <is>
          <t>0.02</t>
        </is>
      </c>
      <c r="T827" t="inlineStr">
        <is>
          <t>运动潮玩</t>
        </is>
      </c>
      <c r="U827" t="inlineStr">
        <is>
          <t>运动户外装备</t>
        </is>
      </c>
      <c r="V827" s="3">
        <v>46117.927083333336</v>
      </c>
      <c r="W827" t="inlineStr">
        <is>
          <t>2026-Q2</t>
        </is>
      </c>
    </row>
    <row r="828" ht="25.5" customHeight="1">
      <c r="A828" t="inlineStr">
        <is>
          <t>万向轮出差登机包大容量旅行包可扩容购物袋行李包折叠学生衣服包</t>
        </is>
      </c>
      <c r="B828" t="inlineStr">
        <is>
          <t>recvfVt9jWrECr.jpg</t>
        </is>
      </c>
      <c r="C828" s="2" t="str">
        <f>=HYPERLINK("https://xhslink.com/m/GP4nsQ7yjC", "https://xhslink.com/m/GP4nsQ7yjC")</f>
        <v>https://xhslink.com/m/GP4nsQ7yjC</v>
      </c>
      <c r="D828"/>
      <c r="E828">
        <v>21000</v>
      </c>
      <c r="F828">
        <v>37.9</v>
      </c>
      <c r="G828"/>
      <c r="H828">
        <v>400</v>
      </c>
      <c r="I828" t="inlineStr">
        <is>
          <t>运动</t>
        </is>
      </c>
      <c r="J828" t="inlineStr">
        <is>
          <t>0.02</t>
        </is>
      </c>
      <c r="K828" t="inlineStr">
        <is>
          <t>🔥低粉爆款</t>
        </is>
      </c>
      <c r="L828" t="inlineStr">
        <is>
          <t>途乐旅游箱包店的店</t>
        </is>
      </c>
      <c r="M828">
        <v>1066</v>
      </c>
      <c r="N828">
        <v>4.7</v>
      </c>
      <c r="O828">
        <v>23000</v>
      </c>
      <c r="P828" t="inlineStr">
        <is>
          <t>684f623ec200860001d4816e</t>
        </is>
      </c>
      <c r="Q828" t="inlineStr">
        <is>
          <t>🚫重复</t>
        </is>
      </c>
      <c r="R828" t="inlineStr">
        <is>
          <t>14周</t>
        </is>
      </c>
      <c r="S828" t="inlineStr">
        <is>
          <t>19.70</t>
        </is>
      </c>
      <c r="T828" t="inlineStr">
        <is>
          <t>运动潮玩</t>
        </is>
      </c>
      <c r="U828" t="inlineStr">
        <is>
          <t>旅行出行</t>
        </is>
      </c>
      <c r="V828" s="3">
        <v>46117.927083333336</v>
      </c>
      <c r="W828" t="inlineStr">
        <is>
          <t>2026-Q2</t>
        </is>
      </c>
    </row>
    <row r="829" ht="25.5" customHeight="1">
      <c r="A829" t="inlineStr">
        <is>
          <t>三只松鼠 · 【到手28包】减脂期每日轻食组合7日装蜻蜓教练鸡腿肉好吃轻负担</t>
        </is>
      </c>
      <c r="B829" t="inlineStr">
        <is>
          <t>recvfVt9jWUBqj.jpg</t>
        </is>
      </c>
      <c r="C829" s="2" t="str">
        <f>=HYPERLINK("https://xhslink.com/m/80VvaDvTZoS", "https://xhslink.com/m/80VvaDvTZoS")</f>
        <v>https://xhslink.com/m/80VvaDvTZoS</v>
      </c>
      <c r="D829"/>
      <c r="E829">
        <v>3867</v>
      </c>
      <c r="F829">
        <v>29.9</v>
      </c>
      <c r="G829">
        <v>19.9</v>
      </c>
      <c r="H829">
        <v>400</v>
      </c>
      <c r="I829" t="inlineStr">
        <is>
          <t>低卡食物</t>
        </is>
      </c>
      <c r="J829" t="inlineStr">
        <is>
          <t>0.10</t>
        </is>
      </c>
      <c r="K829"/>
      <c r="L829" t="inlineStr">
        <is>
          <t>嬛嬛的低卡轻食日记的店</t>
        </is>
      </c>
      <c r="M829">
        <v>7516</v>
      </c>
      <c r="N829">
        <v>4.57</v>
      </c>
      <c r="O829">
        <v>270000</v>
      </c>
      <c r="P829" t="inlineStr">
        <is>
          <t>69a103e6fb672a001584200e</t>
        </is>
      </c>
      <c r="Q829" t="inlineStr">
        <is>
          <t>🚫重复</t>
        </is>
      </c>
      <c r="R829" t="inlineStr">
        <is>
          <t>14周</t>
        </is>
      </c>
      <c r="S829" t="inlineStr">
        <is>
          <t>0.51</t>
        </is>
      </c>
      <c r="T829" t="inlineStr">
        <is>
          <t>美食滋补</t>
        </is>
      </c>
      <c r="U829" t="inlineStr">
        <is>
          <t>休闲零食</t>
        </is>
      </c>
      <c r="V829" s="3">
        <v>46117.927083333336</v>
      </c>
      <c r="W829" t="inlineStr">
        <is>
          <t>2026-Q2</t>
        </is>
      </c>
    </row>
    <row r="830" ht="25.5" customHeight="1">
      <c r="A830" t="inlineStr">
        <is>
          <t>【小猪咪】原创治愈系桌面解压柔软好rua礼物斑点可爱猪咪</t>
        </is>
      </c>
      <c r="B830" t="inlineStr">
        <is>
          <t>recvfVt9jWKAV5.jpg</t>
        </is>
      </c>
      <c r="C830" s="2" t="str">
        <f>=HYPERLINK("https://xhslink.com/m/77o3En44ICJ", "https://xhslink.com/m/77o3En44ICJ")</f>
        <v>https://xhslink.com/m/77o3En44ICJ</v>
      </c>
      <c r="D830"/>
      <c r="E830">
        <v>4907</v>
      </c>
      <c r="F830">
        <v>33.9</v>
      </c>
      <c r="G830"/>
      <c r="H830">
        <v>400</v>
      </c>
      <c r="I830" t="inlineStr">
        <is>
          <t>小玩偶</t>
        </is>
      </c>
      <c r="J830" t="inlineStr">
        <is>
          <t>0.08</t>
        </is>
      </c>
      <c r="K830"/>
      <c r="L830" t="inlineStr">
        <is>
          <t>辛安小角落的店</t>
        </is>
      </c>
      <c r="M830">
        <v>125000</v>
      </c>
      <c r="N830">
        <v>4.57</v>
      </c>
      <c r="O830">
        <v>141000</v>
      </c>
      <c r="P830" t="inlineStr">
        <is>
          <t>697c6470d5afea00012c0780</t>
        </is>
      </c>
      <c r="Q830" t="inlineStr">
        <is>
          <t>🚫重复</t>
        </is>
      </c>
      <c r="R830" t="inlineStr">
        <is>
          <t>14周</t>
        </is>
      </c>
      <c r="S830" t="inlineStr">
        <is>
          <t>0.04</t>
        </is>
      </c>
      <c r="T830" t="inlineStr">
        <is>
          <t>母婴亲子</t>
        </is>
      </c>
      <c r="U830" t="inlineStr">
        <is>
          <t>玩具早教</t>
        </is>
      </c>
      <c r="V830" s="3">
        <v>46117.927083333336</v>
      </c>
      <c r="W830" t="inlineStr">
        <is>
          <t>2026-Q2</t>
        </is>
      </c>
    </row>
    <row r="831" ht="25.5" customHeight="1">
      <c r="A831" t="inlineStr">
        <is>
          <t>收腰正肩v领抽褶短袖t恤女春夏显瘦短款韩系上衣</t>
        </is>
      </c>
      <c r="B831" t="inlineStr">
        <is>
          <t>recvg1BDH5c87e.jpg</t>
        </is>
      </c>
      <c r="C831" s="2" t="str">
        <f>=HYPERLINK("https://xhslink.com/m/3Za63Wi94fu", "https://xhslink.com/m/3Za63Wi94fu")</f>
        <v>https://xhslink.com/m/3Za63Wi94fu</v>
      </c>
      <c r="D831"/>
      <c r="E831">
        <v>1835</v>
      </c>
      <c r="F831">
        <v>69.9</v>
      </c>
      <c r="G831">
        <v>38.9</v>
      </c>
      <c r="H831">
        <v>400</v>
      </c>
      <c r="I831" t="inlineStr">
        <is>
          <t>T恤</t>
        </is>
      </c>
      <c r="J831" t="inlineStr">
        <is>
          <t>0.22</t>
        </is>
      </c>
      <c r="K831"/>
      <c r="L831" t="inlineStr">
        <is>
          <t>远鸟🌙的店</t>
        </is>
      </c>
      <c r="M831">
        <v>1400</v>
      </c>
      <c r="N831">
        <v>4.64</v>
      </c>
      <c r="O831">
        <v>33000</v>
      </c>
      <c r="P831" t="inlineStr">
        <is>
          <t>69b04e64771a670001aff840</t>
        </is>
      </c>
      <c r="Q831" t="inlineStr">
        <is>
          <t>🚫重复</t>
        </is>
      </c>
      <c r="R831" t="inlineStr">
        <is>
          <t>15周</t>
        </is>
      </c>
      <c r="S831" t="inlineStr">
        <is>
          <t>1.31</t>
        </is>
      </c>
      <c r="T831" t="inlineStr">
        <is>
          <t>服饰穿搭</t>
        </is>
      </c>
      <c r="U831" t="inlineStr">
        <is>
          <t>女装</t>
        </is>
      </c>
      <c r="V831" s="3">
        <v>46118.97659722222</v>
      </c>
      <c r="W831" t="inlineStr">
        <is>
          <t>2026-Q2</t>
        </is>
      </c>
    </row>
    <row r="832" ht="25.5" customHeight="1">
      <c r="A832" t="inlineStr">
        <is>
          <t>家用小哑铃女士健身器材男女通用练手臂力量哑铃套装</t>
        </is>
      </c>
      <c r="B832" t="inlineStr">
        <is>
          <t>recvg1BDH5s8JT.jpg</t>
        </is>
      </c>
      <c r="C832" s="2" t="str">
        <f>=HYPERLINK("https://xhslink.com/m/19vS6PJaxRQ", "https://xhslink.com/m/19vS6PJaxRQ")</f>
        <v>https://xhslink.com/m/19vS6PJaxRQ</v>
      </c>
      <c r="D832"/>
      <c r="E832">
        <v>14000</v>
      </c>
      <c r="F832">
        <v>34.9</v>
      </c>
      <c r="G832">
        <v>29.9</v>
      </c>
      <c r="H832">
        <v>400</v>
      </c>
      <c r="I832" t="inlineStr">
        <is>
          <t>健身</t>
        </is>
      </c>
      <c r="J832" t="inlineStr">
        <is>
          <t>0.03</t>
        </is>
      </c>
      <c r="K832" t="inlineStr">
        <is>
          <t>🔥低粉爆款</t>
        </is>
      </c>
      <c r="L832" t="inlineStr">
        <is>
          <t>努力瘦瘦瘦的店</t>
        </is>
      </c>
      <c r="M832">
        <v>1638</v>
      </c>
      <c r="N832">
        <v>4.41</v>
      </c>
      <c r="O832">
        <v>15000</v>
      </c>
      <c r="P832" t="inlineStr">
        <is>
          <t>6950f8f09b2f2f00158c5b89</t>
        </is>
      </c>
      <c r="Q832"/>
      <c r="R832" t="inlineStr">
        <is>
          <t>15周</t>
        </is>
      </c>
      <c r="S832" t="inlineStr">
        <is>
          <t>8.55</t>
        </is>
      </c>
      <c r="T832" t="inlineStr">
        <is>
          <t>运动潮玩</t>
        </is>
      </c>
      <c r="U832" t="inlineStr">
        <is>
          <t>运动户外装备</t>
        </is>
      </c>
      <c r="V832" s="3">
        <v>46118.97659722222</v>
      </c>
      <c r="W832" t="inlineStr">
        <is>
          <t>2026-Q2</t>
        </is>
      </c>
    </row>
    <row r="833" ht="25.5" customHeight="1">
      <c r="A833" t="inlineStr">
        <is>
          <t>最后100单特惠！正版原创可爱花枝鼠老鼠毛绒玩具玩偶</t>
        </is>
      </c>
      <c r="B833" t="inlineStr">
        <is>
          <t>recvg1BDH5w4Z0.jpg</t>
        </is>
      </c>
      <c r="C833" s="2" t="str">
        <f>=HYPERLINK("https://xhslink.com/m/7wiq2juDoM1", "https://xhslink.com/m/7wiq2juDoM1")</f>
        <v>https://xhslink.com/m/7wiq2juDoM1</v>
      </c>
      <c r="D833"/>
      <c r="E833">
        <v>1057</v>
      </c>
      <c r="F833">
        <v>49.9</v>
      </c>
      <c r="G833">
        <v>29.9</v>
      </c>
      <c r="H833">
        <v>400</v>
      </c>
      <c r="I833" t="inlineStr">
        <is>
          <t>挂件</t>
        </is>
      </c>
      <c r="J833" t="inlineStr">
        <is>
          <t>0.38</t>
        </is>
      </c>
      <c r="K833"/>
      <c r="L833" t="inlineStr">
        <is>
          <t>西西酱玩偶的店</t>
        </is>
      </c>
      <c r="M833">
        <v>645</v>
      </c>
      <c r="N833">
        <v>4.65</v>
      </c>
      <c r="O833">
        <v>1023</v>
      </c>
      <c r="P833" t="inlineStr">
        <is>
          <t>69c1112a15bd7400019c610a</t>
        </is>
      </c>
      <c r="Q833" t="inlineStr">
        <is>
          <t>🚫重复</t>
        </is>
      </c>
      <c r="R833" t="inlineStr">
        <is>
          <t>15周</t>
        </is>
      </c>
      <c r="S833" t="inlineStr">
        <is>
          <t>1.64</t>
        </is>
      </c>
      <c r="T833" t="inlineStr">
        <is>
          <t>母婴亲子</t>
        </is>
      </c>
      <c r="U833" t="inlineStr">
        <is>
          <t>玩具早教</t>
        </is>
      </c>
      <c r="V833" s="3">
        <v>46118.97659722222</v>
      </c>
      <c r="W833" t="inlineStr">
        <is>
          <t>2026-Q2</t>
        </is>
      </c>
    </row>
    <row r="834" ht="25.5" customHeight="1">
      <c r="A834" t="inlineStr">
        <is>
          <t>自制纯色系列｜A类全棉双层纱｜长袖长裤套装甜妹圆领睡衣家居服</t>
        </is>
      </c>
      <c r="B834" t="inlineStr">
        <is>
          <t>recvg1BDH51w9x.jpg</t>
        </is>
      </c>
      <c r="C834" s="2" t="str">
        <f>=HYPERLINK("https://xhslink.com/m/1KpKx283ks4", "https://xhslink.com/m/1KpKx283ks4")</f>
        <v>https://xhslink.com/m/1KpKx283ks4</v>
      </c>
      <c r="D834"/>
      <c r="E834">
        <v>6466</v>
      </c>
      <c r="F834">
        <v>92.6</v>
      </c>
      <c r="G834">
        <v>72.6</v>
      </c>
      <c r="H834">
        <v>400</v>
      </c>
      <c r="I834" t="inlineStr">
        <is>
          <t>浴室用品</t>
        </is>
      </c>
      <c r="J834" t="inlineStr">
        <is>
          <t>0.06</t>
        </is>
      </c>
      <c r="K834"/>
      <c r="L834" t="inlineStr">
        <is>
          <t>Luna Na的店</t>
        </is>
      </c>
      <c r="M834">
        <v>29000</v>
      </c>
      <c r="N834">
        <v>4.69</v>
      </c>
      <c r="O834">
        <v>323000</v>
      </c>
      <c r="P834" t="inlineStr">
        <is>
          <t>688e21404daa71000135f6a7</t>
        </is>
      </c>
      <c r="Q834" t="inlineStr">
        <is>
          <t>🚫重复</t>
        </is>
      </c>
      <c r="R834" t="inlineStr">
        <is>
          <t>15周</t>
        </is>
      </c>
      <c r="S834" t="inlineStr">
        <is>
          <t>0.22</t>
        </is>
      </c>
      <c r="T834" t="inlineStr">
        <is>
          <t>服饰穿搭</t>
        </is>
      </c>
      <c r="U834" t="inlineStr">
        <is>
          <t>女装</t>
        </is>
      </c>
      <c r="V834" s="3">
        <v>46118.97659722222</v>
      </c>
      <c r="W834" t="inlineStr">
        <is>
          <t>2026-Q2</t>
        </is>
      </c>
    </row>
    <row r="835" ht="25.5" customHeight="1">
      <c r="A835" t="inlineStr">
        <is>
          <t>纯手工淡奶油纯奶小麦胚芽鸭蛋卷（绝无任何添加剂）</t>
        </is>
      </c>
      <c r="B835" t="inlineStr">
        <is>
          <t>recvg7vyEbvPiM.jpg</t>
        </is>
      </c>
      <c r="C835" s="2" t="str">
        <f>=HYPERLINK("https://xhslink.com/m/55DmfV971ir", "https://xhslink.com/m/55DmfV971ir")</f>
        <v>https://xhslink.com/m/55DmfV971ir</v>
      </c>
      <c r="D835"/>
      <c r="E835">
        <v>153000</v>
      </c>
      <c r="F835">
        <v>29.6</v>
      </c>
      <c r="G835"/>
      <c r="H835">
        <v>400</v>
      </c>
      <c r="I835" t="inlineStr">
        <is>
          <t>蟹黄</t>
        </is>
      </c>
      <c r="J835" t="inlineStr">
        <is>
          <t>0.00</t>
        </is>
      </c>
      <c r="K835" t="inlineStr">
        <is>
          <t>🔥低粉爆款</t>
        </is>
      </c>
      <c r="L835" t="inlineStr">
        <is>
          <t>栗子做蛋卷的店</t>
        </is>
      </c>
      <c r="M835">
        <v>14000</v>
      </c>
      <c r="N835">
        <v>4.79</v>
      </c>
      <c r="O835">
        <v>161000</v>
      </c>
      <c r="P835" t="inlineStr">
        <is>
          <t>68954dfe79bc4700016c8a94</t>
        </is>
      </c>
      <c r="Q835" t="inlineStr">
        <is>
          <t>🚫重复</t>
        </is>
      </c>
      <c r="R835" t="inlineStr">
        <is>
          <t>15周</t>
        </is>
      </c>
      <c r="S835" t="inlineStr">
        <is>
          <t>10.93</t>
        </is>
      </c>
      <c r="T835" t="inlineStr">
        <is>
          <t>美食滋补</t>
        </is>
      </c>
      <c r="U835" t="inlineStr">
        <is>
          <t>生鲜特产</t>
        </is>
      </c>
      <c r="V835" s="3">
        <v>46119.985972222225</v>
      </c>
      <c r="W835" t="inlineStr">
        <is>
          <t>2026-Q2</t>
        </is>
      </c>
    </row>
    <row r="836" ht="25.5" customHeight="1">
      <c r="A836" t="inlineStr">
        <is>
          <t>【超轻薄】速干透气户外防晒遮阳棒球帽女跑步健身鸭舌帽男帽子</t>
        </is>
      </c>
      <c r="B836" t="inlineStr">
        <is>
          <t>recvg7vyEbeWdL.jpg</t>
        </is>
      </c>
      <c r="C836" s="2" t="str">
        <f>=HYPERLINK("https://xhslink.com/m/2aSE3Gpgi9M", "https://xhslink.com/m/2aSE3Gpgi9M")</f>
        <v>https://xhslink.com/m/2aSE3Gpgi9M</v>
      </c>
      <c r="D836"/>
      <c r="E836">
        <v>29000</v>
      </c>
      <c r="F836">
        <v>49.9</v>
      </c>
      <c r="G836">
        <v>39.9</v>
      </c>
      <c r="H836">
        <v>400</v>
      </c>
      <c r="I836" t="inlineStr">
        <is>
          <t>包包装饰</t>
        </is>
      </c>
      <c r="J836" t="inlineStr">
        <is>
          <t>0.01</t>
        </is>
      </c>
      <c r="K836" t="inlineStr">
        <is>
          <t>🔥低粉爆款</t>
        </is>
      </c>
      <c r="L836" t="inlineStr">
        <is>
          <t>帽次元 CapsLock的店</t>
        </is>
      </c>
      <c r="M836">
        <v>938</v>
      </c>
      <c r="N836">
        <v>4.68</v>
      </c>
      <c r="O836">
        <v>37000</v>
      </c>
      <c r="P836" t="inlineStr">
        <is>
          <t>67dac9f00c1b740015dd91fd</t>
        </is>
      </c>
      <c r="Q836" t="inlineStr">
        <is>
          <t>🚫重复</t>
        </is>
      </c>
      <c r="R836" t="inlineStr">
        <is>
          <t>15周</t>
        </is>
      </c>
      <c r="S836" t="inlineStr">
        <is>
          <t>30.92</t>
        </is>
      </c>
      <c r="T836" t="inlineStr">
        <is>
          <t>运动潮玩</t>
        </is>
      </c>
      <c r="U836" t="inlineStr">
        <is>
          <t>运动户外装备</t>
        </is>
      </c>
      <c r="V836" s="3">
        <v>46119.985972222225</v>
      </c>
      <c r="W836" t="inlineStr">
        <is>
          <t>2026-Q2</t>
        </is>
      </c>
    </row>
    <row r="837" ht="25.5" customHeight="1">
      <c r="A837" t="inlineStr">
        <is>
          <t>南瓜巧饼手工现做低脂健康即食早餐糕点饱腹感强的代餐速食小袋装</t>
        </is>
      </c>
      <c r="B837" t="inlineStr">
        <is>
          <t>recvgd5oYI6Ots.jpg</t>
        </is>
      </c>
      <c r="C837" s="2" t="str">
        <f>=HYPERLINK("https://xhslink.com/m/AmCbwARylpN", "https://xhslink.com/m/AmCbwARylpN")</f>
        <v>https://xhslink.com/m/AmCbwARylpN</v>
      </c>
      <c r="D837"/>
      <c r="E837">
        <v>102000</v>
      </c>
      <c r="F837">
        <v>24.9</v>
      </c>
      <c r="G837">
        <v>17.9</v>
      </c>
      <c r="H837">
        <v>400</v>
      </c>
      <c r="I837" t="inlineStr">
        <is>
          <t>健康早餐</t>
        </is>
      </c>
      <c r="J837" t="inlineStr">
        <is>
          <t>0.00</t>
        </is>
      </c>
      <c r="K837" t="inlineStr">
        <is>
          <t>🔥低粉爆款</t>
        </is>
      </c>
      <c r="L837" t="inlineStr">
        <is>
          <t>嗦吧轻食荟的店</t>
        </is>
      </c>
      <c r="M837">
        <v>7826</v>
      </c>
      <c r="N837">
        <v>4.61</v>
      </c>
      <c r="O837">
        <v>160000</v>
      </c>
      <c r="P837" t="inlineStr">
        <is>
          <t>67404524c14a2d00010860d0</t>
        </is>
      </c>
      <c r="Q837" t="inlineStr">
        <is>
          <t>🚫重复</t>
        </is>
      </c>
      <c r="R837" t="inlineStr">
        <is>
          <t>15周</t>
        </is>
      </c>
      <c r="S837" t="inlineStr">
        <is>
          <t>13.03</t>
        </is>
      </c>
      <c r="T837" t="inlineStr">
        <is>
          <t>美食滋补</t>
        </is>
      </c>
      <c r="U837" t="inlineStr">
        <is>
          <t>休闲零食</t>
        </is>
      </c>
      <c r="V837" s="3">
        <v>46120.939930555556</v>
      </c>
      <c r="W837" t="inlineStr">
        <is>
          <t>2026-Q2</t>
        </is>
      </c>
    </row>
    <row r="838" ht="25.5" customHeight="1">
      <c r="A838" t="inlineStr">
        <is>
          <t>欧货小衫正肩短袖t恤女2026夏季新款爆款纯棉半袖内搭打底衫ins</t>
        </is>
      </c>
      <c r="B838" t="inlineStr">
        <is>
          <t>recvgd5oYIWy0q.jpg</t>
        </is>
      </c>
      <c r="C838" s="2" t="str">
        <f>=HYPERLINK("https://xhslink.com/m/2sqyVgrgUC7", "https://xhslink.com/m/2sqyVgrgUC7")</f>
        <v>https://xhslink.com/m/2sqyVgrgUC7</v>
      </c>
      <c r="D838"/>
      <c r="E838">
        <v>8449</v>
      </c>
      <c r="F838">
        <v>49.9</v>
      </c>
      <c r="G838">
        <v>39.9</v>
      </c>
      <c r="H838">
        <v>400</v>
      </c>
      <c r="I838" t="inlineStr">
        <is>
          <t>T恤</t>
        </is>
      </c>
      <c r="J838" t="inlineStr">
        <is>
          <t>0.05</t>
        </is>
      </c>
      <c r="K838"/>
      <c r="L838" t="inlineStr">
        <is>
          <t>XIAO桉家原创的店</t>
        </is>
      </c>
      <c r="M838">
        <v>22000</v>
      </c>
      <c r="N838">
        <v>4.67</v>
      </c>
      <c r="O838">
        <v>168000</v>
      </c>
      <c r="P838" t="inlineStr">
        <is>
          <t>66e9512629e69000016fada4</t>
        </is>
      </c>
      <c r="Q838" t="inlineStr">
        <is>
          <t>🚫重复</t>
        </is>
      </c>
      <c r="R838" t="inlineStr">
        <is>
          <t>15周</t>
        </is>
      </c>
      <c r="S838" t="inlineStr">
        <is>
          <t>0.38</t>
        </is>
      </c>
      <c r="T838" t="inlineStr">
        <is>
          <t>服饰穿搭</t>
        </is>
      </c>
      <c r="U838" t="inlineStr">
        <is>
          <t>女装</t>
        </is>
      </c>
      <c r="V838" s="3">
        <v>46120.939930555556</v>
      </c>
      <c r="W838" t="inlineStr">
        <is>
          <t>2026-Q2</t>
        </is>
      </c>
    </row>
    <row r="839" ht="25.5" customHeight="1">
      <c r="A839" t="inlineStr">
        <is>
          <t>2025年新款V领竹节棉纯棉t恤女春夏上衣显瘦慵懒感平价短袖</t>
        </is>
      </c>
      <c r="B839" t="inlineStr">
        <is>
          <t>recvgd5oYIqc0J.jpg</t>
        </is>
      </c>
      <c r="C839" s="2" t="str">
        <f>=HYPERLINK("https://xhslink.com/m/8xDdJumIFUN", "https://xhslink.com/m/8xDdJumIFUN")</f>
        <v>https://xhslink.com/m/8xDdJumIFUN</v>
      </c>
      <c r="D839"/>
      <c r="E839">
        <v>37000</v>
      </c>
      <c r="F839">
        <v>59.9</v>
      </c>
      <c r="G839">
        <v>49.9</v>
      </c>
      <c r="H839">
        <v>400</v>
      </c>
      <c r="I839" t="inlineStr">
        <is>
          <t>T恤</t>
        </is>
      </c>
      <c r="J839" t="inlineStr">
        <is>
          <t>0.01</t>
        </is>
      </c>
      <c r="K839" t="inlineStr">
        <is>
          <t>🔥低粉爆款</t>
        </is>
      </c>
      <c r="L839" t="inlineStr">
        <is>
          <t>小夏爱穿搭studio的店</t>
        </is>
      </c>
      <c r="M839">
        <v>11000</v>
      </c>
      <c r="N839">
        <v>4.55</v>
      </c>
      <c r="O839">
        <v>109000</v>
      </c>
      <c r="P839" t="inlineStr">
        <is>
          <t>65e819e5b9fcdc0001d4b4ef</t>
        </is>
      </c>
      <c r="Q839" t="inlineStr">
        <is>
          <t>🚫重复</t>
        </is>
      </c>
      <c r="R839" t="inlineStr">
        <is>
          <t>15周</t>
        </is>
      </c>
      <c r="S839" t="inlineStr">
        <is>
          <t>3.36</t>
        </is>
      </c>
      <c r="T839" t="inlineStr">
        <is>
          <t>服饰穿搭</t>
        </is>
      </c>
      <c r="U839" t="inlineStr">
        <is>
          <t>女装</t>
        </is>
      </c>
      <c r="V839" s="3">
        <v>46120.939930555556</v>
      </c>
      <c r="W839" t="inlineStr">
        <is>
          <t>2026-Q2</t>
        </is>
      </c>
    </row>
    <row r="840" ht="25.5" customHeight="1">
      <c r="A840" t="inlineStr">
        <is>
          <t>紫梵汐 · 小甜橘·美式复古圆领正肩休闲百搭慵懒风修身显瘦短袖t恤女上衣潮</t>
        </is>
      </c>
      <c r="B840" t="inlineStr">
        <is>
          <t>recvgd5oYIgLTR.jpg</t>
        </is>
      </c>
      <c r="C840" s="2" t="str">
        <f>=HYPERLINK("https://xhslink.com/m/2oCafM0yz0M", "https://xhslink.com/m/2oCafM0yz0M")</f>
        <v>https://xhslink.com/m/2oCafM0yz0M</v>
      </c>
      <c r="D840"/>
      <c r="E840">
        <v>1247</v>
      </c>
      <c r="F840">
        <v>39.8</v>
      </c>
      <c r="G840"/>
      <c r="H840">
        <v>400</v>
      </c>
      <c r="I840" t="inlineStr">
        <is>
          <t>T恤</t>
        </is>
      </c>
      <c r="J840" t="inlineStr">
        <is>
          <t>0.32</t>
        </is>
      </c>
      <c r="K840"/>
      <c r="L840" t="inlineStr">
        <is>
          <t>小甜橘穿搭日记的店</t>
        </is>
      </c>
      <c r="M840">
        <v>8933</v>
      </c>
      <c r="N840">
        <v>4.7</v>
      </c>
      <c r="O840">
        <v>88000</v>
      </c>
      <c r="P840" t="inlineStr">
        <is>
          <t>680773ef88ebcc0001bb455b</t>
        </is>
      </c>
      <c r="Q840" t="inlineStr">
        <is>
          <t>🚫重复</t>
        </is>
      </c>
      <c r="R840" t="inlineStr">
        <is>
          <t>15周</t>
        </is>
      </c>
      <c r="S840" t="inlineStr">
        <is>
          <t>0.14</t>
        </is>
      </c>
      <c r="T840" t="inlineStr">
        <is>
          <t>服饰穿搭</t>
        </is>
      </c>
      <c r="U840" t="inlineStr">
        <is>
          <t>女装</t>
        </is>
      </c>
      <c r="V840" s="3">
        <v>46120.939930555556</v>
      </c>
      <c r="W840" t="inlineStr">
        <is>
          <t>2026-Q2</t>
        </is>
      </c>
    </row>
    <row r="841" ht="25.5" customHeight="1">
      <c r="A841" t="inlineStr">
        <is>
          <t>北极光星空灯极光投影灯卧室满天星氛围灯网红爆款小夜灯生日礼物</t>
        </is>
      </c>
      <c r="B841" t="inlineStr">
        <is>
          <t>recvgd5oYIgWvp.jpg</t>
        </is>
      </c>
      <c r="C841" s="2" t="str">
        <f>=HYPERLINK("https://xhslink.com/m/6whugOOrOL7", "https://xhslink.com/m/6whugOOrOL7")</f>
        <v>https://xhslink.com/m/6whugOOrOL7</v>
      </c>
      <c r="D841"/>
      <c r="E841">
        <v>6841</v>
      </c>
      <c r="F841">
        <v>175</v>
      </c>
      <c r="G841"/>
      <c r="H841">
        <v>400</v>
      </c>
      <c r="I841" t="inlineStr">
        <is>
          <t>家居用品</t>
        </is>
      </c>
      <c r="J841" t="inlineStr">
        <is>
          <t>0.06</t>
        </is>
      </c>
      <c r="K841" t="inlineStr">
        <is>
          <t>🔥低粉爆款</t>
        </is>
      </c>
      <c r="L841" t="inlineStr">
        <is>
          <t>埃塔星球的店</t>
        </is>
      </c>
      <c r="M841">
        <v>828</v>
      </c>
      <c r="N841">
        <v>4.6</v>
      </c>
      <c r="O841">
        <v>7689</v>
      </c>
      <c r="P841" t="inlineStr">
        <is>
          <t>685fa9ef3970ba000147b586</t>
        </is>
      </c>
      <c r="Q841" t="inlineStr">
        <is>
          <t>🚫重复</t>
        </is>
      </c>
      <c r="R841" t="inlineStr">
        <is>
          <t>15周</t>
        </is>
      </c>
      <c r="S841" t="inlineStr">
        <is>
          <t>8.26</t>
        </is>
      </c>
      <c r="T841" t="inlineStr">
        <is>
          <t>家居生活</t>
        </is>
      </c>
      <c r="U841" t="inlineStr">
        <is>
          <t>家居日用</t>
        </is>
      </c>
      <c r="V841" s="3">
        <v>46120.939930555556</v>
      </c>
      <c r="W841" t="inlineStr">
        <is>
          <t>2026-Q2</t>
        </is>
      </c>
    </row>
    <row r="842" ht="25.5" customHeight="1">
      <c r="A842" t="inlineStr">
        <is>
          <t>杏色交叉针织衫女夏季2026新款设计感露背洋气显瘦无袖上衣</t>
        </is>
      </c>
      <c r="B842" t="inlineStr">
        <is>
          <t>recvgjaqenqLTU.jpg</t>
        </is>
      </c>
      <c r="C842" s="2" t="str">
        <f>=HYPERLINK("https://xhslink.com/m/6ET9GIu8QSs", "https://xhslink.com/m/6ET9GIu8QSs")</f>
        <v>https://xhslink.com/m/6ET9GIu8QSs</v>
      </c>
      <c r="D842"/>
      <c r="E842">
        <v>38000</v>
      </c>
      <c r="F842">
        <v>65</v>
      </c>
      <c r="G842"/>
      <c r="H842">
        <v>400</v>
      </c>
      <c r="I842" t="inlineStr">
        <is>
          <t>背心吊带</t>
        </is>
      </c>
      <c r="J842" t="inlineStr">
        <is>
          <t>0.01</t>
        </is>
      </c>
      <c r="K842"/>
      <c r="L842" t="inlineStr">
        <is>
          <t>KK穿搭分享（招聘中）~的店</t>
        </is>
      </c>
      <c r="M842">
        <v>597000</v>
      </c>
      <c r="N842">
        <v>4.58</v>
      </c>
      <c r="O842">
        <v>3104000</v>
      </c>
      <c r="P842" t="inlineStr">
        <is>
          <t>6667eac5f7984c0001024b31</t>
        </is>
      </c>
      <c r="Q842"/>
      <c r="R842" t="inlineStr">
        <is>
          <t>15周</t>
        </is>
      </c>
      <c r="S842" t="inlineStr">
        <is>
          <t>0.06</t>
        </is>
      </c>
      <c r="T842" t="inlineStr">
        <is>
          <t>服饰穿搭</t>
        </is>
      </c>
      <c r="U842" t="inlineStr">
        <is>
          <t>女装</t>
        </is>
      </c>
      <c r="V842" s="3">
        <v>46121.979895833334</v>
      </c>
      <c r="W842" t="inlineStr">
        <is>
          <t>2026-Q2</t>
        </is>
      </c>
    </row>
    <row r="843" ht="25.5" customHeight="1">
      <c r="A843" t="inlineStr">
        <is>
          <t>【前30000单立减30】BM风春夏新品定制棉质素调慵懒宽松内搭背心</t>
        </is>
      </c>
      <c r="B843" t="inlineStr">
        <is>
          <t>recvgjaKncJUvx.jpg</t>
        </is>
      </c>
      <c r="C843" s="2" t="str">
        <f>=HYPERLINK("https://xhslink.com/m/9Xjz54XWCpA", "https://xhslink.com/m/9Xjz54XWCpA")</f>
        <v>https://xhslink.com/m/9Xjz54XWCpA</v>
      </c>
      <c r="D843"/>
      <c r="E843">
        <v>37000</v>
      </c>
      <c r="F843">
        <v>59.9</v>
      </c>
      <c r="G843">
        <v>29.9</v>
      </c>
      <c r="H843">
        <v>400</v>
      </c>
      <c r="I843" t="inlineStr">
        <is>
          <t>背心吊带</t>
        </is>
      </c>
      <c r="J843" t="inlineStr">
        <is>
          <t>0.01</t>
        </is>
      </c>
      <c r="K843"/>
      <c r="L843" t="inlineStr">
        <is>
          <t>小野栀栀的店</t>
        </is>
      </c>
      <c r="M843">
        <v>25000</v>
      </c>
      <c r="N843">
        <v>4.52</v>
      </c>
      <c r="O843">
        <v>502000</v>
      </c>
      <c r="P843" t="inlineStr">
        <is>
          <t>67af1f26d61c3f0015f7aaeb</t>
        </is>
      </c>
      <c r="Q843" t="inlineStr">
        <is>
          <t>🚫重复</t>
        </is>
      </c>
      <c r="R843" t="inlineStr">
        <is>
          <t>15周</t>
        </is>
      </c>
      <c r="S843" t="inlineStr">
        <is>
          <t>1.48</t>
        </is>
      </c>
      <c r="T843" t="inlineStr">
        <is>
          <t>服饰穿搭</t>
        </is>
      </c>
      <c r="U843" t="inlineStr">
        <is>
          <t>女装</t>
        </is>
      </c>
      <c r="V843" s="3">
        <v>46121.98079861111</v>
      </c>
      <c r="W843" t="inlineStr">
        <is>
          <t>2026-Q2</t>
        </is>
      </c>
    </row>
    <row r="844" ht="25.5" customHeight="1">
      <c r="A844" t="inlineStr">
        <is>
          <t>山觅户外机能风轻量化双肩包男女士休闲旅行运动包通勤14寸电脑包</t>
        </is>
      </c>
      <c r="B844" t="inlineStr">
        <is>
          <t>recvgjaKnciH2X.jpg</t>
        </is>
      </c>
      <c r="C844" s="2" t="str">
        <f>=HYPERLINK("https://xhslink.com/m/4N5LL0jNtvx", "https://xhslink.com/m/4N5LL0jNtvx")</f>
        <v>https://xhslink.com/m/4N5LL0jNtvx</v>
      </c>
      <c r="D844"/>
      <c r="E844">
        <v>4628</v>
      </c>
      <c r="F844">
        <v>299</v>
      </c>
      <c r="G844">
        <v>219</v>
      </c>
      <c r="H844">
        <v>400</v>
      </c>
      <c r="I844" t="inlineStr">
        <is>
          <t>通勤电脑包</t>
        </is>
      </c>
      <c r="J844" t="inlineStr">
        <is>
          <t>0.09</t>
        </is>
      </c>
      <c r="K844"/>
      <c r="L844" t="inlineStr">
        <is>
          <t>MountainMet 山觅的店</t>
        </is>
      </c>
      <c r="M844">
        <v>21000</v>
      </c>
      <c r="N844">
        <v>4.54</v>
      </c>
      <c r="O844">
        <v>19000</v>
      </c>
      <c r="P844" t="inlineStr">
        <is>
          <t>69cb74a44ae1e70001a480af</t>
        </is>
      </c>
      <c r="Q844" t="inlineStr">
        <is>
          <t>🚫重复</t>
        </is>
      </c>
      <c r="R844" t="inlineStr">
        <is>
          <t>15周</t>
        </is>
      </c>
      <c r="S844" t="inlineStr">
        <is>
          <t>0.22</t>
        </is>
      </c>
      <c r="T844" t="inlineStr">
        <is>
          <t>服饰穿搭</t>
        </is>
      </c>
      <c r="U844" t="inlineStr">
        <is>
          <t>鞋靴箱包</t>
        </is>
      </c>
      <c r="V844" s="3">
        <v>46121.98079861111</v>
      </c>
      <c r="W844" t="inlineStr">
        <is>
          <t>2026-Q2</t>
        </is>
      </c>
    </row>
    <row r="845" ht="25.5" customHeight="1">
      <c r="A845" t="inlineStr">
        <is>
          <t>【28.8元任选8个加购自动改价】手作碱水球低卡早餐推荐 顺丰包邮</t>
        </is>
      </c>
      <c r="B845" t="inlineStr">
        <is>
          <t>recvgjaKncXPt9.jpg</t>
        </is>
      </c>
      <c r="C845" s="2" t="str">
        <f>=HYPERLINK("https://xhslink.com/m/5B8h0PQ3bJZ", "https://xhslink.com/m/5B8h0PQ3bJZ")</f>
        <v>https://xhslink.com/m/5B8h0PQ3bJZ</v>
      </c>
      <c r="D845"/>
      <c r="E845">
        <v>194000</v>
      </c>
      <c r="F845">
        <v>15.6</v>
      </c>
      <c r="G845">
        <v>9.6</v>
      </c>
      <c r="H845">
        <v>400</v>
      </c>
      <c r="I845" t="inlineStr">
        <is>
          <t>面包</t>
        </is>
      </c>
      <c r="J845" t="inlineStr">
        <is>
          <t>0.00</t>
        </is>
      </c>
      <c r="K845" t="inlineStr">
        <is>
          <t>🔥低粉爆款</t>
        </is>
      </c>
      <c r="L845" t="inlineStr">
        <is>
          <t>山禾四季手作工坊的店</t>
        </is>
      </c>
      <c r="M845">
        <v>4829</v>
      </c>
      <c r="N845">
        <v>4.62</v>
      </c>
      <c r="O845">
        <v>212000</v>
      </c>
      <c r="P845" t="inlineStr">
        <is>
          <t>6944f6810df67a00150646f4</t>
        </is>
      </c>
      <c r="Q845" t="inlineStr">
        <is>
          <t>🚫重复</t>
        </is>
      </c>
      <c r="R845" t="inlineStr">
        <is>
          <t>15周</t>
        </is>
      </c>
      <c r="S845" t="inlineStr">
        <is>
          <t>40.17</t>
        </is>
      </c>
      <c r="T845" t="inlineStr">
        <is>
          <t>美食滋补</t>
        </is>
      </c>
      <c r="U845" t="inlineStr">
        <is>
          <t>休闲零食</t>
        </is>
      </c>
      <c r="V845" s="3">
        <v>46121.98079861111</v>
      </c>
      <c r="W845" t="inlineStr">
        <is>
          <t>2026-Q2</t>
        </is>
      </c>
    </row>
    <row r="846" ht="25.5" customHeight="1">
      <c r="A846" t="inlineStr">
        <is>
          <t>升级版！宽腰头糯米裤不勒肚子！2026春夏垂顺显瘦百搭休闲直筒裤</t>
        </is>
      </c>
      <c r="B846" t="inlineStr">
        <is>
          <t>recvgjaKncx7LS.jpg</t>
        </is>
      </c>
      <c r="C846" s="2" t="str">
        <f>=HYPERLINK("https://xhslink.com/m/4JWUXU2Jm0w", "https://xhslink.com/m/4JWUXU2Jm0w")</f>
        <v>https://xhslink.com/m/4JWUXU2Jm0w</v>
      </c>
      <c r="D846"/>
      <c r="E846">
        <v>35000</v>
      </c>
      <c r="F846">
        <v>69.9</v>
      </c>
      <c r="G846">
        <v>39.9</v>
      </c>
      <c r="H846">
        <v>400</v>
      </c>
      <c r="I846" t="inlineStr">
        <is>
          <t>裤子</t>
        </is>
      </c>
      <c r="J846" t="inlineStr">
        <is>
          <t>0.01</t>
        </is>
      </c>
      <c r="K846"/>
      <c r="L846" t="inlineStr">
        <is>
          <t>起司来了服饰的店</t>
        </is>
      </c>
      <c r="M846">
        <v>15000</v>
      </c>
      <c r="N846">
        <v>4.51</v>
      </c>
      <c r="O846">
        <v>375000</v>
      </c>
      <c r="P846" t="inlineStr">
        <is>
          <t>68afc497ec7fed0001fad780</t>
        </is>
      </c>
      <c r="Q846" t="inlineStr">
        <is>
          <t>🚫重复</t>
        </is>
      </c>
      <c r="R846" t="inlineStr">
        <is>
          <t>15周</t>
        </is>
      </c>
      <c r="S846" t="inlineStr">
        <is>
          <t>2.33</t>
        </is>
      </c>
      <c r="T846" t="inlineStr">
        <is>
          <t>服饰穿搭</t>
        </is>
      </c>
      <c r="U846" t="inlineStr">
        <is>
          <t>女装</t>
        </is>
      </c>
      <c r="V846" s="3">
        <v>46121.98079861111</v>
      </c>
      <c r="W846" t="inlineStr">
        <is>
          <t>2026-Q2</t>
        </is>
      </c>
    </row>
    <row r="847" ht="25.5" customHeight="1">
      <c r="A847" t="inlineStr">
        <is>
          <t>小个子梨形身材美式复古宽松阔腿裤设计感口袋百搭显瘦弯刀牛仔裤</t>
        </is>
      </c>
      <c r="B847" t="inlineStr">
        <is>
          <t>recvgjaKncpIUD.jpg</t>
        </is>
      </c>
      <c r="C847" s="2" t="str">
        <f>=HYPERLINK("https://xhslink.com/m/A9hStTntTW7", "https://xhslink.com/m/A9hStTntTW7")</f>
        <v>https://xhslink.com/m/A9hStTntTW7</v>
      </c>
      <c r="D847"/>
      <c r="E847">
        <v>37000</v>
      </c>
      <c r="F847">
        <v>218</v>
      </c>
      <c r="G847">
        <v>98</v>
      </c>
      <c r="H847">
        <v>400</v>
      </c>
      <c r="I847" t="inlineStr">
        <is>
          <t>裤子</t>
        </is>
      </c>
      <c r="J847" t="inlineStr">
        <is>
          <t>0.01</t>
        </is>
      </c>
      <c r="K847" t="inlineStr">
        <is>
          <t>🔥低粉爆款</t>
        </is>
      </c>
      <c r="L847" t="inlineStr">
        <is>
          <t>郑源源的店</t>
        </is>
      </c>
      <c r="M847">
        <v>787</v>
      </c>
      <c r="N847">
        <v>4.58</v>
      </c>
      <c r="O847">
        <v>45000</v>
      </c>
      <c r="P847" t="inlineStr">
        <is>
          <t>68d93b30d3eed20001e9645e</t>
        </is>
      </c>
      <c r="Q847" t="inlineStr">
        <is>
          <t>🚫重复</t>
        </is>
      </c>
      <c r="R847" t="inlineStr">
        <is>
          <t>15周</t>
        </is>
      </c>
      <c r="S847" t="inlineStr">
        <is>
          <t>47.01</t>
        </is>
      </c>
      <c r="T847" t="inlineStr">
        <is>
          <t>服饰穿搭</t>
        </is>
      </c>
      <c r="U847" t="inlineStr">
        <is>
          <t>女装</t>
        </is>
      </c>
      <c r="V847" s="3">
        <v>46121.98079861111</v>
      </c>
      <c r="W847" t="inlineStr">
        <is>
          <t>2026-Q2</t>
        </is>
      </c>
    </row>
    <row r="848" ht="25.5" customHeight="1">
      <c r="A848" t="inlineStr">
        <is>
          <t>春夏季 莱赛尔天丝亚麻裤显瘦灯笼裤女夏薄款凉快休闲长裤拖地裤</t>
        </is>
      </c>
      <c r="B848" t="inlineStr">
        <is>
          <t>recvgjaKncXNQq.jpg</t>
        </is>
      </c>
      <c r="C848" s="2" t="str">
        <f>=HYPERLINK("https://xhslink.com/m/AFkdQQo5cEE", "https://xhslink.com/m/AFkdQQo5cEE")</f>
        <v>https://xhslink.com/m/AFkdQQo5cEE</v>
      </c>
      <c r="D848"/>
      <c r="E848">
        <v>15000</v>
      </c>
      <c r="F848">
        <v>119</v>
      </c>
      <c r="G848">
        <v>88.98</v>
      </c>
      <c r="H848">
        <v>400</v>
      </c>
      <c r="I848" t="inlineStr">
        <is>
          <t>裤子</t>
        </is>
      </c>
      <c r="J848" t="inlineStr">
        <is>
          <t>0.03</t>
        </is>
      </c>
      <c r="K848"/>
      <c r="L848" t="inlineStr">
        <is>
          <t>思思酱耶～的店</t>
        </is>
      </c>
      <c r="M848">
        <v>7842</v>
      </c>
      <c r="N848">
        <v>4.51</v>
      </c>
      <c r="O848">
        <v>41000</v>
      </c>
      <c r="P848" t="inlineStr">
        <is>
          <t>685bb088d67cc20001443931</t>
        </is>
      </c>
      <c r="Q848" t="inlineStr">
        <is>
          <t>🚫重复</t>
        </is>
      </c>
      <c r="R848" t="inlineStr">
        <is>
          <t>15周</t>
        </is>
      </c>
      <c r="S848" t="inlineStr">
        <is>
          <t>1.91</t>
        </is>
      </c>
      <c r="T848" t="inlineStr">
        <is>
          <t>服饰穿搭</t>
        </is>
      </c>
      <c r="U848" t="inlineStr">
        <is>
          <t>女装</t>
        </is>
      </c>
      <c r="V848" s="3">
        <v>46121.98079861111</v>
      </c>
      <c r="W848" t="inlineStr">
        <is>
          <t>2026-Q2</t>
        </is>
      </c>
    </row>
    <row r="849" ht="25.5" customHeight="1">
      <c r="A849" t="inlineStr">
        <is>
          <t>二合一跑步短裤！男女同款自带打底裤夏户外训练运动速干三分裤</t>
        </is>
      </c>
      <c r="B849" t="inlineStr">
        <is>
          <t>recvgjaKnc7xf1.jpg</t>
        </is>
      </c>
      <c r="C849" s="2" t="str">
        <f>=HYPERLINK("https://xhslink.com/m/9eROvYa4qR3", "https://xhslink.com/m/9eROvYa4qR3")</f>
        <v>https://xhslink.com/m/9eROvYa4qR3</v>
      </c>
      <c r="D849"/>
      <c r="E849">
        <v>7356</v>
      </c>
      <c r="F849">
        <v>69</v>
      </c>
      <c r="G849"/>
      <c r="H849">
        <v>400</v>
      </c>
      <c r="I849" t="inlineStr">
        <is>
          <t>裤子</t>
        </is>
      </c>
      <c r="J849" t="inlineStr">
        <is>
          <t>0.05</t>
        </is>
      </c>
      <c r="K849"/>
      <c r="L849" t="inlineStr">
        <is>
          <t>福多外贸服饰的店</t>
        </is>
      </c>
      <c r="M849">
        <v>11000</v>
      </c>
      <c r="N849">
        <v>4.59</v>
      </c>
      <c r="O849">
        <v>179000</v>
      </c>
      <c r="P849" t="inlineStr">
        <is>
          <t>6800fd3c7107a800010d87e8</t>
        </is>
      </c>
      <c r="Q849" t="inlineStr">
        <is>
          <t>🚫重复</t>
        </is>
      </c>
      <c r="R849" t="inlineStr">
        <is>
          <t>15周</t>
        </is>
      </c>
      <c r="S849" t="inlineStr">
        <is>
          <t>0.67</t>
        </is>
      </c>
      <c r="T849" t="inlineStr">
        <is>
          <t>服饰穿搭</t>
        </is>
      </c>
      <c r="U849" t="inlineStr">
        <is>
          <t>女装</t>
        </is>
      </c>
      <c r="V849" s="3">
        <v>46121.98079861111</v>
      </c>
      <c r="W849" t="inlineStr">
        <is>
          <t>2026-Q2</t>
        </is>
      </c>
    </row>
    <row r="850" ht="25.5" customHeight="1">
      <c r="A850" t="inlineStr">
        <is>
          <t>黄吉吉 · 裸感云朵裤提臀阔腿裤女2026春夏薄款宽腰显瘦垂感休闲直筒运动裤</t>
        </is>
      </c>
      <c r="B850" t="inlineStr">
        <is>
          <t>recvgjaKncmVp9.jpg</t>
        </is>
      </c>
      <c r="C850" s="2" t="str">
        <f>=HYPERLINK("https://xhslink.com/m/1aPeDfN61bW", "https://xhslink.com/m/1aPeDfN61bW")</f>
        <v>https://xhslink.com/m/1aPeDfN61bW</v>
      </c>
      <c r="D850"/>
      <c r="E850">
        <v>8785</v>
      </c>
      <c r="F850">
        <v>79</v>
      </c>
      <c r="G850">
        <v>59.9</v>
      </c>
      <c r="H850">
        <v>400</v>
      </c>
      <c r="I850" t="inlineStr">
        <is>
          <t>裤子</t>
        </is>
      </c>
      <c r="J850" t="inlineStr">
        <is>
          <t>0.05</t>
        </is>
      </c>
      <c r="K850"/>
      <c r="L850" t="inlineStr">
        <is>
          <t>黄吉吉的店</t>
        </is>
      </c>
      <c r="M850">
        <v>1317000</v>
      </c>
      <c r="N850">
        <v>4.5</v>
      </c>
      <c r="O850">
        <v>2765000</v>
      </c>
      <c r="P850" t="inlineStr">
        <is>
          <t>69a53bcba39d650001970000</t>
        </is>
      </c>
      <c r="Q850" t="inlineStr">
        <is>
          <t>🚫重复</t>
        </is>
      </c>
      <c r="R850" t="inlineStr">
        <is>
          <t>15周</t>
        </is>
      </c>
      <c r="S850" t="inlineStr">
        <is>
          <t>0.01</t>
        </is>
      </c>
      <c r="T850" t="inlineStr">
        <is>
          <t>服饰穿搭</t>
        </is>
      </c>
      <c r="U850" t="inlineStr">
        <is>
          <t>女装</t>
        </is>
      </c>
      <c r="V850" s="3">
        <v>46121.98079861111</v>
      </c>
      <c r="W850" t="inlineStr">
        <is>
          <t>2026-Q2</t>
        </is>
      </c>
    </row>
    <row r="851" ht="25.5" customHeight="1">
      <c r="A851" t="inlineStr">
        <is>
          <t>【天丝羊毛神裤】高腰直筒女高级垂感春夏宽松显瘦显高通勤西装裤</t>
        </is>
      </c>
      <c r="B851" t="inlineStr">
        <is>
          <t>recvgjaKncC5N0.jpg</t>
        </is>
      </c>
      <c r="C851" s="2" t="str">
        <f>=HYPERLINK("https://xhslink.com/m/4eLoVph1xB9", "https://xhslink.com/m/4eLoVph1xB9")</f>
        <v>https://xhslink.com/m/4eLoVph1xB9</v>
      </c>
      <c r="D851"/>
      <c r="E851">
        <v>4405</v>
      </c>
      <c r="F851">
        <v>368</v>
      </c>
      <c r="G851">
        <v>288</v>
      </c>
      <c r="H851">
        <v>400</v>
      </c>
      <c r="I851" t="inlineStr">
        <is>
          <t>裤子</t>
        </is>
      </c>
      <c r="J851" t="inlineStr">
        <is>
          <t>0.09</t>
        </is>
      </c>
      <c r="K851"/>
      <c r="L851" t="inlineStr">
        <is>
          <t>小织ZhiWear的店</t>
        </is>
      </c>
      <c r="M851">
        <v>1978</v>
      </c>
      <c r="N851">
        <v>4.62</v>
      </c>
      <c r="O851">
        <v>6681</v>
      </c>
      <c r="P851" t="inlineStr">
        <is>
          <t>68b41f5def11920015dbe509</t>
        </is>
      </c>
      <c r="Q851"/>
      <c r="R851" t="inlineStr">
        <is>
          <t>15周</t>
        </is>
      </c>
      <c r="S851" t="inlineStr">
        <is>
          <t>2.23</t>
        </is>
      </c>
      <c r="T851" t="inlineStr">
        <is>
          <t>服饰穿搭</t>
        </is>
      </c>
      <c r="U851" t="inlineStr">
        <is>
          <t>女装</t>
        </is>
      </c>
      <c r="V851" s="3">
        <v>46121.98079861111</v>
      </c>
      <c r="W851" t="inlineStr">
        <is>
          <t>2026-Q2</t>
        </is>
      </c>
    </row>
    <row r="852" ht="25.5" customHeight="1">
      <c r="A852" t="inlineStr">
        <is>
          <t>柠言集 · 侧柏浸泡液草本植物养发液</t>
        </is>
      </c>
      <c r="B852" t="inlineStr">
        <is>
          <t>recvgjaKncvExu.jpg</t>
        </is>
      </c>
      <c r="C852" s="2" t="str">
        <f>=HYPERLINK("https://xhslink.com/m/6YoiH0pqNCm", "https://xhslink.com/m/6YoiH0pqNCm")</f>
        <v>https://xhslink.com/m/6YoiH0pqNCm</v>
      </c>
      <c r="D852"/>
      <c r="E852">
        <v>73000</v>
      </c>
      <c r="F852">
        <v>66.8</v>
      </c>
      <c r="G852"/>
      <c r="H852">
        <v>400</v>
      </c>
      <c r="I852" t="inlineStr">
        <is>
          <t>养发</t>
        </is>
      </c>
      <c r="J852" t="inlineStr">
        <is>
          <t>0.01</t>
        </is>
      </c>
      <c r="K852" t="inlineStr">
        <is>
          <t>🔥低粉爆款</t>
        </is>
      </c>
      <c r="L852" t="inlineStr">
        <is>
          <t>柠檬家lucky的店</t>
        </is>
      </c>
      <c r="M852">
        <v>19000</v>
      </c>
      <c r="N852">
        <v>4.65</v>
      </c>
      <c r="O852">
        <v>144000</v>
      </c>
      <c r="P852" t="inlineStr">
        <is>
          <t>689e985888416a0001159a57</t>
        </is>
      </c>
      <c r="Q852" t="inlineStr">
        <is>
          <t>🚫重复</t>
        </is>
      </c>
      <c r="R852" t="inlineStr">
        <is>
          <t>15周</t>
        </is>
      </c>
      <c r="S852" t="inlineStr">
        <is>
          <t>3.84</t>
        </is>
      </c>
      <c r="T852" t="inlineStr">
        <is>
          <t>美妆个护</t>
        </is>
      </c>
      <c r="U852" t="inlineStr">
        <is>
          <t>个人护理</t>
        </is>
      </c>
      <c r="V852" s="3">
        <v>46121.98079861111</v>
      </c>
      <c r="W852" t="inlineStr">
        <is>
          <t>2026-Q2</t>
        </is>
      </c>
    </row>
    <row r="853" ht="25.5" customHeight="1">
      <c r="A853" t="inlineStr">
        <is>
          <t>熟麦麸小麦纤维素 膳食纤维</t>
        </is>
      </c>
      <c r="B853" t="inlineStr">
        <is>
          <t>recvgjaKnc9VLH.jpg</t>
        </is>
      </c>
      <c r="C853" s="2" t="str">
        <f>=HYPERLINK("https://xhslink.com/m/5ewwxrvlsBy", "https://xhslink.com/m/5ewwxrvlsBy")</f>
        <v>https://xhslink.com/m/5ewwxrvlsBy</v>
      </c>
      <c r="D853"/>
      <c r="E853">
        <v>18000</v>
      </c>
      <c r="F853">
        <v>26.9</v>
      </c>
      <c r="G853"/>
      <c r="H853">
        <v>400</v>
      </c>
      <c r="I853" t="inlineStr">
        <is>
          <t>养生</t>
        </is>
      </c>
      <c r="J853" t="inlineStr">
        <is>
          <t>0.02</t>
        </is>
      </c>
      <c r="K853"/>
      <c r="L853" t="inlineStr">
        <is>
          <t>Molly在豫东的店</t>
        </is>
      </c>
      <c r="M853">
        <v>6138</v>
      </c>
      <c r="N853">
        <v>4.68</v>
      </c>
      <c r="O853">
        <v>45000</v>
      </c>
      <c r="P853" t="inlineStr">
        <is>
          <t>650554a889f20c0001674029</t>
        </is>
      </c>
      <c r="Q853"/>
      <c r="R853" t="inlineStr">
        <is>
          <t>15周</t>
        </is>
      </c>
      <c r="S853" t="inlineStr">
        <is>
          <t>2.93</t>
        </is>
      </c>
      <c r="T853" t="inlineStr">
        <is>
          <t>美食滋补</t>
        </is>
      </c>
      <c r="U853" t="inlineStr">
        <is>
          <t>营养滋补</t>
        </is>
      </c>
      <c r="V853" s="3">
        <v>46121.98079861111</v>
      </c>
      <c r="W853" t="inlineStr">
        <is>
          <t>2026-Q2</t>
        </is>
      </c>
    </row>
    <row r="854" ht="25.5" customHeight="1">
      <c r="A854" t="inlineStr">
        <is>
          <t>八月梦·2.0版本高腰显瘦a字版宽松休闲裤短裤辣妹热裤</t>
        </is>
      </c>
      <c r="B854" t="inlineStr">
        <is>
          <t>recvgoYCuBH8Pw.jpg</t>
        </is>
      </c>
      <c r="C854" s="2" t="str">
        <f>=HYPERLINK("https://xhslink.com/m/57lX3H5mAu7", "https://xhslink.com/m/57lX3H5mAu7")</f>
        <v>https://xhslink.com/m/57lX3H5mAu7</v>
      </c>
      <c r="D854"/>
      <c r="E854">
        <v>13000</v>
      </c>
      <c r="F854">
        <v>69.9</v>
      </c>
      <c r="G854">
        <v>39.9</v>
      </c>
      <c r="H854">
        <v>400</v>
      </c>
      <c r="I854" t="inlineStr">
        <is>
          <t>休闲裤</t>
        </is>
      </c>
      <c r="J854" t="inlineStr">
        <is>
          <t>0.03</t>
        </is>
      </c>
      <c r="K854" t="inlineStr">
        <is>
          <t>🔥低粉爆款</t>
        </is>
      </c>
      <c r="L854" t="inlineStr">
        <is>
          <t>八月梦的店</t>
        </is>
      </c>
      <c r="M854">
        <v>3140</v>
      </c>
      <c r="N854">
        <v>4.51</v>
      </c>
      <c r="O854">
        <v>43000</v>
      </c>
      <c r="P854" t="inlineStr">
        <is>
          <t>68272bb7cde7df0001d73668</t>
        </is>
      </c>
      <c r="Q854"/>
      <c r="R854" t="inlineStr">
        <is>
          <t>15周</t>
        </is>
      </c>
      <c r="S854" t="inlineStr">
        <is>
          <t>4.14</t>
        </is>
      </c>
      <c r="T854" t="inlineStr">
        <is>
          <t>服饰穿搭</t>
        </is>
      </c>
      <c r="U854" t="inlineStr">
        <is>
          <t>女装</t>
        </is>
      </c>
      <c r="V854" s="3">
        <v>46122.97351851852</v>
      </c>
      <c r="W854" t="inlineStr">
        <is>
          <t>2026-Q2</t>
        </is>
      </c>
    </row>
    <row r="855" ht="25.5" customHeight="1">
      <c r="A855" t="inlineStr">
        <is>
          <t>小巴戒 美式重工格子大口袋工装牛仔短裤女夏季设计感阔腿七分裤</t>
        </is>
      </c>
      <c r="B855" t="inlineStr">
        <is>
          <t>recvgoYCuBZ8W0.jpg</t>
        </is>
      </c>
      <c r="C855" s="2" t="str">
        <f>=HYPERLINK("https://xhslink.com/m/1P3xB1zU8fh", "https://xhslink.com/m/1P3xB1zU8fh")</f>
        <v>https://xhslink.com/m/1P3xB1zU8fh</v>
      </c>
      <c r="D855"/>
      <c r="E855">
        <v>5873</v>
      </c>
      <c r="F855">
        <v>109</v>
      </c>
      <c r="G855">
        <v>86</v>
      </c>
      <c r="H855">
        <v>400</v>
      </c>
      <c r="I855" t="inlineStr">
        <is>
          <t>短裤</t>
        </is>
      </c>
      <c r="J855" t="inlineStr">
        <is>
          <t>0.07</t>
        </is>
      </c>
      <c r="K855"/>
      <c r="L855" t="inlineStr">
        <is>
          <t>小巴戒的店</t>
        </is>
      </c>
      <c r="M855">
        <v>30000</v>
      </c>
      <c r="N855">
        <v>4.44</v>
      </c>
      <c r="O855">
        <v>179000</v>
      </c>
      <c r="P855" t="inlineStr">
        <is>
          <t>6862756f6256090001dba854</t>
        </is>
      </c>
      <c r="Q855" t="inlineStr">
        <is>
          <t>🚫重复</t>
        </is>
      </c>
      <c r="R855" t="inlineStr">
        <is>
          <t>15周</t>
        </is>
      </c>
      <c r="S855" t="inlineStr">
        <is>
          <t>0.20</t>
        </is>
      </c>
      <c r="T855" t="inlineStr">
        <is>
          <t>服饰穿搭</t>
        </is>
      </c>
      <c r="U855" t="inlineStr">
        <is>
          <t>女装</t>
        </is>
      </c>
      <c r="V855" s="3">
        <v>46122.97351851852</v>
      </c>
      <c r="W855" t="inlineStr">
        <is>
          <t>2026-Q2</t>
        </is>
      </c>
    </row>
    <row r="856" ht="25.5" customHeight="1">
      <c r="A856" t="inlineStr">
        <is>
          <t>黄吉吉 · 美式灰色蚂蚁腰抽绳短裤女2026夏季新款a字高腰修身休闲运动裤子</t>
        </is>
      </c>
      <c r="B856" t="inlineStr">
        <is>
          <t>recvgoYCuB9qir.jpg</t>
        </is>
      </c>
      <c r="C856" s="2" t="str">
        <f>=HYPERLINK("https://xhslink.com/m/A2e6ZmOozg2", "https://xhslink.com/m/A2e6ZmOozg2")</f>
        <v>https://xhslink.com/m/A2e6ZmOozg2</v>
      </c>
      <c r="D856"/>
      <c r="E856">
        <v>76000</v>
      </c>
      <c r="F856">
        <v>69</v>
      </c>
      <c r="G856">
        <v>49.9</v>
      </c>
      <c r="H856">
        <v>400</v>
      </c>
      <c r="I856" t="inlineStr">
        <is>
          <t>短裤</t>
        </is>
      </c>
      <c r="J856" t="inlineStr">
        <is>
          <t>0.01</t>
        </is>
      </c>
      <c r="K856"/>
      <c r="L856" t="inlineStr">
        <is>
          <t>黄吉吉的店</t>
        </is>
      </c>
      <c r="M856">
        <v>1317000</v>
      </c>
      <c r="N856">
        <v>4.35</v>
      </c>
      <c r="O856">
        <v>2766000</v>
      </c>
      <c r="P856" t="inlineStr">
        <is>
          <t>67ee3232f0efe50001830633</t>
        </is>
      </c>
      <c r="Q856" t="inlineStr">
        <is>
          <t>🚫重复</t>
        </is>
      </c>
      <c r="R856" t="inlineStr">
        <is>
          <t>15周</t>
        </is>
      </c>
      <c r="S856" t="inlineStr">
        <is>
          <t>0.06</t>
        </is>
      </c>
      <c r="T856" t="inlineStr">
        <is>
          <t>服饰穿搭</t>
        </is>
      </c>
      <c r="U856" t="inlineStr">
        <is>
          <t>女装</t>
        </is>
      </c>
      <c r="V856" s="3">
        <v>46122.97351851852</v>
      </c>
      <c r="W856" t="inlineStr">
        <is>
          <t>2026-Q2</t>
        </is>
      </c>
    </row>
    <row r="857" ht="25.5" customHeight="1">
      <c r="A857" t="inlineStr">
        <is>
          <t>【松弛配方】高腰夏季牛仔短裤女宽松显瘦休闲百搭阔腿裤</t>
        </is>
      </c>
      <c r="B857" t="inlineStr">
        <is>
          <t>recvgoYCuBv2Uk.jpg</t>
        </is>
      </c>
      <c r="C857" s="2" t="str">
        <f>=HYPERLINK("https://xhslink.com/m/2WcH30HHGX7", "https://xhslink.com/m/2WcH30HHGX7")</f>
        <v>https://xhslink.com/m/2WcH30HHGX7</v>
      </c>
      <c r="D857"/>
      <c r="E857">
        <v>8787</v>
      </c>
      <c r="F857">
        <v>104.7</v>
      </c>
      <c r="G857">
        <v>88</v>
      </c>
      <c r="H857">
        <v>400</v>
      </c>
      <c r="I857" t="inlineStr">
        <is>
          <t>短裤</t>
        </is>
      </c>
      <c r="J857" t="inlineStr">
        <is>
          <t>0.05</t>
        </is>
      </c>
      <c r="K857"/>
      <c r="L857" t="inlineStr">
        <is>
          <t>OKOKOK的店</t>
        </is>
      </c>
      <c r="M857">
        <v>234000</v>
      </c>
      <c r="N857">
        <v>4.5</v>
      </c>
      <c r="O857">
        <v>1137000</v>
      </c>
      <c r="P857" t="inlineStr">
        <is>
          <t>685f8ea3835e2500017b20f3</t>
        </is>
      </c>
      <c r="Q857" t="inlineStr">
        <is>
          <t>🚫重复</t>
        </is>
      </c>
      <c r="R857" t="inlineStr">
        <is>
          <t>15周</t>
        </is>
      </c>
      <c r="S857" t="inlineStr">
        <is>
          <t>0.04</t>
        </is>
      </c>
      <c r="T857" t="inlineStr">
        <is>
          <t>服饰穿搭</t>
        </is>
      </c>
      <c r="U857" t="inlineStr">
        <is>
          <t>女装</t>
        </is>
      </c>
      <c r="V857" s="3">
        <v>46122.97351851852</v>
      </c>
      <c r="W857" t="inlineStr">
        <is>
          <t>2026-Q2</t>
        </is>
      </c>
    </row>
    <row r="858" ht="25.5" customHeight="1">
      <c r="A858" t="inlineStr">
        <is>
          <t>大容量旅行包女手提行李包短途出差旅游袋待产收纳包运动健身包袋</t>
        </is>
      </c>
      <c r="B858" t="inlineStr">
        <is>
          <t>recvgoYCuBUJee.jpg</t>
        </is>
      </c>
      <c r="C858" s="2" t="str">
        <f>=HYPERLINK("https://xhslink.com/m/44UP6c8P0OO", "https://xhslink.com/m/44UP6c8P0OO")</f>
        <v>https://xhslink.com/m/44UP6c8P0OO</v>
      </c>
      <c r="D858"/>
      <c r="E858">
        <v>123000</v>
      </c>
      <c r="F858">
        <v>39.9</v>
      </c>
      <c r="G858"/>
      <c r="H858">
        <v>400</v>
      </c>
      <c r="I858" t="inlineStr">
        <is>
          <t>运动包配</t>
        </is>
      </c>
      <c r="J858" t="inlineStr">
        <is>
          <t>0.00</t>
        </is>
      </c>
      <c r="K858" t="inlineStr">
        <is>
          <t>🔥低粉爆款</t>
        </is>
      </c>
      <c r="L858" t="inlineStr">
        <is>
          <t>小荆皮具的店</t>
        </is>
      </c>
      <c r="M858">
        <v>9616</v>
      </c>
      <c r="N858">
        <v>4.74</v>
      </c>
      <c r="O858">
        <v>210000</v>
      </c>
      <c r="P858" t="inlineStr">
        <is>
          <t>66ff4d7b5bcbab0001330c76</t>
        </is>
      </c>
      <c r="Q858" t="inlineStr">
        <is>
          <t>🚫重复</t>
        </is>
      </c>
      <c r="R858" t="inlineStr">
        <is>
          <t>15周</t>
        </is>
      </c>
      <c r="S858" t="inlineStr">
        <is>
          <t>12.79</t>
        </is>
      </c>
      <c r="T858" t="inlineStr">
        <is>
          <t>运动潮玩</t>
        </is>
      </c>
      <c r="U858" t="inlineStr">
        <is>
          <t>旅行出行</t>
        </is>
      </c>
      <c r="V858" s="3">
        <v>46122.97351851852</v>
      </c>
      <c r="W858" t="inlineStr">
        <is>
          <t>2026-Q2</t>
        </is>
      </c>
    </row>
    <row r="859" ht="25.5" customHeight="1">
      <c r="A859" t="inlineStr">
        <is>
          <t>【前6000单28.9】韩版简约刺绣字母棒球帽女2026春新款简约百搭</t>
        </is>
      </c>
      <c r="B859" t="inlineStr">
        <is>
          <t>recvgoYCuBrNwn.jpg</t>
        </is>
      </c>
      <c r="C859" s="2" t="str">
        <f>=HYPERLINK("https://xhslink.com/m/8be9th93WhM", "https://xhslink.com/m/8be9th93WhM")</f>
        <v>https://xhslink.com/m/8be9th93WhM</v>
      </c>
      <c r="D859"/>
      <c r="E859">
        <v>4829</v>
      </c>
      <c r="F859">
        <v>38.9</v>
      </c>
      <c r="G859">
        <v>28.9</v>
      </c>
      <c r="H859">
        <v>400</v>
      </c>
      <c r="I859" t="inlineStr">
        <is>
          <t>运动包配</t>
        </is>
      </c>
      <c r="J859" t="inlineStr">
        <is>
          <t>0.08</t>
        </is>
      </c>
      <c r="K859" t="inlineStr">
        <is>
          <t>🔥低粉爆款</t>
        </is>
      </c>
      <c r="L859" t="inlineStr">
        <is>
          <t>橘趣坊的店</t>
        </is>
      </c>
      <c r="M859">
        <v>589</v>
      </c>
      <c r="N859">
        <v>4.42</v>
      </c>
      <c r="O859">
        <v>4732</v>
      </c>
      <c r="P859" t="inlineStr">
        <is>
          <t>69b2741f9799e5001541f5d1</t>
        </is>
      </c>
      <c r="Q859"/>
      <c r="R859" t="inlineStr">
        <is>
          <t>15周</t>
        </is>
      </c>
      <c r="S859" t="inlineStr">
        <is>
          <t>8.20</t>
        </is>
      </c>
      <c r="T859" t="inlineStr">
        <is>
          <t>运动潮玩</t>
        </is>
      </c>
      <c r="U859" t="inlineStr">
        <is>
          <t>运动户外装备</t>
        </is>
      </c>
      <c r="V859" s="3">
        <v>46122.97351851852</v>
      </c>
      <c r="W859" t="inlineStr">
        <is>
          <t>2026-Q2</t>
        </is>
      </c>
    </row>
    <row r="860" ht="25.5" customHeight="1">
      <c r="A860" t="inlineStr">
        <is>
          <t>团团拼豆MARD同色号2.6MM高品质融合豆补充包拼豆豆diy套装全色系</t>
        </is>
      </c>
      <c r="B860" t="inlineStr">
        <is>
          <t>recvguTbC19sB9.jpg</t>
        </is>
      </c>
      <c r="C860" s="2" t="str">
        <f>=HYPERLINK("https://xhslink.com/m/4y5RwhickVu", "https://xhslink.com/m/4y5RwhickVu")</f>
        <v>https://xhslink.com/m/4y5RwhickVu</v>
      </c>
      <c r="D860"/>
      <c r="E860">
        <v>551</v>
      </c>
      <c r="F860">
        <v>50</v>
      </c>
      <c r="G860">
        <v>18.88</v>
      </c>
      <c r="H860">
        <v>400</v>
      </c>
      <c r="I860" t="inlineStr">
        <is>
          <t>拼豆</t>
        </is>
      </c>
      <c r="J860" t="inlineStr">
        <is>
          <t>0.73</t>
        </is>
      </c>
      <c r="K860"/>
      <c r="L860" t="inlineStr">
        <is>
          <t>团团拼豆工厂的店</t>
        </is>
      </c>
      <c r="M860">
        <v>814</v>
      </c>
      <c r="N860">
        <v>4.55</v>
      </c>
      <c r="O860">
        <v>11000</v>
      </c>
      <c r="P860" t="inlineStr">
        <is>
          <t>69b7c939bd7e7100018faf91</t>
        </is>
      </c>
      <c r="Q860" t="inlineStr">
        <is>
          <t>🚫重复</t>
        </is>
      </c>
      <c r="R860" t="inlineStr">
        <is>
          <t>15周</t>
        </is>
      </c>
      <c r="S860" t="inlineStr">
        <is>
          <t>0.68</t>
        </is>
      </c>
      <c r="T860" t="inlineStr">
        <is>
          <t>运动潮玩</t>
        </is>
      </c>
      <c r="U860" t="inlineStr">
        <is>
          <t>潮玩手办</t>
        </is>
      </c>
      <c r="V860" s="3">
        <v>46123.98462962963</v>
      </c>
      <c r="W860" t="inlineStr">
        <is>
          <t>2026-Q2</t>
        </is>
      </c>
    </row>
    <row r="861" ht="25.5" customHeight="1">
      <c r="A861" t="inlineStr">
        <is>
          <t>【十指相扣小水母】原创治愈系水母好rua柔软解压多巴胺闺蜜挂件</t>
        </is>
      </c>
      <c r="B861" t="inlineStr">
        <is>
          <t>recvguTbC1IpcL.jpg</t>
        </is>
      </c>
      <c r="C861" s="2" t="str">
        <f>=HYPERLINK("https://xhslink.com/m/AD0uRYOXz1u", "https://xhslink.com/m/AD0uRYOXz1u")</f>
        <v>https://xhslink.com/m/AD0uRYOXz1u</v>
      </c>
      <c r="D861"/>
      <c r="E861">
        <v>12000</v>
      </c>
      <c r="F861">
        <v>20.9</v>
      </c>
      <c r="G861"/>
      <c r="H861">
        <v>400</v>
      </c>
      <c r="I861" t="inlineStr">
        <is>
          <t>小物件</t>
        </is>
      </c>
      <c r="J861" t="inlineStr">
        <is>
          <t>0.03</t>
        </is>
      </c>
      <c r="K861"/>
      <c r="L861" t="inlineStr">
        <is>
          <t>辛安小角落的店</t>
        </is>
      </c>
      <c r="M861">
        <v>126000</v>
      </c>
      <c r="N861">
        <v>4.58</v>
      </c>
      <c r="O861">
        <v>142000</v>
      </c>
      <c r="P861" t="inlineStr">
        <is>
          <t>69622d2105a37f0001ebb325</t>
        </is>
      </c>
      <c r="Q861" t="inlineStr">
        <is>
          <t>🚫重复</t>
        </is>
      </c>
      <c r="R861" t="inlineStr">
        <is>
          <t>15周</t>
        </is>
      </c>
      <c r="S861" t="inlineStr">
        <is>
          <t>0.10</t>
        </is>
      </c>
      <c r="T861" t="inlineStr">
        <is>
          <t>家居生活</t>
        </is>
      </c>
      <c r="U861" t="inlineStr">
        <is>
          <t>家居日用</t>
        </is>
      </c>
      <c r="V861" s="3">
        <v>46123.98462962963</v>
      </c>
      <c r="W861" t="inlineStr">
        <is>
          <t>2026-Q2</t>
        </is>
      </c>
    </row>
    <row r="862" ht="25.5" customHeight="1">
      <c r="A862" t="inlineStr">
        <is>
          <t>韩系波点～平底款！小众芭蕾鞋女新款ins百搭软底增高蝴蝶结单鞋</t>
        </is>
      </c>
      <c r="B862" t="inlineStr">
        <is>
          <t>recvguTbC14iUK.jpg</t>
        </is>
      </c>
      <c r="C862" s="2" t="str">
        <f>=HYPERLINK("https://xhslink.com/m/Ai6OZlXOwIY", "https://xhslink.com/m/Ai6OZlXOwIY")</f>
        <v>https://xhslink.com/m/Ai6OZlXOwIY</v>
      </c>
      <c r="D862"/>
      <c r="E862">
        <v>1404</v>
      </c>
      <c r="F862">
        <v>79.98</v>
      </c>
      <c r="G862">
        <v>76.98</v>
      </c>
      <c r="H862">
        <v>400</v>
      </c>
      <c r="I862" t="inlineStr">
        <is>
          <t>鞋靴</t>
        </is>
      </c>
      <c r="J862" t="inlineStr">
        <is>
          <t>0.28</t>
        </is>
      </c>
      <c r="K862"/>
      <c r="L862" t="inlineStr">
        <is>
          <t>番茄酱～的店</t>
        </is>
      </c>
      <c r="M862">
        <v>883</v>
      </c>
      <c r="N862">
        <v>4.6</v>
      </c>
      <c r="O862">
        <v>20000</v>
      </c>
      <c r="P862" t="inlineStr">
        <is>
          <t>69c0e500ec666400013d9387</t>
        </is>
      </c>
      <c r="Q862" t="inlineStr">
        <is>
          <t>🚫重复</t>
        </is>
      </c>
      <c r="R862" t="inlineStr">
        <is>
          <t>15周</t>
        </is>
      </c>
      <c r="S862" t="inlineStr">
        <is>
          <t>1.59</t>
        </is>
      </c>
      <c r="T862" t="inlineStr">
        <is>
          <t>服饰穿搭</t>
        </is>
      </c>
      <c r="U862" t="inlineStr">
        <is>
          <t>鞋靴箱包</t>
        </is>
      </c>
      <c r="V862" s="3">
        <v>46123.98462962963</v>
      </c>
      <c r="W862" t="inlineStr">
        <is>
          <t>2026-Q2</t>
        </is>
      </c>
    </row>
    <row r="863" ht="25.5" customHeight="1">
      <c r="A863" t="inlineStr">
        <is>
          <t>古早风坡跟凉鞋高跟鞋厚底甜美蝴蝶结鱼嘴鞋</t>
        </is>
      </c>
      <c r="B863" t="inlineStr">
        <is>
          <t>recvguTbC1mMKN.jpg</t>
        </is>
      </c>
      <c r="C863" s="2" t="str">
        <f>=HYPERLINK("https://xhslink.com/m/AvjplyJ9qzc", "https://xhslink.com/m/AvjplyJ9qzc")</f>
        <v>https://xhslink.com/m/AvjplyJ9qzc</v>
      </c>
      <c r="D863"/>
      <c r="E863">
        <v>11000</v>
      </c>
      <c r="F863">
        <v>65.9</v>
      </c>
      <c r="G863">
        <v>55.9</v>
      </c>
      <c r="H863">
        <v>400</v>
      </c>
      <c r="I863" t="inlineStr">
        <is>
          <t>鞋靴</t>
        </is>
      </c>
      <c r="J863" t="inlineStr">
        <is>
          <t>0.04</t>
        </is>
      </c>
      <c r="K863"/>
      <c r="L863" t="inlineStr">
        <is>
          <t>饼饼酱耶的店</t>
        </is>
      </c>
      <c r="M863">
        <v>14000</v>
      </c>
      <c r="N863">
        <v>4.38</v>
      </c>
      <c r="O863">
        <v>169000</v>
      </c>
      <c r="P863" t="inlineStr">
        <is>
          <t>684469c4801a240001a0d001</t>
        </is>
      </c>
      <c r="Q863" t="inlineStr">
        <is>
          <t>🚫重复</t>
        </is>
      </c>
      <c r="R863" t="inlineStr">
        <is>
          <t>15周</t>
        </is>
      </c>
      <c r="S863" t="inlineStr">
        <is>
          <t>0.79</t>
        </is>
      </c>
      <c r="T863" t="inlineStr">
        <is>
          <t>服饰穿搭</t>
        </is>
      </c>
      <c r="U863" t="inlineStr">
        <is>
          <t>鞋靴箱包</t>
        </is>
      </c>
      <c r="V863" s="3">
        <v>46123.98462962963</v>
      </c>
      <c r="W863" t="inlineStr">
        <is>
          <t>2026-Q2</t>
        </is>
      </c>
    </row>
    <row r="864" ht="25.5" customHeight="1">
      <c r="A864" t="inlineStr">
        <is>
          <t>纯手工淡奶油纯奶小麦胚芽鸭蛋卷（绝无任何添加剂）</t>
        </is>
      </c>
      <c r="B864" t="inlineStr">
        <is>
          <t>recvguTbC1g7Vz.jpg</t>
        </is>
      </c>
      <c r="C864" s="2" t="str">
        <f>=HYPERLINK("https://xhslink.com/m/YD8YJKM9Bi", "https://xhslink.com/m/YD8YJKM9Bi")</f>
        <v>https://xhslink.com/m/YD8YJKM9Bi</v>
      </c>
      <c r="D864"/>
      <c r="E864">
        <v>155000</v>
      </c>
      <c r="F864">
        <v>26.8</v>
      </c>
      <c r="G864"/>
      <c r="H864">
        <v>400</v>
      </c>
      <c r="I864" t="inlineStr">
        <is>
          <t>饼干</t>
        </is>
      </c>
      <c r="J864" t="inlineStr">
        <is>
          <t>0.00</t>
        </is>
      </c>
      <c r="K864" t="inlineStr">
        <is>
          <t>🔥低粉爆款</t>
        </is>
      </c>
      <c r="L864" t="inlineStr">
        <is>
          <t>栗子做蛋卷的店</t>
        </is>
      </c>
      <c r="M864">
        <v>14000</v>
      </c>
      <c r="N864">
        <v>4.81</v>
      </c>
      <c r="O864">
        <v>162000</v>
      </c>
      <c r="P864" t="inlineStr">
        <is>
          <t>682cb1fabd112700013fddfc</t>
        </is>
      </c>
      <c r="Q864" t="inlineStr">
        <is>
          <t>🚫重复</t>
        </is>
      </c>
      <c r="R864" t="inlineStr">
        <is>
          <t>15周</t>
        </is>
      </c>
      <c r="S864" t="inlineStr">
        <is>
          <t>11.07</t>
        </is>
      </c>
      <c r="T864" t="inlineStr">
        <is>
          <t>美食滋补</t>
        </is>
      </c>
      <c r="U864" t="inlineStr">
        <is>
          <t>休闲零食</t>
        </is>
      </c>
      <c r="V864" s="3">
        <v>46123.98462962963</v>
      </c>
      <c r="W864" t="inlineStr">
        <is>
          <t>2026-Q2</t>
        </is>
      </c>
    </row>
    <row r="865" ht="25.5" customHeight="1">
      <c r="A865" t="inlineStr">
        <is>
          <t>【新店开业领券减】水果干冻干果蔬脆零食混合苹果芒果无花果</t>
        </is>
      </c>
      <c r="B865" t="inlineStr">
        <is>
          <t>__upload_recvgAET7xjoNA.jpg</t>
        </is>
      </c>
      <c r="C865" s="2" t="str">
        <f>=HYPERLINK("https://xhslink.com/m/7vmGD214aE9", "https://xhslink.com/m/7vmGD214aE9")</f>
        <v>https://xhslink.com/m/7vmGD214aE9</v>
      </c>
      <c r="D865"/>
      <c r="E865">
        <v>59000</v>
      </c>
      <c r="F865">
        <v>21.9</v>
      </c>
      <c r="G865">
        <v>9.9</v>
      </c>
      <c r="H865">
        <v>400</v>
      </c>
      <c r="I865" t="inlineStr">
        <is>
          <t>低脂零食</t>
        </is>
      </c>
      <c r="J865" t="inlineStr">
        <is>
          <t>0.01</t>
        </is>
      </c>
      <c r="K865" t="inlineStr">
        <is>
          <t>🔥低粉爆款</t>
        </is>
      </c>
      <c r="L865" t="inlineStr">
        <is>
          <t>嘎嘎嘣嘣GABONG的店</t>
        </is>
      </c>
      <c r="M865">
        <v>11000</v>
      </c>
      <c r="N865">
        <v>4.38</v>
      </c>
      <c r="O865">
        <v>78000</v>
      </c>
      <c r="P865" t="inlineStr">
        <is>
          <t>693e3e3d266b95000161fbf1</t>
        </is>
      </c>
      <c r="Q865" t="inlineStr">
        <is>
          <t>🚫重复</t>
        </is>
      </c>
      <c r="R865" t="inlineStr">
        <is>
          <t>15周</t>
        </is>
      </c>
      <c r="S865" t="inlineStr">
        <is>
          <t>5.36</t>
        </is>
      </c>
      <c r="T865" t="inlineStr">
        <is>
          <t>美食滋补</t>
        </is>
      </c>
      <c r="U865" t="inlineStr">
        <is>
          <t>休闲零食</t>
        </is>
      </c>
      <c r="V865" s="3">
        <v>46124.971342592595</v>
      </c>
      <c r="W865" t="inlineStr">
        <is>
          <t>2026-Q2</t>
        </is>
      </c>
    </row>
    <row r="866" ht="25.5" customHeight="1">
      <c r="A866" t="inlineStr">
        <is>
          <t>任选八枚【29.9/8包邮】手作碱水面包碱水棒套餐健身代餐早餐</t>
        </is>
      </c>
      <c r="B866" t="inlineStr">
        <is>
          <t>__upload_recvgAET7xrYRV.jpg</t>
        </is>
      </c>
      <c r="C866" s="2" t="str">
        <f>=HYPERLINK("https://xhslink.com/m/6Y4pqKtnj41", "https://xhslink.com/m/6Y4pqKtnj41")</f>
        <v>https://xhslink.com/m/6Y4pqKtnj41</v>
      </c>
      <c r="D866"/>
      <c r="E866">
        <v>597000</v>
      </c>
      <c r="F866">
        <v>20</v>
      </c>
      <c r="G866">
        <v>11.6</v>
      </c>
      <c r="H866">
        <v>400</v>
      </c>
      <c r="I866" t="inlineStr">
        <is>
          <t>即食早餐</t>
        </is>
      </c>
      <c r="J866" t="inlineStr">
        <is>
          <t>0.00</t>
        </is>
      </c>
      <c r="K866" t="inlineStr">
        <is>
          <t>🔥低粉爆款</t>
        </is>
      </c>
      <c r="L866" t="inlineStr">
        <is>
          <t>谷味侬手作的店</t>
        </is>
      </c>
      <c r="M866">
        <v>9092</v>
      </c>
      <c r="N866">
        <v>4.28</v>
      </c>
      <c r="O866">
        <v>1508000</v>
      </c>
      <c r="P866" t="inlineStr">
        <is>
          <t>6968b5d944a6c900014d7557</t>
        </is>
      </c>
      <c r="Q866" t="inlineStr">
        <is>
          <t>🚫重复</t>
        </is>
      </c>
      <c r="R866" t="inlineStr">
        <is>
          <t>15周</t>
        </is>
      </c>
      <c r="S866" t="inlineStr">
        <is>
          <t>65.66</t>
        </is>
      </c>
      <c r="T866" t="inlineStr">
        <is>
          <t>美食滋补</t>
        </is>
      </c>
      <c r="U866" t="inlineStr">
        <is>
          <t>休闲零食</t>
        </is>
      </c>
      <c r="V866" s="3">
        <v>46124.971342592595</v>
      </c>
      <c r="W866" t="inlineStr">
        <is>
          <t>2026-Q2</t>
        </is>
      </c>
    </row>
    <row r="867" ht="25.5" customHeight="1">
      <c r="A867" t="inlineStr">
        <is>
          <t>札萨 · 【一根猪】超干猪肉条盒子有油不售后!保质期已改90天s</t>
        </is>
      </c>
      <c r="B867" t="inlineStr">
        <is>
          <t>__upload_recvgAET7xGM4Q.jpg</t>
        </is>
      </c>
      <c r="C867" s="2" t="str">
        <f>=HYPERLINK("https://xhslink.com/m/6FvBSLB4G7O", "https://xhslink.com/m/6FvBSLB4G7O")</f>
        <v>https://xhslink.com/m/6FvBSLB4G7O</v>
      </c>
      <c r="D867"/>
      <c r="E867">
        <v>256000</v>
      </c>
      <c r="F867">
        <v>43.9</v>
      </c>
      <c r="G867"/>
      <c r="H867">
        <v>400</v>
      </c>
      <c r="I867" t="inlineStr">
        <is>
          <t>零食</t>
        </is>
      </c>
      <c r="J867" t="inlineStr">
        <is>
          <t>0.00</t>
        </is>
      </c>
      <c r="K867"/>
      <c r="L867" t="inlineStr">
        <is>
          <t>札萨旗舰店</t>
        </is>
      </c>
      <c r="M867">
        <v>121000</v>
      </c>
      <c r="N867">
        <v>4.59</v>
      </c>
      <c r="O867">
        <v>1343000</v>
      </c>
      <c r="P867" t="inlineStr">
        <is>
          <t>67dd0de321ffb300012c1f05</t>
        </is>
      </c>
      <c r="Q867" t="inlineStr">
        <is>
          <t>🚫重复</t>
        </is>
      </c>
      <c r="R867" t="inlineStr">
        <is>
          <t>15周</t>
        </is>
      </c>
      <c r="S867" t="inlineStr">
        <is>
          <t>2.12</t>
        </is>
      </c>
      <c r="T867" t="inlineStr">
        <is>
          <t>美食滋补</t>
        </is>
      </c>
      <c r="U867" t="inlineStr">
        <is>
          <t>休闲零食</t>
        </is>
      </c>
      <c r="V867" s="3">
        <v>46124.971342592595</v>
      </c>
      <c r="W867" t="inlineStr">
        <is>
          <t>2026-Q2</t>
        </is>
      </c>
    </row>
    <row r="868" ht="25.5" customHeight="1">
      <c r="A868" t="inlineStr">
        <is>
          <t>【圆领版】长袖T恤上衣春夏秋冬四季宽松慵懒感柔软舒适垂感罩衫</t>
        </is>
      </c>
      <c r="B868" t="inlineStr">
        <is>
          <t>__upload_recvgAET7x00ms.jpg</t>
        </is>
      </c>
      <c r="C868" s="2" t="str">
        <f>=HYPERLINK("https://xhslink.com/m/1FZqYkxbAPS", "https://xhslink.com/m/1FZqYkxbAPS")</f>
        <v>https://xhslink.com/m/1FZqYkxbAPS</v>
      </c>
      <c r="D868"/>
      <c r="E868">
        <v>23000</v>
      </c>
      <c r="F868">
        <v>99</v>
      </c>
      <c r="G868">
        <v>79</v>
      </c>
      <c r="H868">
        <v>400</v>
      </c>
      <c r="I868" t="inlineStr">
        <is>
          <t>T恤</t>
        </is>
      </c>
      <c r="J868" t="inlineStr">
        <is>
          <t>0.02</t>
        </is>
      </c>
      <c r="K868"/>
      <c r="L868" t="inlineStr">
        <is>
          <t>爱马橙的店</t>
        </is>
      </c>
      <c r="M868">
        <v>24000</v>
      </c>
      <c r="N868">
        <v>4.75</v>
      </c>
      <c r="O868">
        <v>168000</v>
      </c>
      <c r="P868" t="inlineStr">
        <is>
          <t>684aa7dfe874f200015848f6</t>
        </is>
      </c>
      <c r="Q868" t="inlineStr">
        <is>
          <t>🚫重复</t>
        </is>
      </c>
      <c r="R868" t="inlineStr">
        <is>
          <t>15周</t>
        </is>
      </c>
      <c r="S868" t="inlineStr">
        <is>
          <t>0.96</t>
        </is>
      </c>
      <c r="T868" t="inlineStr">
        <is>
          <t>服饰穿搭</t>
        </is>
      </c>
      <c r="U868" t="inlineStr">
        <is>
          <t>女装</t>
        </is>
      </c>
      <c r="V868" s="3">
        <v>46124.971342592595</v>
      </c>
      <c r="W868" t="inlineStr">
        <is>
          <t>2026-Q2</t>
        </is>
      </c>
    </row>
    <row r="869" ht="25.5" customHeight="1">
      <c r="A869" t="inlineStr">
        <is>
          <t>收腰正肩v领圆领抽褶短袖t恤女春夏显瘦短款韩系上衣</t>
        </is>
      </c>
      <c r="B869" t="inlineStr">
        <is>
          <t>__upload_recvgAET7xQ7kE.jpg</t>
        </is>
      </c>
      <c r="C869" s="2" t="str">
        <f>=HYPERLINK("https://xhslink.com/m/6F2a0qeSttN", "https://xhslink.com/m/6F2a0qeSttN")</f>
        <v>https://xhslink.com/m/6F2a0qeSttN</v>
      </c>
      <c r="D869"/>
      <c r="E869">
        <v>2582</v>
      </c>
      <c r="F869">
        <v>69.9</v>
      </c>
      <c r="G869">
        <v>38.9</v>
      </c>
      <c r="H869">
        <v>400</v>
      </c>
      <c r="I869" t="inlineStr">
        <is>
          <t>T恤</t>
        </is>
      </c>
      <c r="J869" t="inlineStr">
        <is>
          <t>0.15</t>
        </is>
      </c>
      <c r="K869"/>
      <c r="L869" t="inlineStr">
        <is>
          <t>远鸟🌙的店</t>
        </is>
      </c>
      <c r="M869">
        <v>1517</v>
      </c>
      <c r="N869">
        <v>4.61</v>
      </c>
      <c r="O869">
        <v>37000</v>
      </c>
      <c r="P869" t="inlineStr">
        <is>
          <t>69b04e64771a670001aff834</t>
        </is>
      </c>
      <c r="Q869" t="inlineStr">
        <is>
          <t>🚫重复</t>
        </is>
      </c>
      <c r="R869" t="inlineStr">
        <is>
          <t>15周</t>
        </is>
      </c>
      <c r="S869" t="inlineStr">
        <is>
          <t>1.70</t>
        </is>
      </c>
      <c r="T869" t="inlineStr">
        <is>
          <t>服饰穿搭</t>
        </is>
      </c>
      <c r="U869" t="inlineStr">
        <is>
          <t>女装</t>
        </is>
      </c>
      <c r="V869" s="3">
        <v>46124.971342592595</v>
      </c>
      <c r="W869" t="inlineStr">
        <is>
          <t>2026-Q2</t>
        </is>
      </c>
    </row>
    <row r="870" ht="25.5" customHeight="1">
      <c r="A870" t="inlineStr">
        <is>
          <t>【今天也很困】印花T恤 260g纯棉重磅日系宽松百搭T恤</t>
        </is>
      </c>
      <c r="B870" t="inlineStr">
        <is>
          <t>__upload_recvgAET7xn1y2.jpg</t>
        </is>
      </c>
      <c r="C870" s="2" t="str">
        <f>=HYPERLINK("https://xhslink.com/m/85Z1hpGmIuX", "https://xhslink.com/m/85Z1hpGmIuX")</f>
        <v>https://xhslink.com/m/85Z1hpGmIuX</v>
      </c>
      <c r="D870"/>
      <c r="E870">
        <v>1541</v>
      </c>
      <c r="F870">
        <v>49.9</v>
      </c>
      <c r="G870">
        <v>39.9</v>
      </c>
      <c r="H870">
        <v>400</v>
      </c>
      <c r="I870" t="inlineStr">
        <is>
          <t>T恤</t>
        </is>
      </c>
      <c r="J870" t="inlineStr">
        <is>
          <t>0.26</t>
        </is>
      </c>
      <c r="K870"/>
      <c r="L870" t="inlineStr">
        <is>
          <t>JaSo Shop的店</t>
        </is>
      </c>
      <c r="M870">
        <v>573</v>
      </c>
      <c r="N870">
        <v>4.75</v>
      </c>
      <c r="O870">
        <v>2933</v>
      </c>
      <c r="P870" t="inlineStr">
        <is>
          <t>68c4203ed1f7b800012bc175</t>
        </is>
      </c>
      <c r="Q870"/>
      <c r="R870" t="inlineStr">
        <is>
          <t>15周</t>
        </is>
      </c>
      <c r="S870" t="inlineStr">
        <is>
          <t>2.69</t>
        </is>
      </c>
      <c r="T870" t="inlineStr">
        <is>
          <t>服饰穿搭</t>
        </is>
      </c>
      <c r="U870" t="inlineStr">
        <is>
          <t>女装</t>
        </is>
      </c>
      <c r="V870" s="3">
        <v>46124.971342592595</v>
      </c>
      <c r="W870" t="inlineStr">
        <is>
          <t>2026-Q2</t>
        </is>
      </c>
    </row>
    <row r="871" ht="25.5" customHeight="1">
      <c r="A871" t="inlineStr">
        <is>
          <t>HOLD LIVE · 雾境蝶影综合粉盘12色蝴蝶眼影 粉蓝撞色珠光闪粉腮红盘</t>
        </is>
      </c>
      <c r="B871" t="inlineStr">
        <is>
          <t>__upload_recvgAET7xJyG5.jpg</t>
        </is>
      </c>
      <c r="C871" s="2" t="str">
        <f>=HYPERLINK("https://xhslink.com/m/9tbwkN54MFp", "https://xhslink.com/m/9tbwkN54MFp")</f>
        <v>https://xhslink.com/m/9tbwkN54MFp</v>
      </c>
      <c r="D871"/>
      <c r="E871">
        <v>681</v>
      </c>
      <c r="F871">
        <v>49.9</v>
      </c>
      <c r="G871"/>
      <c r="H871">
        <v>400</v>
      </c>
      <c r="I871" t="inlineStr">
        <is>
          <t>美妆</t>
        </is>
      </c>
      <c r="J871" t="inlineStr">
        <is>
          <t>0.59</t>
        </is>
      </c>
      <c r="K871"/>
      <c r="L871" t="inlineStr">
        <is>
          <t>Holdlive旗舰店</t>
        </is>
      </c>
      <c r="M871">
        <v>354000</v>
      </c>
      <c r="N871">
        <v>4.67</v>
      </c>
      <c r="O871">
        <v>538000</v>
      </c>
      <c r="P871" t="inlineStr">
        <is>
          <t>693bc3af33f9b30001787fb4</t>
        </is>
      </c>
      <c r="Q871" t="inlineStr">
        <is>
          <t>🚫重复</t>
        </is>
      </c>
      <c r="R871" t="inlineStr">
        <is>
          <t>15周</t>
        </is>
      </c>
      <c r="S871" t="inlineStr">
        <is>
          <t>0.00</t>
        </is>
      </c>
      <c r="T871" t="inlineStr">
        <is>
          <t>美妆个护</t>
        </is>
      </c>
      <c r="U871" t="inlineStr">
        <is>
          <t>护肤彩妆</t>
        </is>
      </c>
      <c r="V871" s="3">
        <v>46124.971342592595</v>
      </c>
      <c r="W871" t="inlineStr">
        <is>
          <t>2026-Q2</t>
        </is>
      </c>
    </row>
    <row r="872" ht="25.5" customHeight="1">
      <c r="A872" t="inlineStr">
        <is>
          <t>铭创优趣长脖子动物毛绒玩具邪恶挂件可爱治愈挂饰装饰玩偶送礼物</t>
        </is>
      </c>
      <c r="B872" t="inlineStr">
        <is>
          <t>__upload_recvgAET7xFDcn.jpg</t>
        </is>
      </c>
      <c r="C872" s="2" t="str">
        <f>=HYPERLINK("https://xhslink.com/m/2dLXY7q10jW", "https://xhslink.com/m/2dLXY7q10jW")</f>
        <v>https://xhslink.com/m/2dLXY7q10jW</v>
      </c>
      <c r="D872"/>
      <c r="E872">
        <v>3598</v>
      </c>
      <c r="F872">
        <v>19.8</v>
      </c>
      <c r="G872"/>
      <c r="H872">
        <v>400</v>
      </c>
      <c r="I872" t="inlineStr">
        <is>
          <t>包挂仔公仔</t>
        </is>
      </c>
      <c r="J872" t="inlineStr">
        <is>
          <t>0.11</t>
        </is>
      </c>
      <c r="K872"/>
      <c r="L872" t="inlineStr">
        <is>
          <t>铭创优趣的店</t>
        </is>
      </c>
      <c r="M872">
        <v>123000</v>
      </c>
      <c r="N872">
        <v>4.53</v>
      </c>
      <c r="O872">
        <v>115000</v>
      </c>
      <c r="P872" t="inlineStr">
        <is>
          <t>69afedce3250830001b4f5a0</t>
        </is>
      </c>
      <c r="Q872" t="inlineStr">
        <is>
          <t>🚫重复</t>
        </is>
      </c>
      <c r="R872" t="inlineStr">
        <is>
          <t>15周</t>
        </is>
      </c>
      <c r="S872" t="inlineStr">
        <is>
          <t>0.03</t>
        </is>
      </c>
      <c r="T872" t="inlineStr">
        <is>
          <t>母婴亲子</t>
        </is>
      </c>
      <c r="U872" t="inlineStr">
        <is>
          <t>玩具早教</t>
        </is>
      </c>
      <c r="V872" s="3">
        <v>46124.971342592595</v>
      </c>
      <c r="W872" t="inlineStr">
        <is>
          <t>2026-Q2</t>
        </is>
      </c>
    </row>
    <row r="873" ht="25.5" customHeight="1">
      <c r="A873" t="inlineStr">
        <is>
          <t>法式白色V领短袖衬衫女2026夏季小众设计气质减龄翻领衬衣</t>
        </is>
      </c>
      <c r="B873" t="inlineStr">
        <is>
          <t>recvgGy5hQptYK.jpg</t>
        </is>
      </c>
      <c r="C873" s="2" t="str">
        <f>=HYPERLINK("https://xhslink.com/m/8j74zjoyfKj", "https://xhslink.com/m/8j74zjoyfKj")</f>
        <v>https://xhslink.com/m/8j74zjoyfKj</v>
      </c>
      <c r="D873"/>
      <c r="E873">
        <v>116000</v>
      </c>
      <c r="F873">
        <v>89</v>
      </c>
      <c r="G873"/>
      <c r="H873">
        <v>400</v>
      </c>
      <c r="I873" t="inlineStr">
        <is>
          <t>上衣</t>
        </is>
      </c>
      <c r="J873" t="inlineStr">
        <is>
          <t>0.00</t>
        </is>
      </c>
      <c r="K873"/>
      <c r="L873" t="inlineStr">
        <is>
          <t>KK穿搭分享~的店</t>
        </is>
      </c>
      <c r="M873">
        <v>597000</v>
      </c>
      <c r="N873">
        <v>4.6</v>
      </c>
      <c r="O873">
        <v>3111000</v>
      </c>
      <c r="P873" t="inlineStr">
        <is>
          <t>6690f15b5bcbdc00010b8304</t>
        </is>
      </c>
      <c r="Q873" t="inlineStr">
        <is>
          <t>🚫重复</t>
        </is>
      </c>
      <c r="R873" t="inlineStr">
        <is>
          <t>16周</t>
        </is>
      </c>
      <c r="S873" t="inlineStr">
        <is>
          <t>0.19</t>
        </is>
      </c>
      <c r="T873" t="inlineStr">
        <is>
          <t>服饰穿搭</t>
        </is>
      </c>
      <c r="U873" t="inlineStr">
        <is>
          <t>女装</t>
        </is>
      </c>
      <c r="V873" s="3">
        <v>46125.978738425925</v>
      </c>
      <c r="W873" t="inlineStr">
        <is>
          <t>2026-Q2</t>
        </is>
      </c>
    </row>
    <row r="874" ht="25.5" customHeight="1">
      <c r="A874" t="inlineStr">
        <is>
          <t>维多利亚的秘密 · 维密宅度假系列缎面水光绸丝滑短袖家居服套装睡衣女</t>
        </is>
      </c>
      <c r="B874" t="inlineStr">
        <is>
          <t>recvgGy5hQ8Z3g.jpg</t>
        </is>
      </c>
      <c r="C874" s="2" t="str">
        <f>=HYPERLINK("https://xhslink.com/m/A6iuILtTfyY", "https://xhslink.com/m/A6iuILtTfyY")</f>
        <v>https://xhslink.com/m/A6iuILtTfyY</v>
      </c>
      <c r="D874"/>
      <c r="E874">
        <v>7406</v>
      </c>
      <c r="F874">
        <v>668</v>
      </c>
      <c r="G874">
        <v>408</v>
      </c>
      <c r="H874">
        <v>400</v>
      </c>
      <c r="I874" t="inlineStr">
        <is>
          <t>上衣</t>
        </is>
      </c>
      <c r="J874" t="inlineStr">
        <is>
          <t>0.05</t>
        </is>
      </c>
      <c r="K874"/>
      <c r="L874" t="inlineStr">
        <is>
          <t>维多利亚的秘密旗舰店</t>
        </is>
      </c>
      <c r="M874">
        <v>251000</v>
      </c>
      <c r="N874">
        <v>4.78</v>
      </c>
      <c r="O874">
        <v>840000</v>
      </c>
      <c r="P874" t="inlineStr">
        <is>
          <t>6971f722a1496d000144806b</t>
        </is>
      </c>
      <c r="Q874" t="inlineStr">
        <is>
          <t>🚫重复</t>
        </is>
      </c>
      <c r="R874" t="inlineStr">
        <is>
          <t>16周</t>
        </is>
      </c>
      <c r="S874" t="inlineStr">
        <is>
          <t>0.03</t>
        </is>
      </c>
      <c r="T874" t="inlineStr">
        <is>
          <t>服饰穿搭</t>
        </is>
      </c>
      <c r="U874" t="inlineStr">
        <is>
          <t>女装</t>
        </is>
      </c>
      <c r="V874" s="3">
        <v>46125.978738425925</v>
      </c>
      <c r="W874" t="inlineStr">
        <is>
          <t>2026-Q2</t>
        </is>
      </c>
    </row>
    <row r="875" ht="25.5" customHeight="1">
      <c r="A875" t="inlineStr">
        <is>
          <t>山东南瓜拼装·绿贝贝·奶油·金贝贝南瓜·粉糯香甜·顺丰</t>
        </is>
      </c>
      <c r="B875" t="inlineStr">
        <is>
          <t>recvgGy5hQ4bgp.jpg</t>
        </is>
      </c>
      <c r="C875" s="2" t="str">
        <f>=HYPERLINK("https://xhslink.com/m/5eUvffVfEZz", "https://xhslink.com/m/5eUvffVfEZz")</f>
        <v>https://xhslink.com/m/5eUvffVfEZz</v>
      </c>
      <c r="D875"/>
      <c r="E875">
        <v>10000</v>
      </c>
      <c r="F875">
        <v>59.9</v>
      </c>
      <c r="G875">
        <v>49.9</v>
      </c>
      <c r="H875">
        <v>400</v>
      </c>
      <c r="I875" t="inlineStr">
        <is>
          <t>精选蔬菜</t>
        </is>
      </c>
      <c r="J875" t="inlineStr">
        <is>
          <t>0.04</t>
        </is>
      </c>
      <c r="K875"/>
      <c r="L875" t="inlineStr">
        <is>
          <t>桃掌柜果蔬的店</t>
        </is>
      </c>
      <c r="M875">
        <v>61000</v>
      </c>
      <c r="N875">
        <v>4.73</v>
      </c>
      <c r="O875">
        <v>1190000</v>
      </c>
      <c r="P875" t="inlineStr">
        <is>
          <t>68a050bfb7465e00011e350f</t>
        </is>
      </c>
      <c r="Q875" t="inlineStr">
        <is>
          <t>🚫重复</t>
        </is>
      </c>
      <c r="R875" t="inlineStr">
        <is>
          <t>16周</t>
        </is>
      </c>
      <c r="S875" t="inlineStr">
        <is>
          <t>0.16</t>
        </is>
      </c>
      <c r="T875" t="inlineStr">
        <is>
          <t>运动潮玩</t>
        </is>
      </c>
      <c r="U875" t="inlineStr">
        <is>
          <t>潮玩手办</t>
        </is>
      </c>
      <c r="V875" s="3">
        <v>46125.978738425925</v>
      </c>
      <c r="W875" t="inlineStr">
        <is>
          <t>2026-Q2</t>
        </is>
      </c>
    </row>
    <row r="876" ht="25.5" customHeight="1">
      <c r="A876" t="inlineStr">
        <is>
          <t>【限时特惠】新款健身游泳包干湿分离大容量防水袋折叠旅行洗漱包</t>
        </is>
      </c>
      <c r="B876" t="inlineStr">
        <is>
          <t>__upload_recvgMo2ZYndYE.jpg</t>
        </is>
      </c>
      <c r="C876" s="2" t="str">
        <f>=HYPERLINK("https://xhslink.com/m/7tUsEfElyVq", "https://xhslink.com/m/7tUsEfElyVq")</f>
        <v>https://xhslink.com/m/7tUsEfElyVq</v>
      </c>
      <c r="D876"/>
      <c r="E876">
        <v>19000</v>
      </c>
      <c r="F876">
        <v>20.9</v>
      </c>
      <c r="G876">
        <v>13.9</v>
      </c>
      <c r="H876">
        <v>400</v>
      </c>
      <c r="I876" t="inlineStr">
        <is>
          <t>防水包</t>
        </is>
      </c>
      <c r="J876" t="inlineStr">
        <is>
          <t>0.02</t>
        </is>
      </c>
      <c r="K876" t="inlineStr">
        <is>
          <t>🔥低粉爆款</t>
        </is>
      </c>
      <c r="L876" t="inlineStr">
        <is>
          <t>糖包小兔的店</t>
        </is>
      </c>
      <c r="M876">
        <v>1189</v>
      </c>
      <c r="N876">
        <v>4.6</v>
      </c>
      <c r="O876">
        <v>19000</v>
      </c>
      <c r="P876" t="inlineStr">
        <is>
          <t>68281b4a0e10380001249283</t>
        </is>
      </c>
      <c r="Q876" t="inlineStr">
        <is>
          <t>🚫重复</t>
        </is>
      </c>
      <c r="R876" t="inlineStr">
        <is>
          <t>16周</t>
        </is>
      </c>
      <c r="S876" t="inlineStr">
        <is>
          <t>15.98</t>
        </is>
      </c>
      <c r="T876" t="inlineStr">
        <is>
          <t>运动潮玩</t>
        </is>
      </c>
      <c r="U876" t="inlineStr">
        <is>
          <t>运动户外装备</t>
        </is>
      </c>
      <c r="V876" s="3">
        <v>46126.97719907408</v>
      </c>
      <c r="W876" t="inlineStr">
        <is>
          <t>2026-Q2</t>
        </is>
      </c>
    </row>
    <row r="877" ht="25.5" customHeight="1">
      <c r="A877" t="inlineStr">
        <is>
          <t>【奶呼呼】春夏圆领带胸垫泡泡棉软萌可爱睡衣女家居套装</t>
        </is>
      </c>
      <c r="B877" t="inlineStr">
        <is>
          <t>__upload_recvgMo2ZYZGJA.jpg</t>
        </is>
      </c>
      <c r="C877" s="2" t="str">
        <f>=HYPERLINK("https://xhslink.com/m/DukUO1HyJS", "https://xhslink.com/m/DukUO1HyJS")</f>
        <v>https://xhslink.com/m/DukUO1HyJS</v>
      </c>
      <c r="D877"/>
      <c r="E877">
        <v>390</v>
      </c>
      <c r="F877">
        <v>74.9</v>
      </c>
      <c r="G877">
        <v>49.9</v>
      </c>
      <c r="H877">
        <v>400</v>
      </c>
      <c r="I877" t="inlineStr">
        <is>
          <t>夏天睡衣</t>
        </is>
      </c>
      <c r="J877" t="inlineStr">
        <is>
          <t>1.03</t>
        </is>
      </c>
      <c r="K877"/>
      <c r="L877" t="inlineStr">
        <is>
          <t>哇趣芥末美的店</t>
        </is>
      </c>
      <c r="M877">
        <v>31000</v>
      </c>
      <c r="N877">
        <v>4.56</v>
      </c>
      <c r="O877">
        <v>285000</v>
      </c>
      <c r="P877" t="inlineStr">
        <is>
          <t>69cc1242c6fcf50001fc4a16</t>
        </is>
      </c>
      <c r="Q877" t="inlineStr">
        <is>
          <t>🚫重复</t>
        </is>
      </c>
      <c r="R877" t="inlineStr">
        <is>
          <t>16周</t>
        </is>
      </c>
      <c r="S877" t="inlineStr">
        <is>
          <t>0.01</t>
        </is>
      </c>
      <c r="T877" t="inlineStr">
        <is>
          <t>服饰穿搭</t>
        </is>
      </c>
      <c r="U877" t="inlineStr">
        <is>
          <t>女装</t>
        </is>
      </c>
      <c r="V877" s="3">
        <v>46126.97719907408</v>
      </c>
      <c r="W877" t="inlineStr">
        <is>
          <t>2026-Q2</t>
        </is>
      </c>
    </row>
    <row r="878" ht="25.5" customHeight="1">
      <c r="A878" t="inlineStr">
        <is>
          <t>半硬顶磨毛棒球帽简约加大版帽子女百搭显脸小鸭舌帽刺绣加宽帽檐</t>
        </is>
      </c>
      <c r="B878" t="inlineStr">
        <is>
          <t>__upload_recvgMo2ZY78qK.jpg</t>
        </is>
      </c>
      <c r="C878" s="2" t="str">
        <f>=HYPERLINK("https://xhslink.com/m/34pzPzHulr6", "https://xhslink.com/m/34pzPzHulr6")</f>
        <v>https://xhslink.com/m/34pzPzHulr6</v>
      </c>
      <c r="D878"/>
      <c r="E878">
        <v>14000</v>
      </c>
      <c r="F878">
        <v>49.9</v>
      </c>
      <c r="G878">
        <v>29.9</v>
      </c>
      <c r="H878">
        <v>400</v>
      </c>
      <c r="I878" t="inlineStr">
        <is>
          <t>帽子</t>
        </is>
      </c>
      <c r="J878" t="inlineStr">
        <is>
          <t>0.03</t>
        </is>
      </c>
      <c r="K878" t="inlineStr">
        <is>
          <t>🔥低粉爆款</t>
        </is>
      </c>
      <c r="L878" t="inlineStr">
        <is>
          <t>凸凸服配的店</t>
        </is>
      </c>
      <c r="M878">
        <v>1575</v>
      </c>
      <c r="N878">
        <v>4.5</v>
      </c>
      <c r="O878">
        <v>32000</v>
      </c>
      <c r="P878" t="inlineStr">
        <is>
          <t>68985912b60054000165110d</t>
        </is>
      </c>
      <c r="Q878" t="inlineStr">
        <is>
          <t>🚫重复</t>
        </is>
      </c>
      <c r="R878" t="inlineStr">
        <is>
          <t>16周</t>
        </is>
      </c>
      <c r="S878" t="inlineStr">
        <is>
          <t>8.89</t>
        </is>
      </c>
      <c r="T878" t="inlineStr">
        <is>
          <t>服饰穿搭</t>
        </is>
      </c>
      <c r="U878" t="inlineStr">
        <is>
          <t>配饰</t>
        </is>
      </c>
      <c r="V878" s="3">
        <v>46126.97719907408</v>
      </c>
      <c r="W878" t="inlineStr">
        <is>
          <t>2026-Q2</t>
        </is>
      </c>
    </row>
    <row r="879" ht="25.5" customHeight="1">
      <c r="A879" t="inlineStr">
        <is>
          <t>杏色交叉针织衫女夏季2026新款设计感露背洋气显瘦无袖上衣</t>
        </is>
      </c>
      <c r="B879" t="inlineStr">
        <is>
          <t>__upload_recvgMo2ZY7G3g.jpg</t>
        </is>
      </c>
      <c r="C879" s="2" t="str">
        <f>=HYPERLINK("https://xhslink.com/m/5TvzJ4KXYbV", "https://xhslink.com/m/5TvzJ4KXYbV")</f>
        <v>https://xhslink.com/m/5TvzJ4KXYbV</v>
      </c>
      <c r="D879"/>
      <c r="E879">
        <v>39000</v>
      </c>
      <c r="F879">
        <v>59.9</v>
      </c>
      <c r="G879"/>
      <c r="H879">
        <v>400</v>
      </c>
      <c r="I879" t="inlineStr">
        <is>
          <t>背心吊带</t>
        </is>
      </c>
      <c r="J879" t="inlineStr">
        <is>
          <t>0.01</t>
        </is>
      </c>
      <c r="K879"/>
      <c r="L879" t="inlineStr">
        <is>
          <t>KK穿搭分享~的店</t>
        </is>
      </c>
      <c r="M879">
        <v>597000</v>
      </c>
      <c r="N879">
        <v>4.6</v>
      </c>
      <c r="O879">
        <v>3113000</v>
      </c>
      <c r="P879" t="inlineStr">
        <is>
          <t>6836fd3753e72e0001bd3c8d</t>
        </is>
      </c>
      <c r="Q879" t="inlineStr">
        <is>
          <t>🚫重复</t>
        </is>
      </c>
      <c r="R879" t="inlineStr">
        <is>
          <t>16周</t>
        </is>
      </c>
      <c r="S879" t="inlineStr">
        <is>
          <t>0.07</t>
        </is>
      </c>
      <c r="T879" t="inlineStr">
        <is>
          <t>服饰穿搭</t>
        </is>
      </c>
      <c r="U879" t="inlineStr">
        <is>
          <t>女装</t>
        </is>
      </c>
      <c r="V879" s="3">
        <v>46126.97719907408</v>
      </c>
      <c r="W879" t="inlineStr">
        <is>
          <t>2026-Q2</t>
        </is>
      </c>
    </row>
    <row r="880" ht="25.5" customHeight="1">
      <c r="A880" t="inlineStr">
        <is>
          <t>KAZOO · 【迪丽热巴同款】可逐多肽颈膜抗皱提拉紧致提亮淡化颈纹霜</t>
        </is>
      </c>
      <c r="B880" t="inlineStr">
        <is>
          <t>__upload_recvgMo2ZYgr99.jpg</t>
        </is>
      </c>
      <c r="C880" s="2" t="str">
        <f>=HYPERLINK("https://xhslink.com/m/59IisrXJokB", "https://xhslink.com/m/59IisrXJokB")</f>
        <v>https://xhslink.com/m/59IisrXJokB</v>
      </c>
      <c r="D880"/>
      <c r="E880">
        <v>70000</v>
      </c>
      <c r="F880">
        <v>299</v>
      </c>
      <c r="G880"/>
      <c r="H880">
        <v>400</v>
      </c>
      <c r="I880" t="inlineStr">
        <is>
          <t>皱纹</t>
        </is>
      </c>
      <c r="J880" t="inlineStr">
        <is>
          <t>0.01</t>
        </is>
      </c>
      <c r="K880"/>
      <c r="L880" t="inlineStr">
        <is>
          <t>KAZOO可逐护肤旗舰店</t>
        </is>
      </c>
      <c r="M880">
        <v>49000</v>
      </c>
      <c r="N880">
        <v>4.52</v>
      </c>
      <c r="O880">
        <v>106000</v>
      </c>
      <c r="P880" t="inlineStr">
        <is>
          <t>69a552f536986d000135d7a7</t>
        </is>
      </c>
      <c r="Q880"/>
      <c r="R880" t="inlineStr">
        <is>
          <t>16周</t>
        </is>
      </c>
      <c r="S880" t="inlineStr">
        <is>
          <t>1.43</t>
        </is>
      </c>
      <c r="T880" t="inlineStr">
        <is>
          <t>美妆个护</t>
        </is>
      </c>
      <c r="U880" t="inlineStr">
        <is>
          <t>护肤彩妆</t>
        </is>
      </c>
      <c r="V880" s="3">
        <v>46126.97719907408</v>
      </c>
      <c r="W880" t="inlineStr">
        <is>
          <t>2026-Q2</t>
        </is>
      </c>
    </row>
    <row r="881" ht="25.5" customHeight="1">
      <c r="A881" t="inlineStr">
        <is>
          <t>9.9r宠粉福利：树莓波点11cm+奶黄弧形12cm</t>
        </is>
      </c>
      <c r="B881" t="inlineStr">
        <is>
          <t>__upload_recvgMo2ZYCpRV.jpg</t>
        </is>
      </c>
      <c r="C881" s="2" t="str">
        <f>=HYPERLINK("https://xhslink.com/m/3D78r01HkxD", "https://xhslink.com/m/3D78r01HkxD")</f>
        <v>https://xhslink.com/m/3D78r01HkxD</v>
      </c>
      <c r="D881"/>
      <c r="E881">
        <v>2204</v>
      </c>
      <c r="F881">
        <v>12.37</v>
      </c>
      <c r="G881">
        <v>9.9</v>
      </c>
      <c r="H881">
        <v>400</v>
      </c>
      <c r="I881" t="inlineStr">
        <is>
          <t>头饰</t>
        </is>
      </c>
      <c r="J881" t="inlineStr">
        <is>
          <t>0.18</t>
        </is>
      </c>
      <c r="K881"/>
      <c r="L881" t="inlineStr">
        <is>
          <t>稳的店</t>
        </is>
      </c>
      <c r="M881">
        <v>1152</v>
      </c>
      <c r="N881">
        <v>4.56</v>
      </c>
      <c r="O881">
        <v>26000</v>
      </c>
      <c r="P881" t="inlineStr">
        <is>
          <t>69cccc0921086e0001a4fb3f</t>
        </is>
      </c>
      <c r="Q881"/>
      <c r="R881" t="inlineStr">
        <is>
          <t>16周</t>
        </is>
      </c>
      <c r="S881" t="inlineStr">
        <is>
          <t>1.91</t>
        </is>
      </c>
      <c r="T881" t="inlineStr">
        <is>
          <t>服饰穿搭</t>
        </is>
      </c>
      <c r="U881" t="inlineStr">
        <is>
          <t>配饰</t>
        </is>
      </c>
      <c r="V881" s="3">
        <v>46126.97719907408</v>
      </c>
      <c r="W881" t="inlineStr">
        <is>
          <t>2026-Q2</t>
        </is>
      </c>
    </row>
    <row r="882" ht="25.5" customHeight="1">
      <c r="A882" t="inlineStr">
        <is>
          <t>白色直筒牛仔裤女夏季2026多色新款高腰宽松阔腿显瘦慵懒拖地裤子</t>
        </is>
      </c>
      <c r="B882" t="inlineStr">
        <is>
          <t>__upload_recvgMo2ZYjAsk.jpg</t>
        </is>
      </c>
      <c r="C882" s="2" t="str">
        <f>=HYPERLINK("https://xhslink.com/m/9jhpOrdD7cY", "https://xhslink.com/m/9jhpOrdD7cY")</f>
        <v>https://xhslink.com/m/9jhpOrdD7cY</v>
      </c>
      <c r="D882"/>
      <c r="E882">
        <v>22000</v>
      </c>
      <c r="F882">
        <v>109</v>
      </c>
      <c r="G882">
        <v>78</v>
      </c>
      <c r="H882">
        <v>400</v>
      </c>
      <c r="I882" t="inlineStr">
        <is>
          <t>牛仔裤</t>
        </is>
      </c>
      <c r="J882" t="inlineStr">
        <is>
          <t>0.02</t>
        </is>
      </c>
      <c r="K882"/>
      <c r="L882" t="inlineStr">
        <is>
          <t>圈圈不转圈⭕的店</t>
        </is>
      </c>
      <c r="M882">
        <v>34000</v>
      </c>
      <c r="N882">
        <v>4.45</v>
      </c>
      <c r="O882">
        <v>253000</v>
      </c>
      <c r="P882" t="inlineStr">
        <is>
          <t>67d06c8501442700019c943a</t>
        </is>
      </c>
      <c r="Q882" t="inlineStr">
        <is>
          <t>🚫重复</t>
        </is>
      </c>
      <c r="R882" t="inlineStr">
        <is>
          <t>16周</t>
        </is>
      </c>
      <c r="S882" t="inlineStr">
        <is>
          <t>0.65</t>
        </is>
      </c>
      <c r="T882" t="inlineStr">
        <is>
          <t>服饰穿搭</t>
        </is>
      </c>
      <c r="U882" t="inlineStr">
        <is>
          <t>女装</t>
        </is>
      </c>
      <c r="V882" s="3">
        <v>46126.97719907408</v>
      </c>
      <c r="W882" t="inlineStr">
        <is>
          <t>2026-Q2</t>
        </is>
      </c>
    </row>
    <row r="883" ht="25.5" customHeight="1">
      <c r="A883" t="inlineStr">
        <is>
          <t>145g奶皮子捏捏泥感慢回弹食品级硅胶</t>
        </is>
      </c>
      <c r="B883" t="inlineStr">
        <is>
          <t>__upload_recvgMo2ZYIZKT.jpg</t>
        </is>
      </c>
      <c r="C883" s="2" t="str">
        <f>=HYPERLINK("https://xhslink.com/m/4uoJy7o4RfC", "https://xhslink.com/m/4uoJy7o4RfC")</f>
        <v>https://xhslink.com/m/4uoJy7o4RfC</v>
      </c>
      <c r="D883"/>
      <c r="E883">
        <v>30000</v>
      </c>
      <c r="F883">
        <v>9.9</v>
      </c>
      <c r="G883"/>
      <c r="H883">
        <v>400</v>
      </c>
      <c r="I883" t="inlineStr">
        <is>
          <t>硅胶捏捏</t>
        </is>
      </c>
      <c r="J883" t="inlineStr">
        <is>
          <t>0.01</t>
        </is>
      </c>
      <c r="K883"/>
      <c r="L883" t="inlineStr">
        <is>
          <t>蟹老板捏捏的店</t>
        </is>
      </c>
      <c r="M883">
        <v>25000</v>
      </c>
      <c r="N883">
        <v>4.4</v>
      </c>
      <c r="O883">
        <v>166000</v>
      </c>
      <c r="P883" t="inlineStr">
        <is>
          <t>690611cd454590000197ebc8</t>
        </is>
      </c>
      <c r="Q883" t="inlineStr">
        <is>
          <t>🚫重复</t>
        </is>
      </c>
      <c r="R883" t="inlineStr">
        <is>
          <t>16周</t>
        </is>
      </c>
      <c r="S883" t="inlineStr">
        <is>
          <t>1.20</t>
        </is>
      </c>
      <c r="T883" t="inlineStr">
        <is>
          <t>运动潮玩</t>
        </is>
      </c>
      <c r="U883" t="inlineStr">
        <is>
          <t>潮玩手办</t>
        </is>
      </c>
      <c r="V883" s="3">
        <v>46126.97719907408</v>
      </c>
      <c r="W883" t="inlineStr">
        <is>
          <t>2026-Q2</t>
        </is>
      </c>
    </row>
    <row r="884" ht="25.5" customHeight="1">
      <c r="A884" t="inlineStr">
        <is>
          <t>苹果菠萝山楂茶｜管理期友好 春夏饮品 三倍高钾 夏日水果茶</t>
        </is>
      </c>
      <c r="B884" t="inlineStr">
        <is>
          <t>__upload_recvgSimhWHXk1.jpg</t>
        </is>
      </c>
      <c r="C884" s="2" t="str">
        <f>=HYPERLINK("https://xhslink.com/m/977fvcfwi7w", "https://xhslink.com/m/977fvcfwi7w")</f>
        <v>https://xhslink.com/m/977fvcfwi7w</v>
      </c>
      <c r="D884"/>
      <c r="E884">
        <v>5020</v>
      </c>
      <c r="F884">
        <v>169.8</v>
      </c>
      <c r="G884">
        <v>109.8</v>
      </c>
      <c r="H884">
        <v>400</v>
      </c>
      <c r="I884" t="inlineStr">
        <is>
          <t>夏日饮品</t>
        </is>
      </c>
      <c r="J884" t="inlineStr">
        <is>
          <t>0.08</t>
        </is>
      </c>
      <c r="K884" t="inlineStr">
        <is>
          <t>🔥低粉爆款</t>
        </is>
      </c>
      <c r="L884" t="inlineStr">
        <is>
          <t>味染食养的店</t>
        </is>
      </c>
      <c r="M884">
        <v>42</v>
      </c>
      <c r="N884">
        <v>4.51</v>
      </c>
      <c r="O884">
        <v>6664</v>
      </c>
      <c r="P884" t="inlineStr">
        <is>
          <t>69c8a4b0b2b4f200019c8118</t>
        </is>
      </c>
      <c r="Q884"/>
      <c r="R884" t="inlineStr">
        <is>
          <t>16周</t>
        </is>
      </c>
      <c r="S884" t="inlineStr">
        <is>
          <t>119.52</t>
        </is>
      </c>
      <c r="T884" t="inlineStr">
        <is>
          <t>美食滋补</t>
        </is>
      </c>
      <c r="U884" t="inlineStr">
        <is>
          <t>生鲜特产</t>
        </is>
      </c>
      <c r="V884" s="3">
        <v>46127.98767361111</v>
      </c>
      <c r="W884" t="inlineStr">
        <is>
          <t>2026-Q2</t>
        </is>
      </c>
    </row>
    <row r="885" ht="25.5" customHeight="1">
      <c r="A885" t="inlineStr">
        <is>
          <t>苹果黄芪麦冬桂圆水升级版2.0春夏熬夜茶包日常温润便携养生茶</t>
        </is>
      </c>
      <c r="B885" t="inlineStr">
        <is>
          <t>__upload_recvgSimhWn7Vs.jpg</t>
        </is>
      </c>
      <c r="C885" s="2" t="str">
        <f>=HYPERLINK("https://xhslink.com/m/2j3Sw98g7f5", "https://xhslink.com/m/2j3Sw98g7f5")</f>
        <v>https://xhslink.com/m/2j3Sw98g7f5</v>
      </c>
      <c r="D885"/>
      <c r="E885">
        <v>185000</v>
      </c>
      <c r="F885">
        <v>49.9</v>
      </c>
      <c r="G885">
        <v>19.9</v>
      </c>
      <c r="H885">
        <v>400</v>
      </c>
      <c r="I885" t="inlineStr">
        <is>
          <t>夏日饮品</t>
        </is>
      </c>
      <c r="J885" t="inlineStr">
        <is>
          <t>0.00</t>
        </is>
      </c>
      <c r="K885" t="inlineStr">
        <is>
          <t>🔥低粉爆款</t>
        </is>
      </c>
      <c r="L885" t="inlineStr">
        <is>
          <t>茶小白丨食养记的店</t>
        </is>
      </c>
      <c r="M885">
        <v>3464</v>
      </c>
      <c r="N885">
        <v>4.59</v>
      </c>
      <c r="O885">
        <v>244000</v>
      </c>
      <c r="P885" t="inlineStr">
        <is>
          <t>68c04ae57675b400013893b3</t>
        </is>
      </c>
      <c r="Q885"/>
      <c r="R885" t="inlineStr">
        <is>
          <t>16周</t>
        </is>
      </c>
      <c r="S885" t="inlineStr">
        <is>
          <t>53.41</t>
        </is>
      </c>
      <c r="T885" t="inlineStr">
        <is>
          <t>美食滋补</t>
        </is>
      </c>
      <c r="U885" t="inlineStr">
        <is>
          <t>酒水冲饮</t>
        </is>
      </c>
      <c r="V885" s="3">
        <v>46127.98767361111</v>
      </c>
      <c r="W885" t="inlineStr">
        <is>
          <t>2026-Q2</t>
        </is>
      </c>
    </row>
    <row r="886" ht="25.5" customHeight="1">
      <c r="A886" t="inlineStr">
        <is>
          <t>春夏韩系简约风格单排扣镂空针织开衫上衣</t>
        </is>
      </c>
      <c r="B886" t="inlineStr">
        <is>
          <t>__upload_recvgSimhWnVSQ.jpg</t>
        </is>
      </c>
      <c r="C886" s="2" t="str">
        <f>=HYPERLINK("https://xhslink.com/m/9xe6OyhJfJc", "https://xhslink.com/m/9xe6OyhJfJc")</f>
        <v>https://xhslink.com/m/9xe6OyhJfJc</v>
      </c>
      <c r="D886"/>
      <c r="E886">
        <v>791</v>
      </c>
      <c r="F886">
        <v>79</v>
      </c>
      <c r="G886"/>
      <c r="H886">
        <v>400</v>
      </c>
      <c r="I886" t="inlineStr">
        <is>
          <t>短袖</t>
        </is>
      </c>
      <c r="J886" t="inlineStr">
        <is>
          <t>0.51</t>
        </is>
      </c>
      <c r="K886"/>
      <c r="L886" t="inlineStr">
        <is>
          <t>应小姐女装三号仓的店的店</t>
        </is>
      </c>
      <c r="M886">
        <v>5030</v>
      </c>
      <c r="N886">
        <v>4.56</v>
      </c>
      <c r="O886">
        <v>82000</v>
      </c>
      <c r="P886" t="inlineStr">
        <is>
          <t>69d8855a9a289f0015e47b40</t>
        </is>
      </c>
      <c r="Q886"/>
      <c r="R886" t="inlineStr">
        <is>
          <t>16周</t>
        </is>
      </c>
      <c r="S886" t="inlineStr">
        <is>
          <t>0.16</t>
        </is>
      </c>
      <c r="T886" t="inlineStr">
        <is>
          <t>服饰穿搭</t>
        </is>
      </c>
      <c r="U886" t="inlineStr">
        <is>
          <t>女装</t>
        </is>
      </c>
      <c r="V886" s="3">
        <v>46127.98767361111</v>
      </c>
      <c r="W886" t="inlineStr">
        <is>
          <t>2026-Q2</t>
        </is>
      </c>
    </row>
    <row r="887" ht="25.5" customHeight="1">
      <c r="A887" t="inlineStr">
        <is>
          <t>【正肩掐腰显瘦t】大U领显瘦弹力巨大轻薄亲肤短袖278</t>
        </is>
      </c>
      <c r="B887" t="inlineStr">
        <is>
          <t>__upload_recvgSimhWlqB8.jpg</t>
        </is>
      </c>
      <c r="C887" s="2" t="str">
        <f>=HYPERLINK("https://xhslink.com/m/5Ks2eozmgt0", "https://xhslink.com/m/5Ks2eozmgt0")</f>
        <v>https://xhslink.com/m/5Ks2eozmgt0</v>
      </c>
      <c r="D887"/>
      <c r="E887">
        <v>44000</v>
      </c>
      <c r="F887">
        <v>89</v>
      </c>
      <c r="G887"/>
      <c r="H887">
        <v>400</v>
      </c>
      <c r="I887" t="inlineStr">
        <is>
          <t>短袖</t>
        </is>
      </c>
      <c r="J887" t="inlineStr">
        <is>
          <t>0.01</t>
        </is>
      </c>
      <c r="K887"/>
      <c r="L887" t="inlineStr">
        <is>
          <t>卖大衣的阿黄黄的店</t>
        </is>
      </c>
      <c r="M887">
        <v>39000</v>
      </c>
      <c r="N887">
        <v>4.77</v>
      </c>
      <c r="O887">
        <v>163000</v>
      </c>
      <c r="P887" t="inlineStr">
        <is>
          <t>685a25bbb93d410001d5a27d</t>
        </is>
      </c>
      <c r="Q887" t="inlineStr">
        <is>
          <t>🚫重复</t>
        </is>
      </c>
      <c r="R887" t="inlineStr">
        <is>
          <t>16周</t>
        </is>
      </c>
      <c r="S887" t="inlineStr">
        <is>
          <t>1.13</t>
        </is>
      </c>
      <c r="T887" t="inlineStr">
        <is>
          <t>服饰穿搭</t>
        </is>
      </c>
      <c r="U887" t="inlineStr">
        <is>
          <t>女装</t>
        </is>
      </c>
      <c r="V887" s="3">
        <v>46127.98767361111</v>
      </c>
      <c r="W887" t="inlineStr">
        <is>
          <t>2026-Q2</t>
        </is>
      </c>
    </row>
    <row r="888" ht="25.5" customHeight="1">
      <c r="A888" t="inlineStr">
        <is>
          <t>2026女装热卖正肩圆领短袖t恤乌梅紫色洋气显瘦时尚可外穿上衣潮</t>
        </is>
      </c>
      <c r="B888" t="inlineStr">
        <is>
          <t>__upload_recvgSimhW7HBy.jpg</t>
        </is>
      </c>
      <c r="C888" s="2" t="str">
        <f>=HYPERLINK("https://xhslink.com/m/9ZyJZrcR1OO", "https://xhslink.com/m/9ZyJZrcR1OO")</f>
        <v>https://xhslink.com/m/9ZyJZrcR1OO</v>
      </c>
      <c r="D888"/>
      <c r="E888">
        <v>426</v>
      </c>
      <c r="F888">
        <v>69</v>
      </c>
      <c r="G888">
        <v>59</v>
      </c>
      <c r="H888">
        <v>400</v>
      </c>
      <c r="I888" t="inlineStr">
        <is>
          <t>短袖</t>
        </is>
      </c>
      <c r="J888" t="inlineStr">
        <is>
          <t>0.94</t>
        </is>
      </c>
      <c r="K888" t="inlineStr">
        <is>
          <t>🔥低粉爆款</t>
        </is>
      </c>
      <c r="L888" t="inlineStr">
        <is>
          <t>季彩衣女装的店</t>
        </is>
      </c>
      <c r="M888">
        <v>68</v>
      </c>
      <c r="N888">
        <v>4.58</v>
      </c>
      <c r="O888">
        <v>588</v>
      </c>
      <c r="P888" t="inlineStr">
        <is>
          <t>69cf65779799e50015622a46</t>
        </is>
      </c>
      <c r="Q888"/>
      <c r="R888" t="inlineStr">
        <is>
          <t>16周</t>
        </is>
      </c>
      <c r="S888" t="inlineStr">
        <is>
          <t>6.26</t>
        </is>
      </c>
      <c r="T888" t="inlineStr">
        <is>
          <t>服饰穿搭</t>
        </is>
      </c>
      <c r="U888" t="inlineStr">
        <is>
          <t>女装</t>
        </is>
      </c>
      <c r="V888" s="3">
        <v>46127.98767361111</v>
      </c>
      <c r="W888" t="inlineStr">
        <is>
          <t>2026-Q2</t>
        </is>
      </c>
    </row>
    <row r="889" ht="25.5" customHeight="1">
      <c r="A889" t="inlineStr">
        <is>
          <t>小气原创自制 神仙版型！高弹圆领紧身tee恤正肩紧身半袖上衣女</t>
        </is>
      </c>
      <c r="B889" t="inlineStr">
        <is>
          <t>__upload_recvgSimhWRQS2.jpg</t>
        </is>
      </c>
      <c r="C889" s="2" t="str">
        <f>=HYPERLINK("https://xhslink.com/m/S73gaKgTcZ", "https://xhslink.com/m/S73gaKgTcZ")</f>
        <v>https://xhslink.com/m/S73gaKgTcZ</v>
      </c>
      <c r="D889"/>
      <c r="E889">
        <v>3130</v>
      </c>
      <c r="F889">
        <v>65.9</v>
      </c>
      <c r="G889"/>
      <c r="H889">
        <v>400</v>
      </c>
      <c r="I889" t="inlineStr">
        <is>
          <t>短袖</t>
        </is>
      </c>
      <c r="J889" t="inlineStr">
        <is>
          <t>0.13</t>
        </is>
      </c>
      <c r="K889"/>
      <c r="L889" t="inlineStr">
        <is>
          <t>小气没力气的店</t>
        </is>
      </c>
      <c r="M889">
        <v>5444</v>
      </c>
      <c r="N889">
        <v>4.35</v>
      </c>
      <c r="O889">
        <v>45000</v>
      </c>
      <c r="P889" t="inlineStr">
        <is>
          <t>69be94d7916f6b00016a2e47</t>
        </is>
      </c>
      <c r="Q889"/>
      <c r="R889" t="inlineStr">
        <is>
          <t>16周</t>
        </is>
      </c>
      <c r="S889" t="inlineStr">
        <is>
          <t>0.57</t>
        </is>
      </c>
      <c r="T889" t="inlineStr">
        <is>
          <t>服饰穿搭</t>
        </is>
      </c>
      <c r="U889" t="inlineStr">
        <is>
          <t>女装</t>
        </is>
      </c>
      <c r="V889" s="3">
        <v>46127.98767361111</v>
      </c>
      <c r="W889" t="inlineStr">
        <is>
          <t>2026-Q2</t>
        </is>
      </c>
    </row>
    <row r="890" ht="25.5" customHeight="1">
      <c r="A890" t="inlineStr">
        <is>
          <t>夏日度假风银色海星贝壳锁骨链ins风串珠项链小众叠戴项链搭配</t>
        </is>
      </c>
      <c r="B890" t="inlineStr">
        <is>
          <t>__upload_recvgSimhWhX0E.jpg</t>
        </is>
      </c>
      <c r="C890" s="2" t="str">
        <f>=HYPERLINK("https://xhslink.com/m/9kBprXvsALZ", "https://xhslink.com/m/9kBprXvsALZ")</f>
        <v>https://xhslink.com/m/9kBprXvsALZ</v>
      </c>
      <c r="D890"/>
      <c r="E890">
        <v>7337</v>
      </c>
      <c r="F890">
        <v>46.9</v>
      </c>
      <c r="G890">
        <v>36.9</v>
      </c>
      <c r="H890">
        <v>400</v>
      </c>
      <c r="I890" t="inlineStr">
        <is>
          <t>项链</t>
        </is>
      </c>
      <c r="J890" t="inlineStr">
        <is>
          <t>0.05</t>
        </is>
      </c>
      <c r="K890" t="inlineStr">
        <is>
          <t>🔥低粉爆款</t>
        </is>
      </c>
      <c r="L890" t="inlineStr">
        <is>
          <t>一朵er的店</t>
        </is>
      </c>
      <c r="M890">
        <v>1758</v>
      </c>
      <c r="N890">
        <v>4.62</v>
      </c>
      <c r="O890">
        <v>11000</v>
      </c>
      <c r="P890" t="inlineStr">
        <is>
          <t>688103470e13d500018a0952</t>
        </is>
      </c>
      <c r="Q890" t="inlineStr">
        <is>
          <t>🚫重复</t>
        </is>
      </c>
      <c r="R890" t="inlineStr">
        <is>
          <t>16周</t>
        </is>
      </c>
      <c r="S890" t="inlineStr">
        <is>
          <t>4.17</t>
        </is>
      </c>
      <c r="T890" t="inlineStr">
        <is>
          <t>服饰穿搭</t>
        </is>
      </c>
      <c r="U890" t="inlineStr">
        <is>
          <t>配饰</t>
        </is>
      </c>
      <c r="V890" s="3">
        <v>46127.98767361111</v>
      </c>
      <c r="W890" t="inlineStr">
        <is>
          <t>2026-Q2</t>
        </is>
      </c>
    </row>
    <row r="891" ht="25.5" customHeight="1">
      <c r="A891" t="inlineStr">
        <is>
          <t>半硬顶磨毛棒球帽简约加大版帽子女百搭显脸小鸭舌帽刺绣加宽帽檐</t>
        </is>
      </c>
      <c r="B891" t="inlineStr">
        <is>
          <t>__upload_recvgSimhWWL6K.jpg</t>
        </is>
      </c>
      <c r="C891" s="2" t="str">
        <f>=HYPERLINK("https://xhslink.com/m/4X8vvGsSIJz", "https://xhslink.com/m/4X8vvGsSIJz")</f>
        <v>https://xhslink.com/m/4X8vvGsSIJz</v>
      </c>
      <c r="D891"/>
      <c r="E891">
        <v>14000</v>
      </c>
      <c r="F891">
        <v>52.9</v>
      </c>
      <c r="G891">
        <v>32.9</v>
      </c>
      <c r="H891">
        <v>400</v>
      </c>
      <c r="I891" t="inlineStr">
        <is>
          <t>遮阳帽</t>
        </is>
      </c>
      <c r="J891" t="inlineStr">
        <is>
          <t>0.03</t>
        </is>
      </c>
      <c r="K891" t="inlineStr">
        <is>
          <t>🔥低粉爆款</t>
        </is>
      </c>
      <c r="L891" t="inlineStr">
        <is>
          <t>凸凸服配的店</t>
        </is>
      </c>
      <c r="M891">
        <v>1577</v>
      </c>
      <c r="N891">
        <v>4.5</v>
      </c>
      <c r="O891">
        <v>32000</v>
      </c>
      <c r="P891" t="inlineStr">
        <is>
          <t>68aae0580991b40001a46fa7</t>
        </is>
      </c>
      <c r="Q891" t="inlineStr">
        <is>
          <t>🚫重复</t>
        </is>
      </c>
      <c r="R891" t="inlineStr">
        <is>
          <t>16周</t>
        </is>
      </c>
      <c r="S891" t="inlineStr">
        <is>
          <t>8.88</t>
        </is>
      </c>
      <c r="T891" t="inlineStr">
        <is>
          <t>服饰穿搭</t>
        </is>
      </c>
      <c r="U891" t="inlineStr">
        <is>
          <t>配饰</t>
        </is>
      </c>
      <c r="V891" s="3">
        <v>46127.98767361111</v>
      </c>
      <c r="W891" t="inlineStr">
        <is>
          <t>2026-Q2</t>
        </is>
      </c>
    </row>
    <row r="892" ht="25.5" customHeight="1">
      <c r="A892" t="inlineStr">
        <is>
          <t>雪绒花～张元英同款百搭韩系刺绣鸭舌帽子女复古百搭软顶棒球帽</t>
        </is>
      </c>
      <c r="B892" t="inlineStr">
        <is>
          <t>__upload_recvgSimhW6NN4.jpg</t>
        </is>
      </c>
      <c r="C892" s="2" t="str">
        <f>=HYPERLINK("https://xhslink.com/m/72D6d0GRY1c", "https://xhslink.com/m/72D6d0GRY1c")</f>
        <v>https://xhslink.com/m/72D6d0GRY1c</v>
      </c>
      <c r="D892"/>
      <c r="E892">
        <v>6045</v>
      </c>
      <c r="F892">
        <v>39.99</v>
      </c>
      <c r="G892">
        <v>29.99</v>
      </c>
      <c r="H892">
        <v>400</v>
      </c>
      <c r="I892" t="inlineStr">
        <is>
          <t>遮阳帽</t>
        </is>
      </c>
      <c r="J892" t="inlineStr">
        <is>
          <t>0.07</t>
        </is>
      </c>
      <c r="K892"/>
      <c r="L892" t="inlineStr">
        <is>
          <t>玥玥爱帽泡的店</t>
        </is>
      </c>
      <c r="M892">
        <v>13000</v>
      </c>
      <c r="N892">
        <v>4.48</v>
      </c>
      <c r="O892">
        <v>235000</v>
      </c>
      <c r="P892" t="inlineStr">
        <is>
          <t>69b2542b4cdf2e0001d6d8a6</t>
        </is>
      </c>
      <c r="Q892"/>
      <c r="R892" t="inlineStr">
        <is>
          <t>16周</t>
        </is>
      </c>
      <c r="S892" t="inlineStr">
        <is>
          <t>0.47</t>
        </is>
      </c>
      <c r="T892" t="inlineStr">
        <is>
          <t>服饰穿搭</t>
        </is>
      </c>
      <c r="U892" t="inlineStr">
        <is>
          <t>配饰</t>
        </is>
      </c>
      <c r="V892" s="3">
        <v>46127.98767361111</v>
      </c>
      <c r="W892" t="inlineStr">
        <is>
          <t>2026-Q2</t>
        </is>
      </c>
    </row>
    <row r="893" ht="25.5" customHeight="1">
      <c r="A893" t="inlineStr">
        <is>
          <t>灯泡裤！小个子春夏神裤 显瘦百搭粉色裤子白色休闲裤九分裤</t>
        </is>
      </c>
      <c r="B893" t="inlineStr">
        <is>
          <t>__upload_recvgY7N5zLjh1.jpg</t>
        </is>
      </c>
      <c r="C893" s="2" t="str">
        <f>=HYPERLINK("https://xhslink.com/m/7Hq2eMjKsky", "https://xhslink.com/m/7Hq2eMjKsky")</f>
        <v>https://xhslink.com/m/7Hq2eMjKsky</v>
      </c>
      <c r="D893"/>
      <c r="E893">
        <v>25000</v>
      </c>
      <c r="F893">
        <v>109</v>
      </c>
      <c r="G893">
        <v>89</v>
      </c>
      <c r="H893">
        <v>400</v>
      </c>
      <c r="I893" t="inlineStr">
        <is>
          <t>裤子</t>
        </is>
      </c>
      <c r="J893" t="inlineStr">
        <is>
          <t>0.02</t>
        </is>
      </c>
      <c r="K893"/>
      <c r="L893" t="inlineStr">
        <is>
          <t>一沫制衣的店</t>
        </is>
      </c>
      <c r="M893">
        <v>148000</v>
      </c>
      <c r="N893">
        <v>4.67</v>
      </c>
      <c r="O893">
        <v>955000</v>
      </c>
      <c r="P893" t="inlineStr">
        <is>
          <t>67c05670f658890001499848</t>
        </is>
      </c>
      <c r="Q893" t="inlineStr">
        <is>
          <t>🚫重复</t>
        </is>
      </c>
      <c r="R893" t="inlineStr">
        <is>
          <t>16周</t>
        </is>
      </c>
      <c r="S893" t="inlineStr">
        <is>
          <t>0.17</t>
        </is>
      </c>
      <c r="T893" t="inlineStr">
        <is>
          <t>服饰穿搭</t>
        </is>
      </c>
      <c r="U893" t="inlineStr">
        <is>
          <t>女装</t>
        </is>
      </c>
      <c r="V893" s="3">
        <v>46128.98467592592</v>
      </c>
      <c r="W893" t="inlineStr">
        <is>
          <t>2026-Q2</t>
        </is>
      </c>
    </row>
    <row r="894" ht="25.5" customHeight="1">
      <c r="A894" t="inlineStr">
        <is>
          <t>右单元 · 「自在超模裤」经典款 360°完美弹梨形显瘦遮胯直筒微喇牛仔裤</t>
        </is>
      </c>
      <c r="B894" t="inlineStr">
        <is>
          <t>__upload_recvgY7N5z3oC0.jpg</t>
        </is>
      </c>
      <c r="C894" s="2" t="str">
        <f>=HYPERLINK("https://xhslink.com/m/5XxIGaCstTC", "https://xhslink.com/m/5XxIGaCstTC")</f>
        <v>https://xhslink.com/m/5XxIGaCstTC</v>
      </c>
      <c r="D894"/>
      <c r="E894">
        <v>206000</v>
      </c>
      <c r="F894">
        <v>399.99</v>
      </c>
      <c r="G894">
        <v>351.99</v>
      </c>
      <c r="H894">
        <v>400</v>
      </c>
      <c r="I894" t="inlineStr">
        <is>
          <t>裤子</t>
        </is>
      </c>
      <c r="J894" t="inlineStr">
        <is>
          <t>0.00</t>
        </is>
      </c>
      <c r="K894" t="inlineStr">
        <is>
          <t>🔥低粉爆款</t>
        </is>
      </c>
      <c r="L894" t="inlineStr">
        <is>
          <t>右单元 Rightcell旗舰店</t>
        </is>
      </c>
      <c r="M894">
        <v>56000</v>
      </c>
      <c r="N894">
        <v>4.6</v>
      </c>
      <c r="O894">
        <v>398000</v>
      </c>
      <c r="P894" t="inlineStr">
        <is>
          <t>66cd7a5aa409380001325917</t>
        </is>
      </c>
      <c r="Q894" t="inlineStr">
        <is>
          <t>🚫重复</t>
        </is>
      </c>
      <c r="R894" t="inlineStr">
        <is>
          <t>16周</t>
        </is>
      </c>
      <c r="S894" t="inlineStr">
        <is>
          <t>3.68</t>
        </is>
      </c>
      <c r="T894" t="inlineStr">
        <is>
          <t>服饰穿搭</t>
        </is>
      </c>
      <c r="U894" t="inlineStr">
        <is>
          <t>女装</t>
        </is>
      </c>
      <c r="V894" s="3">
        <v>46128.98467592592</v>
      </c>
      <c r="W894" t="inlineStr">
        <is>
          <t>2026-Q2</t>
        </is>
      </c>
    </row>
    <row r="895" ht="25.5" customHeight="1">
      <c r="A895" t="inlineStr">
        <is>
          <t>【逃跑计划】小个子梨形身材高腰牛仔裤女显瘦直筒垂感宽松阔腿裤</t>
        </is>
      </c>
      <c r="B895" t="inlineStr">
        <is>
          <t>__upload_recvgY7N5zSHl4.jpg</t>
        </is>
      </c>
      <c r="C895" s="2" t="str">
        <f>=HYPERLINK("https://xhslink.com/m/6yGHwMP9r5u", "https://xhslink.com/m/6yGHwMP9r5u")</f>
        <v>https://xhslink.com/m/6yGHwMP9r5u</v>
      </c>
      <c r="D895"/>
      <c r="E895">
        <v>42000</v>
      </c>
      <c r="F895">
        <v>89.99</v>
      </c>
      <c r="G895"/>
      <c r="H895">
        <v>400</v>
      </c>
      <c r="I895" t="inlineStr">
        <is>
          <t>裤子</t>
        </is>
      </c>
      <c r="J895" t="inlineStr">
        <is>
          <t>0.01</t>
        </is>
      </c>
      <c r="K895"/>
      <c r="L895" t="inlineStr">
        <is>
          <t>李空空的店</t>
        </is>
      </c>
      <c r="M895">
        <v>103000</v>
      </c>
      <c r="N895">
        <v>4.58</v>
      </c>
      <c r="O895">
        <v>572000</v>
      </c>
      <c r="P895" t="inlineStr">
        <is>
          <t>666ad210cd6d1400016f110e</t>
        </is>
      </c>
      <c r="Q895" t="inlineStr">
        <is>
          <t>🚫重复</t>
        </is>
      </c>
      <c r="R895" t="inlineStr">
        <is>
          <t>16周</t>
        </is>
      </c>
      <c r="S895" t="inlineStr">
        <is>
          <t>0.41</t>
        </is>
      </c>
      <c r="T895" t="inlineStr">
        <is>
          <t>服饰穿搭</t>
        </is>
      </c>
      <c r="U895" t="inlineStr">
        <is>
          <t>女装</t>
        </is>
      </c>
      <c r="V895" s="3">
        <v>46128.98467592592</v>
      </c>
      <c r="W895" t="inlineStr">
        <is>
          <t>2026-Q2</t>
        </is>
      </c>
    </row>
    <row r="896" ht="25.5" customHeight="1">
      <c r="A896" t="inlineStr">
        <is>
          <t>抽绳垂感休闲裤 春夏韩系松弛感宽松显瘦镰刀工装运动阔腿裤 ZK01</t>
        </is>
      </c>
      <c r="B896" t="inlineStr">
        <is>
          <t>__upload_recvgY7N5zOchy.jpg</t>
        </is>
      </c>
      <c r="C896" s="2" t="str">
        <f>=HYPERLINK("https://xhslink.com/m/75cuqpIQGDg", "https://xhslink.com/m/75cuqpIQGDg")</f>
        <v>https://xhslink.com/m/75cuqpIQGDg</v>
      </c>
      <c r="D896"/>
      <c r="E896">
        <v>1941</v>
      </c>
      <c r="F896">
        <v>69</v>
      </c>
      <c r="G896"/>
      <c r="H896">
        <v>400</v>
      </c>
      <c r="I896" t="inlineStr">
        <is>
          <t>裤子</t>
        </is>
      </c>
      <c r="J896" t="inlineStr">
        <is>
          <t>0.21</t>
        </is>
      </c>
      <c r="K896"/>
      <c r="L896" t="inlineStr">
        <is>
          <t>楠涛服饰的店</t>
        </is>
      </c>
      <c r="M896">
        <v>225000</v>
      </c>
      <c r="N896">
        <v>4.68</v>
      </c>
      <c r="O896">
        <v>474000</v>
      </c>
      <c r="P896" t="inlineStr">
        <is>
          <t>69c7c4d5fb75bf000148b63b</t>
        </is>
      </c>
      <c r="Q896" t="inlineStr">
        <is>
          <t>🚫重复</t>
        </is>
      </c>
      <c r="R896" t="inlineStr">
        <is>
          <t>16周</t>
        </is>
      </c>
      <c r="S896" t="inlineStr">
        <is>
          <t>0.01</t>
        </is>
      </c>
      <c r="T896" t="inlineStr">
        <is>
          <t>服饰穿搭</t>
        </is>
      </c>
      <c r="U896" t="inlineStr">
        <is>
          <t>女装</t>
        </is>
      </c>
      <c r="V896" s="3">
        <v>46128.98467592592</v>
      </c>
      <c r="W896" t="inlineStr">
        <is>
          <t>2026-Q2</t>
        </is>
      </c>
    </row>
    <row r="897" ht="25.5" customHeight="1">
      <c r="A897" t="inlineStr">
        <is>
          <t>【瘦腿裤】｛高品质｝JIJIA显瘦窄版高腰直筒四面弹牛仔裤 九分裤</t>
        </is>
      </c>
      <c r="B897" t="inlineStr">
        <is>
          <t>__upload_recvgY7N5zbsj6.jpg</t>
        </is>
      </c>
      <c r="C897" s="2" t="str">
        <f>=HYPERLINK("https://xhslink.com/m/6MtjMr0FwNo", "https://xhslink.com/m/6MtjMr0FwNo")</f>
        <v>https://xhslink.com/m/6MtjMr0FwNo</v>
      </c>
      <c r="D897"/>
      <c r="E897">
        <v>9071</v>
      </c>
      <c r="F897">
        <v>239</v>
      </c>
      <c r="G897"/>
      <c r="H897">
        <v>400</v>
      </c>
      <c r="I897" t="inlineStr">
        <is>
          <t>裤子</t>
        </is>
      </c>
      <c r="J897" t="inlineStr">
        <is>
          <t>0.04</t>
        </is>
      </c>
      <c r="K897"/>
      <c r="L897" t="inlineStr">
        <is>
          <t>三天没有熬夜的店</t>
        </is>
      </c>
      <c r="M897">
        <v>12000</v>
      </c>
      <c r="N897">
        <v>4.69</v>
      </c>
      <c r="O897">
        <v>55000</v>
      </c>
      <c r="P897" t="inlineStr">
        <is>
          <t>688fa3ec79bc47000135160b</t>
        </is>
      </c>
      <c r="Q897" t="inlineStr">
        <is>
          <t>🚫重复</t>
        </is>
      </c>
      <c r="R897" t="inlineStr">
        <is>
          <t>16周</t>
        </is>
      </c>
      <c r="S897" t="inlineStr">
        <is>
          <t>0.76</t>
        </is>
      </c>
      <c r="T897" t="inlineStr">
        <is>
          <t>服饰穿搭</t>
        </is>
      </c>
      <c r="U897" t="inlineStr">
        <is>
          <t>女装</t>
        </is>
      </c>
      <c r="V897" s="3">
        <v>46128.98467592592</v>
      </c>
      <c r="W897" t="inlineStr">
        <is>
          <t>2026-Q2</t>
        </is>
      </c>
    </row>
    <row r="898" ht="25.5" customHeight="1">
      <c r="A898" t="inlineStr">
        <is>
          <t>simple pieces · 【天丝宽松薯条裤】SPS牛仔女直筒宽松裤S62J040/S62J041/S62J044</t>
        </is>
      </c>
      <c r="B898" t="inlineStr">
        <is>
          <t>__upload_recvgY7N5z6Uj4.jpg</t>
        </is>
      </c>
      <c r="C898" s="2" t="str">
        <f>=HYPERLINK("https://xhslink.com/m/6TbskCJK2fh", "https://xhslink.com/m/6TbskCJK2fh")</f>
        <v>https://xhslink.com/m/6TbskCJK2fh</v>
      </c>
      <c r="D898"/>
      <c r="E898">
        <v>1529</v>
      </c>
      <c r="F898">
        <v>493</v>
      </c>
      <c r="G898">
        <v>419</v>
      </c>
      <c r="H898">
        <v>400</v>
      </c>
      <c r="I898" t="inlineStr">
        <is>
          <t>裤子</t>
        </is>
      </c>
      <c r="J898" t="inlineStr">
        <is>
          <t>0.26</t>
        </is>
      </c>
      <c r="K898"/>
      <c r="L898" t="inlineStr">
        <is>
          <t>simplepieces旗舰店</t>
        </is>
      </c>
      <c r="M898">
        <v>148000</v>
      </c>
      <c r="N898">
        <v>4.72</v>
      </c>
      <c r="O898">
        <v>710000</v>
      </c>
      <c r="P898" t="inlineStr">
        <is>
          <t>69cf5997c3771c0015b0d831</t>
        </is>
      </c>
      <c r="Q898" t="inlineStr">
        <is>
          <t>🚫重复</t>
        </is>
      </c>
      <c r="R898" t="inlineStr">
        <is>
          <t>16周</t>
        </is>
      </c>
      <c r="S898" t="inlineStr">
        <is>
          <t>0.01</t>
        </is>
      </c>
      <c r="T898" t="inlineStr">
        <is>
          <t>服饰穿搭</t>
        </is>
      </c>
      <c r="U898" t="inlineStr">
        <is>
          <t>女装</t>
        </is>
      </c>
      <c r="V898" s="3">
        <v>46128.98467592592</v>
      </c>
      <c r="W898" t="inlineStr">
        <is>
          <t>2026-Q2</t>
        </is>
      </c>
    </row>
    <row r="899" ht="25.5" customHeight="1">
      <c r="A899" t="inlineStr">
        <is>
          <t>碳烤八风干纯瘦牛肉干（无添加、非油炸）</t>
        </is>
      </c>
      <c r="B899" t="inlineStr">
        <is>
          <t>__upload_recvgY7N5zjs0N.jpg</t>
        </is>
      </c>
      <c r="C899" s="2" t="str">
        <f>=HYPERLINK("https://xhslink.com/m/6Va491A2db2", "https://xhslink.com/m/6Va491A2db2")</f>
        <v>https://xhslink.com/m/6Va491A2db2</v>
      </c>
      <c r="D899"/>
      <c r="E899">
        <v>132000</v>
      </c>
      <c r="F899">
        <v>37.9</v>
      </c>
      <c r="G899"/>
      <c r="H899">
        <v>400</v>
      </c>
      <c r="I899" t="inlineStr">
        <is>
          <t>卤味肉干</t>
        </is>
      </c>
      <c r="J899" t="inlineStr">
        <is>
          <t>0.00</t>
        </is>
      </c>
      <c r="K899" t="inlineStr">
        <is>
          <t>🔥低粉爆款</t>
        </is>
      </c>
      <c r="L899" t="inlineStr">
        <is>
          <t>97只做现烤牛肉干的店</t>
        </is>
      </c>
      <c r="M899">
        <v>11000</v>
      </c>
      <c r="N899">
        <v>4.62</v>
      </c>
      <c r="O899">
        <v>174000</v>
      </c>
      <c r="P899" t="inlineStr">
        <is>
          <t>66c96c1c4e4f280001ec253c</t>
        </is>
      </c>
      <c r="Q899" t="inlineStr">
        <is>
          <t>🚫重复</t>
        </is>
      </c>
      <c r="R899" t="inlineStr">
        <is>
          <t>16周</t>
        </is>
      </c>
      <c r="S899" t="inlineStr">
        <is>
          <t>12.00</t>
        </is>
      </c>
      <c r="T899" t="inlineStr">
        <is>
          <t>美食滋补</t>
        </is>
      </c>
      <c r="U899" t="inlineStr">
        <is>
          <t>休闲零食</t>
        </is>
      </c>
      <c r="V899" s="3">
        <v>46128.98467592592</v>
      </c>
      <c r="W899" t="inlineStr">
        <is>
          <t>2026-Q2</t>
        </is>
      </c>
    </row>
    <row r="900" ht="25.5" customHeight="1">
      <c r="A900" t="inlineStr">
        <is>
          <t>札萨 · 【1.16新品】小碎猪超干猪肉条嘶哈辣孜然新版独立小包装s</t>
        </is>
      </c>
      <c r="B900" t="inlineStr">
        <is>
          <t>__upload_recvgY7N5z1Qm0.jpg</t>
        </is>
      </c>
      <c r="C900" s="2" t="str">
        <f>=HYPERLINK("https://xhslink.com/m/3wM6aZgbzkm", "https://xhslink.com/m/3wM6aZgbzkm")</f>
        <v>https://xhslink.com/m/3wM6aZgbzkm</v>
      </c>
      <c r="D900"/>
      <c r="E900">
        <v>39000</v>
      </c>
      <c r="F900">
        <v>43.9</v>
      </c>
      <c r="G900"/>
      <c r="H900">
        <v>400</v>
      </c>
      <c r="I900" t="inlineStr">
        <is>
          <t>卤味肉干</t>
        </is>
      </c>
      <c r="J900" t="inlineStr">
        <is>
          <t>0.01</t>
        </is>
      </c>
      <c r="K900"/>
      <c r="L900" t="inlineStr">
        <is>
          <t>札萨旗舰店</t>
        </is>
      </c>
      <c r="M900">
        <v>123000</v>
      </c>
      <c r="N900">
        <v>4.57</v>
      </c>
      <c r="O900">
        <v>1397000</v>
      </c>
      <c r="P900" t="inlineStr">
        <is>
          <t>6968715c9727930001f50105</t>
        </is>
      </c>
      <c r="Q900" t="inlineStr">
        <is>
          <t>🚫重复</t>
        </is>
      </c>
      <c r="R900" t="inlineStr">
        <is>
          <t>16周</t>
        </is>
      </c>
      <c r="S900" t="inlineStr">
        <is>
          <t>0.32</t>
        </is>
      </c>
      <c r="T900" t="inlineStr">
        <is>
          <t>美食滋补</t>
        </is>
      </c>
      <c r="U900" t="inlineStr">
        <is>
          <t>休闲零食</t>
        </is>
      </c>
      <c r="V900" s="3">
        <v>46128.98467592592</v>
      </c>
      <c r="W900" t="inlineStr">
        <is>
          <t>2026-Q2</t>
        </is>
      </c>
    </row>
    <row r="901" ht="25.5" customHeight="1">
      <c r="A901" t="inlineStr">
        <is>
          <t>饱饱同学 · 黄油中式汉堡胚饼汉堡0反式脂肪顺丰包邮奶香早餐</t>
        </is>
      </c>
      <c r="B901" t="inlineStr">
        <is>
          <t>__upload_recvgY7N5zEafF.jpg</t>
        </is>
      </c>
      <c r="C901" s="2" t="str">
        <f>=HYPERLINK("https://xhslink.com/m/7zRSkpjbEsN", "https://xhslink.com/m/7zRSkpjbEsN")</f>
        <v>https://xhslink.com/m/7zRSkpjbEsN</v>
      </c>
      <c r="D901"/>
      <c r="E901">
        <v>10000</v>
      </c>
      <c r="F901">
        <v>39.9</v>
      </c>
      <c r="G901"/>
      <c r="H901">
        <v>400</v>
      </c>
      <c r="I901" t="inlineStr">
        <is>
          <t>早餐面包</t>
        </is>
      </c>
      <c r="J901" t="inlineStr">
        <is>
          <t>0.04</t>
        </is>
      </c>
      <c r="K901" t="inlineStr">
        <is>
          <t>🔥低粉爆款</t>
        </is>
      </c>
      <c r="L901" t="inlineStr">
        <is>
          <t>饱饱同学旗舰店</t>
        </is>
      </c>
      <c r="M901">
        <v>2395</v>
      </c>
      <c r="N901">
        <v>4.81</v>
      </c>
      <c r="O901">
        <v>23000</v>
      </c>
      <c r="P901" t="inlineStr">
        <is>
          <t>675a4150eb35d70001eee261</t>
        </is>
      </c>
      <c r="Q901"/>
      <c r="R901" t="inlineStr">
        <is>
          <t>16周</t>
        </is>
      </c>
      <c r="S901" t="inlineStr">
        <is>
          <t>4.18</t>
        </is>
      </c>
      <c r="T901" t="inlineStr">
        <is>
          <t>美食滋补</t>
        </is>
      </c>
      <c r="U901" t="inlineStr">
        <is>
          <t>休闲零食</t>
        </is>
      </c>
      <c r="V901" s="3">
        <v>46128.98467592592</v>
      </c>
      <c r="W901" t="inlineStr">
        <is>
          <t>2026-Q2</t>
        </is>
      </c>
    </row>
    <row r="902" ht="25.5" customHeight="1">
      <c r="A902" t="inlineStr">
        <is>
          <t>可爱苹果抱枕飘窗沙发办公室车载靠枕腰垫送闺蜜生日礼物毛绒玩具</t>
        </is>
      </c>
      <c r="B902" t="inlineStr">
        <is>
          <t>__upload_recvh40CU0RTtv.jpg</t>
        </is>
      </c>
      <c r="C902" s="2" t="str">
        <f>=HYPERLINK("https://xhslink.com/m/AyspSNMN6z4", "https://xhslink.com/m/AyspSNMN6z4")</f>
        <v>https://xhslink.com/m/AyspSNMN6z4</v>
      </c>
      <c r="D902"/>
      <c r="E902">
        <v>13000</v>
      </c>
      <c r="F902">
        <v>29.8</v>
      </c>
      <c r="G902">
        <v>23.8</v>
      </c>
      <c r="H902">
        <v>400</v>
      </c>
      <c r="I902" t="inlineStr">
        <is>
          <t>沙发靠枕</t>
        </is>
      </c>
      <c r="J902" t="inlineStr">
        <is>
          <t>0.03</t>
        </is>
      </c>
      <c r="K902" t="inlineStr">
        <is>
          <t>🔥低粉爆款</t>
        </is>
      </c>
      <c r="L902" t="inlineStr">
        <is>
          <t>贪睡便利店的店</t>
        </is>
      </c>
      <c r="M902">
        <v>675</v>
      </c>
      <c r="N902">
        <v>4.57</v>
      </c>
      <c r="O902">
        <v>15000</v>
      </c>
      <c r="P902" t="inlineStr">
        <is>
          <t>69182f92e53c1000159836e6</t>
        </is>
      </c>
      <c r="Q902" t="inlineStr">
        <is>
          <t>🚫重复</t>
        </is>
      </c>
      <c r="R902" t="inlineStr">
        <is>
          <t>16周</t>
        </is>
      </c>
      <c r="S902" t="inlineStr">
        <is>
          <t>19.26</t>
        </is>
      </c>
      <c r="T902" t="inlineStr">
        <is>
          <t>家居生活</t>
        </is>
      </c>
      <c r="U902" t="inlineStr">
        <is>
          <t>家具家装</t>
        </is>
      </c>
      <c r="V902" s="3">
        <v>46129.991064814814</v>
      </c>
      <c r="W902" t="inlineStr">
        <is>
          <t>2026-Q2</t>
        </is>
      </c>
    </row>
    <row r="903" ht="25.5" customHeight="1">
      <c r="A903" t="inlineStr">
        <is>
          <t>巧腾 · 学生宿舍书桌杯架收纳架多层谷子收纳极简文具收纳办公桌置物架</t>
        </is>
      </c>
      <c r="B903" t="inlineStr">
        <is>
          <t>__upload_recvh40CU0D0WX.jpg</t>
        </is>
      </c>
      <c r="C903" s="2" t="str">
        <f>=HYPERLINK("https://xhslink.com/m/81DQswPeGx5", "https://xhslink.com/m/81DQswPeGx5")</f>
        <v>https://xhslink.com/m/81DQswPeGx5</v>
      </c>
      <c r="D903"/>
      <c r="E903">
        <v>85000</v>
      </c>
      <c r="F903">
        <v>44.9</v>
      </c>
      <c r="G903">
        <v>35.9</v>
      </c>
      <c r="H903">
        <v>400</v>
      </c>
      <c r="I903" t="inlineStr">
        <is>
          <t>桌面收纳</t>
        </is>
      </c>
      <c r="J903" t="inlineStr">
        <is>
          <t>0.00</t>
        </is>
      </c>
      <c r="K903" t="inlineStr">
        <is>
          <t>🔥低粉爆款</t>
        </is>
      </c>
      <c r="L903" t="inlineStr">
        <is>
          <t>巧腾旗舰店</t>
        </is>
      </c>
      <c r="M903">
        <v>11000</v>
      </c>
      <c r="N903">
        <v>4.62</v>
      </c>
      <c r="O903">
        <v>124000</v>
      </c>
      <c r="P903" t="inlineStr">
        <is>
          <t>630dc80d240ede000196d88b</t>
        </is>
      </c>
      <c r="Q903"/>
      <c r="R903" t="inlineStr">
        <is>
          <t>16周</t>
        </is>
      </c>
      <c r="S903" t="inlineStr">
        <is>
          <t>7.73</t>
        </is>
      </c>
      <c r="T903" t="inlineStr">
        <is>
          <t>家居生活</t>
        </is>
      </c>
      <c r="U903" t="inlineStr">
        <is>
          <t>家居日用</t>
        </is>
      </c>
      <c r="V903" s="3">
        <v>46129.991064814814</v>
      </c>
      <c r="W903" t="inlineStr">
        <is>
          <t>2026-Q2</t>
        </is>
      </c>
    </row>
    <row r="904" ht="25.5" customHeight="1">
      <c r="A904" t="inlineStr">
        <is>
          <t>【前30000单立减30】BM风春夏新品定制棉质素调慵懒宽松内搭背心</t>
        </is>
      </c>
      <c r="B904" t="inlineStr">
        <is>
          <t>__upload_recvh9P0bmZNtd.jpg</t>
        </is>
      </c>
      <c r="C904" s="2" t="str">
        <f>=HYPERLINK("https://xhslink.com/m/4a2efZi6Jzy", "https://xhslink.com/m/4a2efZi6Jzy")</f>
        <v>https://xhslink.com/m/4a2efZi6Jzy</v>
      </c>
      <c r="D904"/>
      <c r="E904">
        <v>38000</v>
      </c>
      <c r="F904">
        <v>59.9</v>
      </c>
      <c r="G904">
        <v>29.9</v>
      </c>
      <c r="H904">
        <v>400</v>
      </c>
      <c r="I904" t="inlineStr">
        <is>
          <t>大码吊带</t>
        </is>
      </c>
      <c r="J904" t="inlineStr">
        <is>
          <t>0.01</t>
        </is>
      </c>
      <c r="K904"/>
      <c r="L904" t="inlineStr">
        <is>
          <t>小野栀栀的店</t>
        </is>
      </c>
      <c r="M904">
        <v>26000</v>
      </c>
      <c r="N904">
        <v>4.51</v>
      </c>
      <c r="O904">
        <v>510000</v>
      </c>
      <c r="P904" t="inlineStr">
        <is>
          <t>67af1f268e93060015220849</t>
        </is>
      </c>
      <c r="Q904" t="inlineStr">
        <is>
          <t>🚫重复</t>
        </is>
      </c>
      <c r="R904" t="inlineStr">
        <is>
          <t>16周</t>
        </is>
      </c>
      <c r="S904" t="inlineStr">
        <is>
          <t>1.46</t>
        </is>
      </c>
      <c r="T904" t="inlineStr">
        <is>
          <t>服饰穿搭</t>
        </is>
      </c>
      <c r="U904" t="inlineStr">
        <is>
          <t>女装</t>
        </is>
      </c>
      <c r="V904" s="3">
        <v>46130.98501157408</v>
      </c>
      <c r="W904" t="inlineStr">
        <is>
          <t>2026-Q2</t>
        </is>
      </c>
    </row>
    <row r="905" ht="25.5" customHeight="1">
      <c r="A905" t="inlineStr">
        <is>
          <t>夏日度假风银色海星贝壳锁骨链ins风串珠项链小众叠戴项链搭配</t>
        </is>
      </c>
      <c r="B905" t="inlineStr">
        <is>
          <t>__upload_recvh9P0bm64HB.jpg</t>
        </is>
      </c>
      <c r="C905" s="2" t="str">
        <f>=HYPERLINK("https://xhslink.com/m/1PYOwpeYssN", "https://xhslink.com/m/1PYOwpeYssN")</f>
        <v>https://xhslink.com/m/1PYOwpeYssN</v>
      </c>
      <c r="D905"/>
      <c r="E905">
        <v>7690</v>
      </c>
      <c r="F905">
        <v>29.9</v>
      </c>
      <c r="G905">
        <v>19.9</v>
      </c>
      <c r="H905">
        <v>400</v>
      </c>
      <c r="I905" t="inlineStr">
        <is>
          <t>项链</t>
        </is>
      </c>
      <c r="J905" t="inlineStr">
        <is>
          <t>0.05</t>
        </is>
      </c>
      <c r="K905" t="inlineStr">
        <is>
          <t>🔥低粉爆款</t>
        </is>
      </c>
      <c r="L905" t="inlineStr">
        <is>
          <t>一朵er的店</t>
        </is>
      </c>
      <c r="M905">
        <v>1879</v>
      </c>
      <c r="N905">
        <v>4.64</v>
      </c>
      <c r="O905">
        <v>11000</v>
      </c>
      <c r="P905" t="inlineStr">
        <is>
          <t>688103470e13d500018a094f</t>
        </is>
      </c>
      <c r="Q905" t="inlineStr">
        <is>
          <t>🚫重复</t>
        </is>
      </c>
      <c r="R905" t="inlineStr">
        <is>
          <t>16周</t>
        </is>
      </c>
      <c r="S905" t="inlineStr">
        <is>
          <t>4.09</t>
        </is>
      </c>
      <c r="T905" t="inlineStr">
        <is>
          <t>服饰穿搭</t>
        </is>
      </c>
      <c r="U905" t="inlineStr">
        <is>
          <t>配饰</t>
        </is>
      </c>
      <c r="V905" s="3">
        <v>46130.98501157408</v>
      </c>
      <c r="W905" t="inlineStr">
        <is>
          <t>2026-Q2</t>
        </is>
      </c>
    </row>
    <row r="906" ht="25.5" customHeight="1">
      <c r="A906" t="inlineStr">
        <is>
          <t>追芒 · 晚安油 护肤按摩spa精油 深度睡眠 身体经络刮痧</t>
        </is>
      </c>
      <c r="B906" t="inlineStr">
        <is>
          <t>__upload_recvh9P0bm9yud.jpg</t>
        </is>
      </c>
      <c r="C906" s="2" t="str">
        <f>=HYPERLINK("https://xhslink.com/m/AMQgeT4ekdL", "https://xhslink.com/m/AMQgeT4ekdL")</f>
        <v>https://xhslink.com/m/AMQgeT4ekdL</v>
      </c>
      <c r="D906"/>
      <c r="E906">
        <v>9767</v>
      </c>
      <c r="F906">
        <v>159</v>
      </c>
      <c r="G906">
        <v>149</v>
      </c>
      <c r="H906">
        <v>400</v>
      </c>
      <c r="I906" t="inlineStr">
        <is>
          <t>身体护理</t>
        </is>
      </c>
      <c r="J906" t="inlineStr">
        <is>
          <t>0.04</t>
        </is>
      </c>
      <c r="K906"/>
      <c r="L906" t="inlineStr">
        <is>
          <t>追芒BeTheLight旗舰店</t>
        </is>
      </c>
      <c r="M906">
        <v>21000</v>
      </c>
      <c r="N906">
        <v>4.68</v>
      </c>
      <c r="O906">
        <v>36000</v>
      </c>
      <c r="P906" t="inlineStr">
        <is>
          <t>693a9011691100000149dc26</t>
        </is>
      </c>
      <c r="Q906"/>
      <c r="R906" t="inlineStr">
        <is>
          <t>16周</t>
        </is>
      </c>
      <c r="S906" t="inlineStr">
        <is>
          <t>0.47</t>
        </is>
      </c>
      <c r="T906" t="inlineStr">
        <is>
          <t>美妆个护</t>
        </is>
      </c>
      <c r="U906" t="inlineStr">
        <is>
          <t>护肤彩妆</t>
        </is>
      </c>
      <c r="V906" s="3">
        <v>46130.98501157408</v>
      </c>
      <c r="W906" t="inlineStr">
        <is>
          <t>2026-Q2</t>
        </is>
      </c>
    </row>
    <row r="907" ht="25.5" customHeight="1">
      <c r="A907" t="inlineStr">
        <is>
          <t>Van Reed · 法式香氛止汗露【正品授权】香膏高级木质香滚珠30ml去异味</t>
        </is>
      </c>
      <c r="B907" t="inlineStr">
        <is>
          <t>__upload_recvh9P0bmzKOc.jpg</t>
        </is>
      </c>
      <c r="C907" s="2" t="str">
        <f>=HYPERLINK("https://xhslink.com/m/9BpfxkMxLOp", "https://xhslink.com/m/9BpfxkMxLOp")</f>
        <v>https://xhslink.com/m/9BpfxkMxLOp</v>
      </c>
      <c r="D907"/>
      <c r="E907">
        <v>33000</v>
      </c>
      <c r="F907">
        <v>49</v>
      </c>
      <c r="G907">
        <v>39</v>
      </c>
      <c r="H907">
        <v>400</v>
      </c>
      <c r="I907" t="inlineStr">
        <is>
          <t>身体护理</t>
        </is>
      </c>
      <c r="J907" t="inlineStr">
        <is>
          <t>0.01</t>
        </is>
      </c>
      <c r="K907" t="inlineStr">
        <is>
          <t>🔥低粉爆款</t>
        </is>
      </c>
      <c r="L907" t="inlineStr">
        <is>
          <t>芒果黏黏酱的店</t>
        </is>
      </c>
      <c r="M907">
        <v>6677</v>
      </c>
      <c r="N907">
        <v>4.56</v>
      </c>
      <c r="O907">
        <v>286000</v>
      </c>
      <c r="P907" t="inlineStr">
        <is>
          <t>67ef961dee8f090001234888</t>
        </is>
      </c>
      <c r="Q907" t="inlineStr">
        <is>
          <t>🚫重复</t>
        </is>
      </c>
      <c r="R907" t="inlineStr">
        <is>
          <t>16周</t>
        </is>
      </c>
      <c r="S907" t="inlineStr">
        <is>
          <t>4.94</t>
        </is>
      </c>
      <c r="T907" t="inlineStr">
        <is>
          <t>美妆个护</t>
        </is>
      </c>
      <c r="U907" t="inlineStr">
        <is>
          <t>个人护理</t>
        </is>
      </c>
      <c r="V907" s="3">
        <v>46130.98501157408</v>
      </c>
      <c r="W907" t="inlineStr">
        <is>
          <t>2026-Q2</t>
        </is>
      </c>
    </row>
    <row r="908" ht="25.5" customHeight="1">
      <c r="A908" t="inlineStr">
        <is>
          <t>WEIEN · 高级蓬松风棒5.0无痕高颅顶发根蓬松</t>
        </is>
      </c>
      <c r="B908" t="inlineStr">
        <is>
          <t>__upload_recvh9P0bmM2oh.jpg</t>
        </is>
      </c>
      <c r="C908" s="2" t="str">
        <f>=HYPERLINK("https://xhslink.com/m/5eIIE9ALrdp", "https://xhslink.com/m/5eIIE9ALrdp")</f>
        <v>https://xhslink.com/m/5eIIE9ALrdp</v>
      </c>
      <c r="D908"/>
      <c r="E908">
        <v>98000</v>
      </c>
      <c r="F908">
        <v>288.8</v>
      </c>
      <c r="G908">
        <v>238.8</v>
      </c>
      <c r="H908">
        <v>400</v>
      </c>
      <c r="I908" t="inlineStr">
        <is>
          <t>美发</t>
        </is>
      </c>
      <c r="J908" t="inlineStr">
        <is>
          <t>0.00</t>
        </is>
      </c>
      <c r="K908" t="inlineStr">
        <is>
          <t>🔥低粉爆款</t>
        </is>
      </c>
      <c r="L908" t="inlineStr">
        <is>
          <t>WEIEN电器旗舰店</t>
        </is>
      </c>
      <c r="M908">
        <v>18000</v>
      </c>
      <c r="N908">
        <v>4.48</v>
      </c>
      <c r="O908">
        <v>194000</v>
      </c>
      <c r="P908" t="inlineStr">
        <is>
          <t>65daf1b184d70b0001b4cfb3</t>
        </is>
      </c>
      <c r="Q908"/>
      <c r="R908" t="inlineStr">
        <is>
          <t>16周</t>
        </is>
      </c>
      <c r="S908" t="inlineStr">
        <is>
          <t>5.44</t>
        </is>
      </c>
      <c r="T908" t="inlineStr">
        <is>
          <t>美妆个护</t>
        </is>
      </c>
      <c r="U908" t="inlineStr">
        <is>
          <t>个人护理</t>
        </is>
      </c>
      <c r="V908" s="3">
        <v>46130.98501157408</v>
      </c>
      <c r="W908" t="inlineStr">
        <is>
          <t>2026-Q2</t>
        </is>
      </c>
    </row>
    <row r="909" ht="25.5" customHeight="1">
      <c r="A909" t="inlineStr">
        <is>
          <t>FODO · 【30天乌黑亮发】古方草本乌发乳滋养固发无霜亮泽黑发护理精华</t>
        </is>
      </c>
      <c r="B909" t="inlineStr">
        <is>
          <t>__upload_recvh9P0bmgeMz.jpg</t>
        </is>
      </c>
      <c r="C909" s="2" t="str">
        <f>=HYPERLINK("https://xhslink.com/m/9m51fAPc94L", "https://xhslink.com/m/9m51fAPc94L")</f>
        <v>https://xhslink.com/m/9m51fAPc94L</v>
      </c>
      <c r="D909"/>
      <c r="E909">
        <v>28000</v>
      </c>
      <c r="F909">
        <v>49.9</v>
      </c>
      <c r="G909">
        <v>43.92</v>
      </c>
      <c r="H909">
        <v>400</v>
      </c>
      <c r="I909" t="inlineStr">
        <is>
          <t>美发</t>
        </is>
      </c>
      <c r="J909" t="inlineStr">
        <is>
          <t>0.01</t>
        </is>
      </c>
      <c r="K909"/>
      <c r="L909" t="inlineStr">
        <is>
          <t>FODO旗舰店</t>
        </is>
      </c>
      <c r="M909">
        <v>18000</v>
      </c>
      <c r="N909">
        <v>4.53</v>
      </c>
      <c r="O909">
        <v>80000</v>
      </c>
      <c r="P909" t="inlineStr">
        <is>
          <t>68ecdc70b56f1600011853ae</t>
        </is>
      </c>
      <c r="Q909" t="inlineStr">
        <is>
          <t>🚫重复</t>
        </is>
      </c>
      <c r="R909" t="inlineStr">
        <is>
          <t>16周</t>
        </is>
      </c>
      <c r="S909" t="inlineStr">
        <is>
          <t>1.56</t>
        </is>
      </c>
      <c r="T909" t="inlineStr">
        <is>
          <t>美妆个护</t>
        </is>
      </c>
      <c r="U909" t="inlineStr">
        <is>
          <t>护肤彩妆</t>
        </is>
      </c>
      <c r="V909" s="3">
        <v>46130.98501157408</v>
      </c>
      <c r="W909" t="inlineStr">
        <is>
          <t>2026-Q2</t>
        </is>
      </c>
    </row>
    <row r="910" ht="25.5" customHeight="1">
      <c r="A910" t="inlineStr">
        <is>
          <t>任选八枚【29.9/8包邮】手作碱水面包碱水棒套餐健身代餐早餐</t>
        </is>
      </c>
      <c r="B910" t="inlineStr">
        <is>
          <t>__upload_recvh9P0bmZ3nZ.jpg</t>
        </is>
      </c>
      <c r="C910" s="2" t="str">
        <f>=HYPERLINK("https://xhslink.com/m/5hFdpugCYmf", "https://xhslink.com/m/5hFdpugCYmf")</f>
        <v>https://xhslink.com/m/5hFdpugCYmf</v>
      </c>
      <c r="D910"/>
      <c r="E910">
        <v>604000</v>
      </c>
      <c r="F910">
        <v>20</v>
      </c>
      <c r="G910">
        <v>11.6</v>
      </c>
      <c r="H910">
        <v>400</v>
      </c>
      <c r="I910" t="inlineStr">
        <is>
          <t>低热量零食</t>
        </is>
      </c>
      <c r="J910" t="inlineStr">
        <is>
          <t>0.00</t>
        </is>
      </c>
      <c r="K910" t="inlineStr">
        <is>
          <t>🔥低粉爆款</t>
        </is>
      </c>
      <c r="L910" t="inlineStr">
        <is>
          <t>谷味侬手作的店</t>
        </is>
      </c>
      <c r="M910">
        <v>9182</v>
      </c>
      <c r="N910">
        <v>4.32</v>
      </c>
      <c r="O910">
        <v>1526000</v>
      </c>
      <c r="P910" t="inlineStr">
        <is>
          <t>68e71c577d3b3f0001fc09fc</t>
        </is>
      </c>
      <c r="Q910" t="inlineStr">
        <is>
          <t>🚫重复</t>
        </is>
      </c>
      <c r="R910" t="inlineStr">
        <is>
          <t>16周</t>
        </is>
      </c>
      <c r="S910" t="inlineStr">
        <is>
          <t>65.78</t>
        </is>
      </c>
      <c r="T910" t="inlineStr">
        <is>
          <t>美食滋补</t>
        </is>
      </c>
      <c r="U910" t="inlineStr">
        <is>
          <t>休闲零食</t>
        </is>
      </c>
      <c r="V910" s="3">
        <v>46130.98501157408</v>
      </c>
      <c r="W910" t="inlineStr">
        <is>
          <t>2026-Q2</t>
        </is>
      </c>
    </row>
    <row r="911" ht="25.5" customHeight="1">
      <c r="A911" t="inlineStr">
        <is>
          <t>【新店】包邮28元选8个多口味手作碱水棒贝果代餐零食健身</t>
        </is>
      </c>
      <c r="B911" t="inlineStr">
        <is>
          <t>__upload_recvh9P0bm6D5V.jpg</t>
        </is>
      </c>
      <c r="C911" s="2" t="str">
        <f>=HYPERLINK("https://xhslink.com/m/11clr0koEQl", "https://xhslink.com/m/11clr0koEQl")</f>
        <v>https://xhslink.com/m/11clr0koEQl</v>
      </c>
      <c r="D911"/>
      <c r="E911">
        <v>117000</v>
      </c>
      <c r="F911">
        <v>20</v>
      </c>
      <c r="G911">
        <v>11</v>
      </c>
      <c r="H911">
        <v>400</v>
      </c>
      <c r="I911" t="inlineStr">
        <is>
          <t>低热量零食</t>
        </is>
      </c>
      <c r="J911" t="inlineStr">
        <is>
          <t>0.00</t>
        </is>
      </c>
      <c r="K911" t="inlineStr">
        <is>
          <t>🔥低粉爆款</t>
        </is>
      </c>
      <c r="L911" t="inlineStr">
        <is>
          <t>臻焙手作的店</t>
        </is>
      </c>
      <c r="M911">
        <v>681</v>
      </c>
      <c r="N911">
        <v>4.31</v>
      </c>
      <c r="O911">
        <v>129000</v>
      </c>
      <c r="P911" t="inlineStr">
        <is>
          <t>693b91b8266b9500012e1e42</t>
        </is>
      </c>
      <c r="Q911" t="inlineStr">
        <is>
          <t>🚫重复</t>
        </is>
      </c>
      <c r="R911" t="inlineStr">
        <is>
          <t>16周</t>
        </is>
      </c>
      <c r="S911" t="inlineStr">
        <is>
          <t>171.81</t>
        </is>
      </c>
      <c r="T911" t="inlineStr">
        <is>
          <t>美食滋补</t>
        </is>
      </c>
      <c r="U911" t="inlineStr">
        <is>
          <t>休闲零食</t>
        </is>
      </c>
      <c r="V911" s="3">
        <v>46130.98501157408</v>
      </c>
      <c r="W911" t="inlineStr">
        <is>
          <t>2026-Q2</t>
        </is>
      </c>
    </row>
    <row r="912" ht="25.5" customHeight="1">
      <c r="A912" t="inlineStr">
        <is>
          <t>三只松鼠 · 【到手28包】减脂期每日轻食组合7日装蜻蜓教练鸡腿肉好吃轻负担</t>
        </is>
      </c>
      <c r="B912" t="inlineStr">
        <is>
          <t>__upload_recvh9P0bmEFWu.jpg</t>
        </is>
      </c>
      <c r="C912" s="2" t="str">
        <f>=HYPERLINK("https://xhslink.com/m/6Z2LJv8xWrq", "https://xhslink.com/m/6Z2LJv8xWrq")</f>
        <v>https://xhslink.com/m/6Z2LJv8xWrq</v>
      </c>
      <c r="D912"/>
      <c r="E912">
        <v>6455</v>
      </c>
      <c r="F912">
        <v>49.9</v>
      </c>
      <c r="G912">
        <v>39.9</v>
      </c>
      <c r="H912">
        <v>400</v>
      </c>
      <c r="I912" t="inlineStr">
        <is>
          <t>低热量零食</t>
        </is>
      </c>
      <c r="J912" t="inlineStr">
        <is>
          <t>0.06</t>
        </is>
      </c>
      <c r="K912"/>
      <c r="L912" t="inlineStr">
        <is>
          <t>嬛嬛的低卡轻食日记的店</t>
        </is>
      </c>
      <c r="M912">
        <v>7979</v>
      </c>
      <c r="N912">
        <v>4.57</v>
      </c>
      <c r="O912">
        <v>288000</v>
      </c>
      <c r="P912" t="inlineStr">
        <is>
          <t>69a103e6fb672a0015842010</t>
        </is>
      </c>
      <c r="Q912" t="inlineStr">
        <is>
          <t>🚫重复</t>
        </is>
      </c>
      <c r="R912" t="inlineStr">
        <is>
          <t>16周</t>
        </is>
      </c>
      <c r="S912" t="inlineStr">
        <is>
          <t>0.81</t>
        </is>
      </c>
      <c r="T912" t="inlineStr">
        <is>
          <t>美食滋补</t>
        </is>
      </c>
      <c r="U912" t="inlineStr">
        <is>
          <t>休闲零食</t>
        </is>
      </c>
      <c r="V912" s="3">
        <v>46130.98501157408</v>
      </c>
      <c r="W912" t="inlineStr">
        <is>
          <t>2026-Q2</t>
        </is>
      </c>
    </row>
    <row r="913" ht="25.5" customHeight="1">
      <c r="A913" t="inlineStr">
        <is>
          <t>下厨房 · 【低脂】松叶蟹味柳阿拉斯加鳕鱼肉轻食火锅蟹棒寿司沙拉蟹柳早餐</t>
        </is>
      </c>
      <c r="B913" t="inlineStr">
        <is>
          <t>__upload_recvh9P0bmzPBZ.jpg</t>
        </is>
      </c>
      <c r="C913" s="2" t="str">
        <f>=HYPERLINK("https://xhslink.com/m/8PHdQQrDMzH", "https://xhslink.com/m/8PHdQQrDMzH")</f>
        <v>https://xhslink.com/m/8PHdQQrDMzH</v>
      </c>
      <c r="D913"/>
      <c r="E913">
        <v>68000</v>
      </c>
      <c r="F913">
        <v>129.9</v>
      </c>
      <c r="G913">
        <v>99.9</v>
      </c>
      <c r="H913">
        <v>400</v>
      </c>
      <c r="I913" t="inlineStr">
        <is>
          <t>低热量零食</t>
        </is>
      </c>
      <c r="J913" t="inlineStr">
        <is>
          <t>0.01</t>
        </is>
      </c>
      <c r="K913"/>
      <c r="L913" t="inlineStr">
        <is>
          <t>下厨房旗舰店</t>
        </is>
      </c>
      <c r="M913">
        <v>119000</v>
      </c>
      <c r="N913">
        <v>4.78</v>
      </c>
      <c r="O913">
        <v>789000</v>
      </c>
      <c r="P913" t="inlineStr">
        <is>
          <t>659c01c9686ea60001817b27</t>
        </is>
      </c>
      <c r="Q913" t="inlineStr">
        <is>
          <t>🚫重复</t>
        </is>
      </c>
      <c r="R913" t="inlineStr">
        <is>
          <t>16周</t>
        </is>
      </c>
      <c r="S913" t="inlineStr">
        <is>
          <t>0.57</t>
        </is>
      </c>
      <c r="T913" t="inlineStr">
        <is>
          <t>美食滋补</t>
        </is>
      </c>
      <c r="U913" t="inlineStr">
        <is>
          <t>休闲零食</t>
        </is>
      </c>
      <c r="V913" s="3">
        <v>46130.98501157408</v>
      </c>
      <c r="W913" t="inlineStr">
        <is>
          <t>2026-Q2</t>
        </is>
      </c>
    </row>
    <row r="914" ht="25.5" customHeight="1">
      <c r="A914" t="inlineStr">
        <is>
          <t>【沈阳人私藏】香格里拉面包手作速食下午茶奶油面包顺丰包邮</t>
        </is>
      </c>
      <c r="B914" t="inlineStr">
        <is>
          <t>__upload_recvh9P0bmnvsh.jpg</t>
        </is>
      </c>
      <c r="C914" s="2" t="str">
        <f>=HYPERLINK("https://xhslink.com/m/6VWT2fQVktW", "https://xhslink.com/m/6VWT2fQVktW")</f>
        <v>https://xhslink.com/m/6VWT2fQVktW</v>
      </c>
      <c r="D914"/>
      <c r="E914">
        <v>4136</v>
      </c>
      <c r="F914">
        <v>69</v>
      </c>
      <c r="G914">
        <v>35</v>
      </c>
      <c r="H914">
        <v>400</v>
      </c>
      <c r="I914" t="inlineStr">
        <is>
          <t>低热量零食</t>
        </is>
      </c>
      <c r="J914" t="inlineStr">
        <is>
          <t>0.10</t>
        </is>
      </c>
      <c r="K914"/>
      <c r="L914" t="inlineStr">
        <is>
          <t>兰乔贝恩食品的店</t>
        </is>
      </c>
      <c r="M914">
        <v>3864</v>
      </c>
      <c r="N914">
        <v>3.83</v>
      </c>
      <c r="O914">
        <v>4294</v>
      </c>
      <c r="P914" t="inlineStr">
        <is>
          <t>6986e9987db7d200014049ae</t>
        </is>
      </c>
      <c r="Q914" t="inlineStr">
        <is>
          <t>🚫重复</t>
        </is>
      </c>
      <c r="R914" t="inlineStr">
        <is>
          <t>16周</t>
        </is>
      </c>
      <c r="S914" t="inlineStr">
        <is>
          <t>1.07</t>
        </is>
      </c>
      <c r="T914" t="inlineStr">
        <is>
          <t>美食滋补</t>
        </is>
      </c>
      <c r="U914" t="inlineStr">
        <is>
          <t>休闲零食</t>
        </is>
      </c>
      <c r="V914" s="3">
        <v>46130.98501157408</v>
      </c>
      <c r="W914" t="inlineStr">
        <is>
          <t>2026-Q2</t>
        </is>
      </c>
    </row>
    <row r="915" ht="25.5" customHeight="1">
      <c r="A915" t="inlineStr">
        <is>
          <t>【顺丰】牛胸口脆！酥脆爆香！累计已售15万桶！全部升级新包装</t>
        </is>
      </c>
      <c r="B915" t="inlineStr">
        <is>
          <t>__upload_recvh9P0bmEWN1.jpg</t>
        </is>
      </c>
      <c r="C915" s="2" t="str">
        <f>=HYPERLINK("https://xhslink.com/m/3LrfmwFcKkl", "https://xhslink.com/m/3LrfmwFcKkl")</f>
        <v>https://xhslink.com/m/3LrfmwFcKkl</v>
      </c>
      <c r="D915"/>
      <c r="E915">
        <v>83000</v>
      </c>
      <c r="F915">
        <v>68</v>
      </c>
      <c r="G915"/>
      <c r="H915">
        <v>400</v>
      </c>
      <c r="I915" t="inlineStr">
        <is>
          <t>低热量零食</t>
        </is>
      </c>
      <c r="J915" t="inlineStr">
        <is>
          <t>0.00</t>
        </is>
      </c>
      <c r="K915"/>
      <c r="L915" t="inlineStr">
        <is>
          <t>内蒙老赵的店</t>
        </is>
      </c>
      <c r="M915">
        <v>116000</v>
      </c>
      <c r="N915">
        <v>4.66</v>
      </c>
      <c r="O915">
        <v>572000</v>
      </c>
      <c r="P915" t="inlineStr">
        <is>
          <t>693175c7b577840001075d40</t>
        </is>
      </c>
      <c r="Q915" t="inlineStr">
        <is>
          <t>🚫重复</t>
        </is>
      </c>
      <c r="R915" t="inlineStr">
        <is>
          <t>16周</t>
        </is>
      </c>
      <c r="S915" t="inlineStr">
        <is>
          <t>0.72</t>
        </is>
      </c>
      <c r="T915" t="inlineStr">
        <is>
          <t>美食滋补</t>
        </is>
      </c>
      <c r="U915" t="inlineStr">
        <is>
          <t>休闲零食</t>
        </is>
      </c>
      <c r="V915" s="3">
        <v>46130.98501157408</v>
      </c>
      <c r="W915" t="inlineStr">
        <is>
          <t>2026-Q2</t>
        </is>
      </c>
    </row>
    <row r="916" ht="25.5" customHeight="1">
      <c r="A916" t="inlineStr">
        <is>
          <t>以味坊 · 【顺丰发货】高活性菌种发酵国产纳豆高品质益生菌纳豆激酶</t>
        </is>
      </c>
      <c r="B916" t="inlineStr">
        <is>
          <t>__upload_recvh9P0bmRdul.jpg</t>
        </is>
      </c>
      <c r="C916" s="2" t="str">
        <f>=HYPERLINK("https://xhslink.com/m/8wYm5cl4a8b", "https://xhslink.com/m/8wYm5cl4a8b")</f>
        <v>https://xhslink.com/m/8wYm5cl4a8b</v>
      </c>
      <c r="D916"/>
      <c r="E916">
        <v>133000</v>
      </c>
      <c r="F916">
        <v>92</v>
      </c>
      <c r="G916"/>
      <c r="H916">
        <v>400</v>
      </c>
      <c r="I916" t="inlineStr">
        <is>
          <t>低热量零食</t>
        </is>
      </c>
      <c r="J916" t="inlineStr">
        <is>
          <t>0.00</t>
        </is>
      </c>
      <c r="K916" t="inlineStr">
        <is>
          <t>🔥低粉爆款</t>
        </is>
      </c>
      <c r="L916" t="inlineStr">
        <is>
          <t>以味坊健康日记的店</t>
        </is>
      </c>
      <c r="M916">
        <v>30000</v>
      </c>
      <c r="N916">
        <v>4.36</v>
      </c>
      <c r="O916">
        <v>175000</v>
      </c>
      <c r="P916" t="inlineStr">
        <is>
          <t>6887848a86c0df0001e6744a</t>
        </is>
      </c>
      <c r="Q916"/>
      <c r="R916" t="inlineStr">
        <is>
          <t>16周</t>
        </is>
      </c>
      <c r="S916" t="inlineStr">
        <is>
          <t>4.43</t>
        </is>
      </c>
      <c r="T916" t="inlineStr">
        <is>
          <t>美食滋补</t>
        </is>
      </c>
      <c r="U916" t="inlineStr">
        <is>
          <t>营养滋补</t>
        </is>
      </c>
      <c r="V916" s="3">
        <v>46130.98501157408</v>
      </c>
      <c r="W916" t="inlineStr">
        <is>
          <t>2026-Q2</t>
        </is>
      </c>
    </row>
    <row r="917" ht="25.5" customHeight="1">
      <c r="A917" t="inlineStr">
        <is>
          <t>简约文艺ins音符抓夹女气质后脑勺发饰发夹</t>
        </is>
      </c>
      <c r="B917" t="inlineStr">
        <is>
          <t>__upload_recvh9P0bmc3Wu.jpg</t>
        </is>
      </c>
      <c r="C917" s="2" t="str">
        <f>=HYPERLINK("https://xhslink.com/m/6AvIlJCCx6i", "https://xhslink.com/m/6AvIlJCCx6i")</f>
        <v>https://xhslink.com/m/6AvIlJCCx6i</v>
      </c>
      <c r="D917"/>
      <c r="E917">
        <v>12000</v>
      </c>
      <c r="F917">
        <v>24.9</v>
      </c>
      <c r="G917">
        <v>13.9</v>
      </c>
      <c r="H917">
        <v>400</v>
      </c>
      <c r="I917" t="inlineStr">
        <is>
          <t>配饰</t>
        </is>
      </c>
      <c r="J917" t="inlineStr">
        <is>
          <t>0.03</t>
        </is>
      </c>
      <c r="K917" t="inlineStr">
        <is>
          <t>🔥低粉爆款</t>
        </is>
      </c>
      <c r="L917" t="inlineStr">
        <is>
          <t>巴斯克Like it的店</t>
        </is>
      </c>
      <c r="M917">
        <v>356</v>
      </c>
      <c r="N917">
        <v>4.57</v>
      </c>
      <c r="O917">
        <v>22000</v>
      </c>
      <c r="P917" t="inlineStr">
        <is>
          <t>69cbda873752710001529024</t>
        </is>
      </c>
      <c r="Q917"/>
      <c r="R917" t="inlineStr">
        <is>
          <t>16周</t>
        </is>
      </c>
      <c r="S917" t="inlineStr">
        <is>
          <t>33.71</t>
        </is>
      </c>
      <c r="T917" t="inlineStr">
        <is>
          <t>服饰穿搭</t>
        </is>
      </c>
      <c r="U917" t="inlineStr">
        <is>
          <t>配饰</t>
        </is>
      </c>
      <c r="V917" s="3">
        <v>46130.98501157408</v>
      </c>
      <c r="W917" t="inlineStr">
        <is>
          <t>2026-Q2</t>
        </is>
      </c>
    </row>
    <row r="918" ht="25.5" customHeight="1">
      <c r="A918" t="inlineStr">
        <is>
          <t>咩咩酱·复古木耳边花卉堆堆袜</t>
        </is>
      </c>
      <c r="B918" t="inlineStr">
        <is>
          <t>__upload_recvh9P0bmLSL3.jpg</t>
        </is>
      </c>
      <c r="C918" s="2" t="str">
        <f>=HYPERLINK("https://xhslink.com/m/8zsDa6VYnOs", "https://xhslink.com/m/8zsDa6VYnOs")</f>
        <v>https://xhslink.com/m/8zsDa6VYnOs</v>
      </c>
      <c r="D918"/>
      <c r="E918">
        <v>3957</v>
      </c>
      <c r="F918">
        <v>21.8</v>
      </c>
      <c r="G918">
        <v>16.8</v>
      </c>
      <c r="H918">
        <v>400</v>
      </c>
      <c r="I918" t="inlineStr">
        <is>
          <t>袜子</t>
        </is>
      </c>
      <c r="J918" t="inlineStr">
        <is>
          <t>0.10</t>
        </is>
      </c>
      <c r="K918"/>
      <c r="L918" t="inlineStr">
        <is>
          <t>咩咩酱的月亮的店</t>
        </is>
      </c>
      <c r="M918">
        <v>3702</v>
      </c>
      <c r="N918">
        <v>4.63</v>
      </c>
      <c r="O918">
        <v>60000</v>
      </c>
      <c r="P918" t="inlineStr">
        <is>
          <t>69bbbb58180bf40001eff9e9</t>
        </is>
      </c>
      <c r="Q918"/>
      <c r="R918" t="inlineStr">
        <is>
          <t>16周</t>
        </is>
      </c>
      <c r="S918" t="inlineStr">
        <is>
          <t>1.07</t>
        </is>
      </c>
      <c r="T918" t="inlineStr">
        <is>
          <t>家居生活</t>
        </is>
      </c>
      <c r="U918" t="inlineStr">
        <is>
          <t>家具家装</t>
        </is>
      </c>
      <c r="V918" s="3">
        <v>46130.98501157408</v>
      </c>
      <c r="W918" t="inlineStr">
        <is>
          <t>2026-Q2</t>
        </is>
      </c>
    </row>
    <row r="919" ht="25.5" customHeight="1">
      <c r="A919" t="inlineStr">
        <is>
          <t>宜北日记海星体裸娃</t>
        </is>
      </c>
      <c r="B919" t="inlineStr">
        <is>
          <t>__upload_recvhfQmhqsxbb.jpg</t>
        </is>
      </c>
      <c r="C919" s="2" t="str">
        <f>=HYPERLINK("https://xhslink.com/m/6c9IiXbKNXp", "https://xhslink.com/m/6c9IiXbKNXp")</f>
        <v>https://xhslink.com/m/6c9IiXbKNXp</v>
      </c>
      <c r="D919"/>
      <c r="E919">
        <v>2668</v>
      </c>
      <c r="F919">
        <v>42</v>
      </c>
      <c r="G919"/>
      <c r="H919">
        <v>400</v>
      </c>
      <c r="I919" t="inlineStr">
        <is>
          <t>棉花娃娃</t>
        </is>
      </c>
      <c r="J919" t="inlineStr">
        <is>
          <t>0.15</t>
        </is>
      </c>
      <c r="K919"/>
      <c r="L919" t="inlineStr">
        <is>
          <t>鼠愿薯饼的店</t>
        </is>
      </c>
      <c r="M919">
        <v>8133</v>
      </c>
      <c r="N919">
        <v>4.49</v>
      </c>
      <c r="O919">
        <v>7458</v>
      </c>
      <c r="P919" t="inlineStr">
        <is>
          <t>69be842dff00dc0001a7829f</t>
        </is>
      </c>
      <c r="Q919"/>
      <c r="R919" t="inlineStr">
        <is>
          <t>17周</t>
        </is>
      </c>
      <c r="S919" t="inlineStr">
        <is>
          <t>0.33</t>
        </is>
      </c>
      <c r="T919" t="inlineStr">
        <is>
          <t>运动潮玩</t>
        </is>
      </c>
      <c r="U919" t="inlineStr">
        <is>
          <t>潮玩手办</t>
        </is>
      </c>
      <c r="V919" s="3">
        <v>46132.014918981484</v>
      </c>
      <c r="W919" t="inlineStr">
        <is>
          <t>2026-Q2</t>
        </is>
      </c>
    </row>
    <row r="920" ht="25.5" customHeight="1">
      <c r="A920" t="inlineStr">
        <is>
          <t>小苹果50g 厚奶油泥 硅胶捏捏 默认微瑕 无开箱不售后</t>
        </is>
      </c>
      <c r="B920" t="inlineStr">
        <is>
          <t>__upload_recvhfQmhq8uU0.jpg</t>
        </is>
      </c>
      <c r="C920" s="2" t="str">
        <f>=HYPERLINK("https://xhslink.com/m/17YjLdZyFX", "https://xhslink.com/m/17YjLdZyFX")</f>
        <v>https://xhslink.com/m/17YjLdZyFX</v>
      </c>
      <c r="D920"/>
      <c r="E920">
        <v>13000</v>
      </c>
      <c r="F920">
        <v>20.9</v>
      </c>
      <c r="G920">
        <v>9.9</v>
      </c>
      <c r="H920">
        <v>400</v>
      </c>
      <c r="I920" t="inlineStr">
        <is>
          <t>硅胶捏捏</t>
        </is>
      </c>
      <c r="J920" t="inlineStr">
        <is>
          <t>0.03</t>
        </is>
      </c>
      <c r="K920"/>
      <c r="L920" t="inlineStr">
        <is>
          <t>小抒君的店</t>
        </is>
      </c>
      <c r="M920">
        <v>18000</v>
      </c>
      <c r="N920">
        <v>4.33</v>
      </c>
      <c r="O920">
        <v>36000</v>
      </c>
      <c r="P920" t="inlineStr">
        <is>
          <t>692b5577ccb9e0000122d167</t>
        </is>
      </c>
      <c r="Q920" t="inlineStr">
        <is>
          <t>🚫重复</t>
        </is>
      </c>
      <c r="R920" t="inlineStr">
        <is>
          <t>17周</t>
        </is>
      </c>
      <c r="S920" t="inlineStr">
        <is>
          <t>0.72</t>
        </is>
      </c>
      <c r="T920" t="inlineStr">
        <is>
          <t>运动潮玩</t>
        </is>
      </c>
      <c r="U920" t="inlineStr">
        <is>
          <t>潮玩手办</t>
        </is>
      </c>
      <c r="V920" s="3">
        <v>46132.014918981484</v>
      </c>
      <c r="W920" t="inlineStr">
        <is>
          <t>2026-Q2</t>
        </is>
      </c>
    </row>
    <row r="921" ht="25.5" customHeight="1">
      <c r="A921" t="inlineStr">
        <is>
          <t>百分一 · 繁花似锦 黑白碎花乱褶半身裙 收腰遮胯 垂坠飘逸 慵懒浪漫F9754</t>
        </is>
      </c>
      <c r="B921" t="inlineStr">
        <is>
          <t>__upload_recvhfQmhqDOnb.jpg</t>
        </is>
      </c>
      <c r="C921" s="2" t="str">
        <f>=HYPERLINK("https://xhslink.com/m/3EEqgbHnVZZ", "https://xhslink.com/m/3EEqgbHnVZZ")</f>
        <v>https://xhslink.com/m/3EEqgbHnVZZ</v>
      </c>
      <c r="D921"/>
      <c r="E921">
        <v>4376</v>
      </c>
      <c r="F921">
        <v>229</v>
      </c>
      <c r="G921">
        <v>169</v>
      </c>
      <c r="H921">
        <v>400</v>
      </c>
      <c r="I921" t="inlineStr">
        <is>
          <t>半身裙</t>
        </is>
      </c>
      <c r="J921" t="inlineStr">
        <is>
          <t>0.09</t>
        </is>
      </c>
      <c r="K921"/>
      <c r="L921" t="inlineStr">
        <is>
          <t>百分一穿搭的店</t>
        </is>
      </c>
      <c r="M921">
        <v>121000</v>
      </c>
      <c r="N921">
        <v>4.71</v>
      </c>
      <c r="O921">
        <v>13000</v>
      </c>
      <c r="P921" t="inlineStr">
        <is>
          <t>6926d1312b812a00153766b7</t>
        </is>
      </c>
      <c r="Q921"/>
      <c r="R921" t="inlineStr">
        <is>
          <t>17周</t>
        </is>
      </c>
      <c r="S921" t="inlineStr">
        <is>
          <t>0.04</t>
        </is>
      </c>
      <c r="T921" t="inlineStr">
        <is>
          <t>服饰穿搭</t>
        </is>
      </c>
      <c r="U921" t="inlineStr">
        <is>
          <t>女装</t>
        </is>
      </c>
      <c r="V921" s="3">
        <v>46132.014918981484</v>
      </c>
      <c r="W921" t="inlineStr">
        <is>
          <t>2026-Q2</t>
        </is>
      </c>
    </row>
    <row r="922" ht="25.5" customHeight="1">
      <c r="A922" t="inlineStr">
        <is>
          <t>糯小姐 · 【1盒装·净重280G/盒 】金枕冷冻榴莲肉 香甜软糯 顺丰发货</t>
        </is>
      </c>
      <c r="B922" t="inlineStr">
        <is>
          <t>__upload_recvhfQmhqdkWZ.jpg</t>
        </is>
      </c>
      <c r="C922" s="2" t="str">
        <f>=HYPERLINK("https://xhslink.com/m/2UhJtj574Jv", "https://xhslink.com/m/2UhJtj574Jv")</f>
        <v>https://xhslink.com/m/2UhJtj574Jv</v>
      </c>
      <c r="D922"/>
      <c r="E922">
        <v>1218</v>
      </c>
      <c r="F922">
        <v>59.99</v>
      </c>
      <c r="G922"/>
      <c r="H922">
        <v>400</v>
      </c>
      <c r="I922" t="inlineStr">
        <is>
          <t>榴莲</t>
        </is>
      </c>
      <c r="J922" t="inlineStr">
        <is>
          <t>0.33</t>
        </is>
      </c>
      <c r="K922"/>
      <c r="L922" t="inlineStr">
        <is>
          <t>糯小姐旗舰店</t>
        </is>
      </c>
      <c r="M922">
        <v>34000</v>
      </c>
      <c r="N922">
        <v>4.7</v>
      </c>
      <c r="O922">
        <v>322000</v>
      </c>
      <c r="P922" t="inlineStr">
        <is>
          <t>6740432453417c00015de7ba</t>
        </is>
      </c>
      <c r="Q922"/>
      <c r="R922" t="inlineStr">
        <is>
          <t>17周</t>
        </is>
      </c>
      <c r="S922" t="inlineStr">
        <is>
          <t>0.04</t>
        </is>
      </c>
      <c r="T922" t="inlineStr">
        <is>
          <t>美食滋补</t>
        </is>
      </c>
      <c r="U922" t="inlineStr">
        <is>
          <t>生鲜特产</t>
        </is>
      </c>
      <c r="V922" s="3">
        <v>46132.014918981484</v>
      </c>
      <c r="W922" t="inlineStr">
        <is>
          <t>2026-Q2</t>
        </is>
      </c>
    </row>
    <row r="923" ht="25.5" customHeight="1">
      <c r="A923" t="inlineStr">
        <is>
          <t>新疆特产鹰嘴豆豆干新远诚手撕豆干小包阿勒泰哈巴河零食散称零食</t>
        </is>
      </c>
      <c r="B923" t="inlineStr">
        <is>
          <t>__upload_recvhfQmhqTKLC.jpg</t>
        </is>
      </c>
      <c r="C923" s="2" t="str">
        <f>=HYPERLINK("https://xhslink.com/m/svkI4ocjKU", "https://xhslink.com/m/svkI4ocjKU")</f>
        <v>https://xhslink.com/m/svkI4ocjKU</v>
      </c>
      <c r="D923"/>
      <c r="E923">
        <v>11000</v>
      </c>
      <c r="F923">
        <v>55</v>
      </c>
      <c r="G923">
        <v>39.9</v>
      </c>
      <c r="H923">
        <v>400</v>
      </c>
      <c r="I923" t="inlineStr">
        <is>
          <t>零食</t>
        </is>
      </c>
      <c r="J923" t="inlineStr">
        <is>
          <t>0.04</t>
        </is>
      </c>
      <c r="K923"/>
      <c r="L923" t="inlineStr">
        <is>
          <t>新疆深夜食堂的店</t>
        </is>
      </c>
      <c r="M923">
        <v>26000</v>
      </c>
      <c r="N923">
        <v>4.8</v>
      </c>
      <c r="O923">
        <v>212000</v>
      </c>
      <c r="P923" t="inlineStr">
        <is>
          <t>687610941cfd98000133c54b</t>
        </is>
      </c>
      <c r="Q923" t="inlineStr">
        <is>
          <t>🚫重复</t>
        </is>
      </c>
      <c r="R923" t="inlineStr">
        <is>
          <t>17周</t>
        </is>
      </c>
      <c r="S923" t="inlineStr">
        <is>
          <t>0.42</t>
        </is>
      </c>
      <c r="T923" t="inlineStr">
        <is>
          <t>美食滋补</t>
        </is>
      </c>
      <c r="U923" t="inlineStr">
        <is>
          <t>休闲零食</t>
        </is>
      </c>
      <c r="V923" s="3">
        <v>46132.014918981484</v>
      </c>
      <c r="W923" t="inlineStr">
        <is>
          <t>2026-Q2</t>
        </is>
      </c>
    </row>
    <row r="924" ht="25.5" customHeight="1">
      <c r="A924" t="inlineStr">
        <is>
          <t>ARSIS · 【春上新特惠】自由搭配系列满天星项链手链小众设计精致手链项链</t>
        </is>
      </c>
      <c r="B924" t="inlineStr">
        <is>
          <t>__upload_recvhfQmhqff0W.jpg</t>
        </is>
      </c>
      <c r="C924" s="2" t="str">
        <f>=HYPERLINK("https://xhslink.com/m/2NYDYe3LZaK", "https://xhslink.com/m/2NYDYe3LZaK")</f>
        <v>https://xhslink.com/m/2NYDYe3LZaK</v>
      </c>
      <c r="D924"/>
      <c r="E924">
        <v>8129</v>
      </c>
      <c r="F924">
        <v>306</v>
      </c>
      <c r="G924">
        <v>196</v>
      </c>
      <c r="H924">
        <v>400</v>
      </c>
      <c r="I924" t="inlineStr">
        <is>
          <t>手链项链</t>
        </is>
      </c>
      <c r="J924" t="inlineStr">
        <is>
          <t>0.05</t>
        </is>
      </c>
      <c r="K924"/>
      <c r="L924" t="inlineStr">
        <is>
          <t>ARSIS旗舰店</t>
        </is>
      </c>
      <c r="M924">
        <v>300000</v>
      </c>
      <c r="N924">
        <v>4.68</v>
      </c>
      <c r="O924">
        <v>446000</v>
      </c>
      <c r="P924" t="inlineStr">
        <is>
          <t>648416999971c600018637a5</t>
        </is>
      </c>
      <c r="Q924"/>
      <c r="R924" t="inlineStr">
        <is>
          <t>17周</t>
        </is>
      </c>
      <c r="S924" t="inlineStr">
        <is>
          <t>0.03</t>
        </is>
      </c>
      <c r="T924" t="inlineStr">
        <is>
          <t>服饰穿搭</t>
        </is>
      </c>
      <c r="U924" t="inlineStr">
        <is>
          <t>配饰</t>
        </is>
      </c>
      <c r="V924" s="3">
        <v>46132.014918981484</v>
      </c>
      <c r="W924" t="inlineStr">
        <is>
          <t>2026-Q2</t>
        </is>
      </c>
    </row>
    <row r="925" ht="25.5" customHeight="1">
      <c r="A925" t="inlineStr">
        <is>
          <t>【到手够吃10天】每日杂粮 八种粗粮南瓜山药紫薯开袋即食代餐</t>
        </is>
      </c>
      <c r="B925" t="inlineStr">
        <is>
          <t>__upload_recvhfQmhqOGo9.jpg</t>
        </is>
      </c>
      <c r="C925" s="2" t="str">
        <f>=HYPERLINK("https://xhslink.com/m/9Ltj4zBUsad", "https://xhslink.com/m/9Ltj4zBUsad")</f>
        <v>https://xhslink.com/m/9Ltj4zBUsad</v>
      </c>
      <c r="D925"/>
      <c r="E925">
        <v>7825</v>
      </c>
      <c r="F925">
        <v>39.9</v>
      </c>
      <c r="G925">
        <v>28.9</v>
      </c>
      <c r="H925">
        <v>400</v>
      </c>
      <c r="I925" t="inlineStr">
        <is>
          <t>早餐食品</t>
        </is>
      </c>
      <c r="J925" t="inlineStr">
        <is>
          <t>0.05</t>
        </is>
      </c>
      <c r="K925" t="inlineStr">
        <is>
          <t>🔥低粉爆款</t>
        </is>
      </c>
      <c r="L925" t="inlineStr">
        <is>
          <t>鹰眼食光集的店</t>
        </is>
      </c>
      <c r="M925">
        <v>67</v>
      </c>
      <c r="N925">
        <v>4.46</v>
      </c>
      <c r="O925">
        <v>7852</v>
      </c>
      <c r="P925" t="inlineStr">
        <is>
          <t>69cc78cec3771c001595d573</t>
        </is>
      </c>
      <c r="Q925"/>
      <c r="R925" t="inlineStr">
        <is>
          <t>17周</t>
        </is>
      </c>
      <c r="S925" t="inlineStr">
        <is>
          <t>116.79</t>
        </is>
      </c>
      <c r="T925" t="inlineStr">
        <is>
          <t>美食滋补</t>
        </is>
      </c>
      <c r="U925" t="inlineStr">
        <is>
          <t>休闲零食</t>
        </is>
      </c>
      <c r="V925" s="3">
        <v>46132.014918981484</v>
      </c>
      <c r="W925" t="inlineStr">
        <is>
          <t>2026-Q2</t>
        </is>
      </c>
    </row>
    <row r="926" ht="25.5" customHeight="1">
      <c r="A926" t="inlineStr">
        <is>
          <t>黑兔 · 【重磅上新】底妆腮红膏提亮遮瑕膏阴湿感裸色收缩</t>
        </is>
      </c>
      <c r="B926" t="inlineStr">
        <is>
          <t>__upload_recvhfQmhqEhQ7.jpg</t>
        </is>
      </c>
      <c r="C926" s="2" t="str">
        <f>=HYPERLINK("https://xhslink.com/m/AHZtG9P8LsX", "https://xhslink.com/m/AHZtG9P8LsX")</f>
        <v>https://xhslink.com/m/AHZtG9P8LsX</v>
      </c>
      <c r="D926"/>
      <c r="E926">
        <v>19000</v>
      </c>
      <c r="F926">
        <v>49</v>
      </c>
      <c r="G926">
        <v>39</v>
      </c>
      <c r="H926">
        <v>400</v>
      </c>
      <c r="I926" t="inlineStr">
        <is>
          <t>美妆</t>
        </is>
      </c>
      <c r="J926" t="inlineStr">
        <is>
          <t>0.02</t>
        </is>
      </c>
      <c r="K926"/>
      <c r="L926" t="inlineStr">
        <is>
          <t>HYNTOOR黑兔旗舰店</t>
        </is>
      </c>
      <c r="M926">
        <v>42000</v>
      </c>
      <c r="N926">
        <v>4.65</v>
      </c>
      <c r="O926">
        <v>110000</v>
      </c>
      <c r="P926" t="inlineStr">
        <is>
          <t>690c63fbdcedc700015a9914</t>
        </is>
      </c>
      <c r="Q926" t="inlineStr">
        <is>
          <t>🚫重复</t>
        </is>
      </c>
      <c r="R926" t="inlineStr">
        <is>
          <t>17周</t>
        </is>
      </c>
      <c r="S926" t="inlineStr">
        <is>
          <t>0.45</t>
        </is>
      </c>
      <c r="T926" t="inlineStr">
        <is>
          <t>美妆个护</t>
        </is>
      </c>
      <c r="U926" t="inlineStr">
        <is>
          <t>护肤彩妆</t>
        </is>
      </c>
      <c r="V926" s="3">
        <v>46132.014918981484</v>
      </c>
      <c r="W926" t="inlineStr">
        <is>
          <t>2026-Q2</t>
        </is>
      </c>
    </row>
    <row r="927" ht="25.5" customHeight="1">
      <c r="A927" t="inlineStr">
        <is>
          <t>高支匹马棉长袖tee</t>
        </is>
      </c>
      <c r="B927" t="inlineStr">
        <is>
          <t>recvcB40MY1Z4R.jpg</t>
        </is>
      </c>
      <c r="C927" s="2" t="str">
        <f>=HYPERLINK("https://xhslink.com/m/3i0SsQQBXPE", "https://xhslink.com/m/3i0SsQQBXPE")</f>
        <v>https://xhslink.com/m/3i0SsQQBXPE</v>
      </c>
      <c r="D927"/>
      <c r="E927">
        <v>20000</v>
      </c>
      <c r="F927">
        <v>198</v>
      </c>
      <c r="G927"/>
      <c r="H927">
        <v>300</v>
      </c>
      <c r="I927" t="inlineStr">
        <is>
          <t>T恤</t>
        </is>
      </c>
      <c r="J927" t="inlineStr">
        <is>
          <t>0.01</t>
        </is>
      </c>
      <c r="K927"/>
      <c r="L927" t="inlineStr">
        <is>
          <t>高坂大叔的店</t>
        </is>
      </c>
      <c r="M927">
        <v>110000</v>
      </c>
      <c r="N927">
        <v>4.77</v>
      </c>
      <c r="O927">
        <v>402000</v>
      </c>
      <c r="P927" t="inlineStr">
        <is>
          <t>68dffe42702da10001732964</t>
        </is>
      </c>
      <c r="Q927" t="inlineStr">
        <is>
          <t>🚫重复</t>
        </is>
      </c>
      <c r="R927" t="inlineStr">
        <is>
          <t>14周</t>
        </is>
      </c>
      <c r="S927" t="inlineStr">
        <is>
          <t>0.18</t>
        </is>
      </c>
      <c r="T927" t="inlineStr">
        <is>
          <t>服饰穿搭</t>
        </is>
      </c>
      <c r="U927" t="inlineStr">
        <is>
          <t>女装</t>
        </is>
      </c>
      <c r="V927" s="3">
        <v>46112.78107638889</v>
      </c>
      <c r="W927" t="inlineStr">
        <is>
          <t>2026-Q1</t>
        </is>
      </c>
    </row>
    <row r="928" ht="25.5" customHeight="1">
      <c r="A928" t="inlineStr">
        <is>
          <t>现货！埃及棉v领短袖</t>
        </is>
      </c>
      <c r="B928" t="inlineStr">
        <is>
          <t>recvcB48ez93DQ.jpg</t>
        </is>
      </c>
      <c r="C928" s="2" t="str">
        <f>=HYPERLINK("https://xhslink.com/m/4d4SWqro2Xz", "https://xhslink.com/m/4d4SWqro2Xz")</f>
        <v>https://xhslink.com/m/4d4SWqro2Xz</v>
      </c>
      <c r="D928"/>
      <c r="E928">
        <v>8215</v>
      </c>
      <c r="F928">
        <v>278</v>
      </c>
      <c r="G928"/>
      <c r="H928">
        <v>300</v>
      </c>
      <c r="I928" t="inlineStr">
        <is>
          <t>T恤</t>
        </is>
      </c>
      <c r="J928" t="inlineStr">
        <is>
          <t>0.04</t>
        </is>
      </c>
      <c r="K928"/>
      <c r="L928" t="inlineStr">
        <is>
          <t>高坂大叔的店</t>
        </is>
      </c>
      <c r="M928">
        <v>110000</v>
      </c>
      <c r="N928">
        <v>4.77</v>
      </c>
      <c r="O928">
        <v>402000</v>
      </c>
      <c r="P928" t="inlineStr">
        <is>
          <t>6875c1254485460001f81353</t>
        </is>
      </c>
      <c r="Q928" t="inlineStr">
        <is>
          <t>🚫重复</t>
        </is>
      </c>
      <c r="R928" t="inlineStr">
        <is>
          <t>14周</t>
        </is>
      </c>
      <c r="S928" t="inlineStr">
        <is>
          <t>0.07</t>
        </is>
      </c>
      <c r="T928" t="inlineStr">
        <is>
          <t>服饰穿搭</t>
        </is>
      </c>
      <c r="U928" t="inlineStr">
        <is>
          <t>女装</t>
        </is>
      </c>
      <c r="V928" s="3">
        <v>46112.78107638889</v>
      </c>
      <c r="W928" t="inlineStr">
        <is>
          <t>2026-Q1</t>
        </is>
      </c>
    </row>
    <row r="929" ht="25.5" customHeight="1">
      <c r="A929" t="inlineStr">
        <is>
          <t>批发实体店尾单 TR面料长袖jk衬衫推荐日系白不透正装女面试答辩</t>
        </is>
      </c>
      <c r="B929" t="inlineStr">
        <is>
          <t>recvcB48ez9uHY.jpg</t>
        </is>
      </c>
      <c r="C929" s="2" t="str">
        <f>=HYPERLINK("https://xhslink.com/m/5T1nutAynEf", "https://xhslink.com/m/5T1nutAynEf")</f>
        <v>https://xhslink.com/m/5T1nutAynEf</v>
      </c>
      <c r="D929"/>
      <c r="E929">
        <v>167000</v>
      </c>
      <c r="F929">
        <v>29.9</v>
      </c>
      <c r="G929"/>
      <c r="H929">
        <v>300</v>
      </c>
      <c r="I929" t="inlineStr">
        <is>
          <t>衬衫</t>
        </is>
      </c>
      <c r="J929" t="inlineStr">
        <is>
          <t>0.00</t>
        </is>
      </c>
      <c r="K929" t="inlineStr">
        <is>
          <t>🔥低粉爆款</t>
        </is>
      </c>
      <c r="L929" t="inlineStr">
        <is>
          <t>一夕光jk的店</t>
        </is>
      </c>
      <c r="M929">
        <v>28000</v>
      </c>
      <c r="N929">
        <v>4.53</v>
      </c>
      <c r="O929">
        <v>226000</v>
      </c>
      <c r="P929" t="inlineStr">
        <is>
          <t>66d82210eccfc90001543185</t>
        </is>
      </c>
      <c r="Q929"/>
      <c r="R929" t="inlineStr">
        <is>
          <t>14周</t>
        </is>
      </c>
      <c r="S929" t="inlineStr">
        <is>
          <t>5.96</t>
        </is>
      </c>
      <c r="T929" t="inlineStr">
        <is>
          <t>服饰穿搭</t>
        </is>
      </c>
      <c r="U929" t="inlineStr">
        <is>
          <t>女装</t>
        </is>
      </c>
      <c r="V929" s="3">
        <v>46112.78107638889</v>
      </c>
      <c r="W929" t="inlineStr">
        <is>
          <t>2026-Q1</t>
        </is>
      </c>
    </row>
    <row r="930" ht="25.5" customHeight="1">
      <c r="A930" t="inlineStr">
        <is>
          <t>透视白色长袖衬衫女薄款宽松慵懒风开衫外套</t>
        </is>
      </c>
      <c r="B930" t="inlineStr">
        <is>
          <t>recvcB48ezeGLL.jpg</t>
        </is>
      </c>
      <c r="C930" s="2" t="str">
        <f>=HYPERLINK("https://xhslink.com/m/K5hNlPHeUF", "https://xhslink.com/m/K5hNlPHeUF")</f>
        <v>https://xhslink.com/m/K5hNlPHeUF</v>
      </c>
      <c r="D930"/>
      <c r="E930">
        <v>72000</v>
      </c>
      <c r="F930">
        <v>59.9</v>
      </c>
      <c r="G930"/>
      <c r="H930">
        <v>300</v>
      </c>
      <c r="I930" t="inlineStr">
        <is>
          <t>衬衫</t>
        </is>
      </c>
      <c r="J930" t="inlineStr">
        <is>
          <t>0.00</t>
        </is>
      </c>
      <c r="K930"/>
      <c r="L930" t="inlineStr">
        <is>
          <t>米米米敏min的店</t>
        </is>
      </c>
      <c r="M930">
        <v>40000</v>
      </c>
      <c r="N930">
        <v>4.59</v>
      </c>
      <c r="O930">
        <v>227000</v>
      </c>
      <c r="P930" t="inlineStr">
        <is>
          <t>66306be0b3cb5300017729da</t>
        </is>
      </c>
      <c r="Q930"/>
      <c r="R930" t="inlineStr">
        <is>
          <t>14周</t>
        </is>
      </c>
      <c r="S930" t="inlineStr">
        <is>
          <t>1.80</t>
        </is>
      </c>
      <c r="T930" t="inlineStr">
        <is>
          <t>服饰穿搭</t>
        </is>
      </c>
      <c r="U930" t="inlineStr">
        <is>
          <t>女装</t>
        </is>
      </c>
      <c r="V930" s="3">
        <v>46112.78107638889</v>
      </c>
      <c r="W930" t="inlineStr">
        <is>
          <t>2026-Q1</t>
        </is>
      </c>
    </row>
    <row r="931" ht="25.5" customHeight="1">
      <c r="A931" t="inlineStr">
        <is>
          <t>极简高智感天丝亚麻纯色衬衫女秋款宽松舒适百搭韩版长袖上衣</t>
        </is>
      </c>
      <c r="B931" t="inlineStr">
        <is>
          <t>recvcB48ezhzVI.jpg</t>
        </is>
      </c>
      <c r="C931" s="2" t="str">
        <f>=HYPERLINK("https://xhslink.com/m/1P4yrL9ztb4", "https://xhslink.com/m/1P4yrL9ztb4")</f>
        <v>https://xhslink.com/m/1P4yrL9ztb4</v>
      </c>
      <c r="D931"/>
      <c r="E931">
        <v>3499</v>
      </c>
      <c r="F931">
        <v>99.9</v>
      </c>
      <c r="G931"/>
      <c r="H931">
        <v>300</v>
      </c>
      <c r="I931" t="inlineStr">
        <is>
          <t>衬衫</t>
        </is>
      </c>
      <c r="J931" t="inlineStr">
        <is>
          <t>0.09</t>
        </is>
      </c>
      <c r="K931"/>
      <c r="L931" t="inlineStr">
        <is>
          <t>小小啊le的店</t>
        </is>
      </c>
      <c r="M931">
        <v>214000</v>
      </c>
      <c r="N931">
        <v>4.65</v>
      </c>
      <c r="O931">
        <v>772000</v>
      </c>
      <c r="P931" t="inlineStr">
        <is>
          <t>68c8228c9c4f880001c5e1c9</t>
        </is>
      </c>
      <c r="Q931" t="inlineStr">
        <is>
          <t>🚫重复</t>
        </is>
      </c>
      <c r="R931" t="inlineStr">
        <is>
          <t>14周</t>
        </is>
      </c>
      <c r="S931" t="inlineStr">
        <is>
          <t>0.02</t>
        </is>
      </c>
      <c r="T931" t="inlineStr">
        <is>
          <t>服饰穿搭</t>
        </is>
      </c>
      <c r="U931" t="inlineStr">
        <is>
          <t>女装</t>
        </is>
      </c>
      <c r="V931" s="3">
        <v>46112.78107638889</v>
      </c>
      <c r="W931" t="inlineStr">
        <is>
          <t>2026-Q1</t>
        </is>
      </c>
    </row>
    <row r="932" ht="25.5" customHeight="1">
      <c r="A932" t="inlineStr">
        <is>
          <t>「麻花小开衫」韩版经典百搭连帽麻花拉链针织开衫</t>
        </is>
      </c>
      <c r="B932" t="inlineStr">
        <is>
          <t>recvcB48ezhQGo.jpg</t>
        </is>
      </c>
      <c r="C932" s="2" t="str">
        <f>=HYPERLINK("https://xhslink.com/m/AMP93Bzp4SU", "https://xhslink.com/m/AMP93Bzp4SU")</f>
        <v>https://xhslink.com/m/AMP93Bzp4SU</v>
      </c>
      <c r="D932"/>
      <c r="E932">
        <v>2296</v>
      </c>
      <c r="F932">
        <v>109.9</v>
      </c>
      <c r="G932"/>
      <c r="H932">
        <v>300</v>
      </c>
      <c r="I932" t="inlineStr">
        <is>
          <t>针织外套</t>
        </is>
      </c>
      <c r="J932" t="inlineStr">
        <is>
          <t>0.13</t>
        </is>
      </c>
      <c r="K932"/>
      <c r="L932" t="inlineStr">
        <is>
          <t>小小啊le的店</t>
        </is>
      </c>
      <c r="M932">
        <v>214000</v>
      </c>
      <c r="N932">
        <v>4.65</v>
      </c>
      <c r="O932">
        <v>772000</v>
      </c>
      <c r="P932" t="inlineStr">
        <is>
          <t>69147d4bb51a380001e2fca3</t>
        </is>
      </c>
      <c r="Q932" t="inlineStr">
        <is>
          <t>🚫重复</t>
        </is>
      </c>
      <c r="R932" t="inlineStr">
        <is>
          <t>14周</t>
        </is>
      </c>
      <c r="S932" t="inlineStr">
        <is>
          <t>0.01</t>
        </is>
      </c>
      <c r="T932" t="inlineStr">
        <is>
          <t>服饰穿搭</t>
        </is>
      </c>
      <c r="U932" t="inlineStr">
        <is>
          <t>女装</t>
        </is>
      </c>
      <c r="V932" s="3">
        <v>46112.78107638889</v>
      </c>
      <c r="W932" t="inlineStr">
        <is>
          <t>2026-Q1</t>
        </is>
      </c>
    </row>
    <row r="933" ht="25.5" customHeight="1">
      <c r="A933" t="inlineStr">
        <is>
          <t>VERSE STONE25 欧美老钱风卡其色中腰直筒裤</t>
        </is>
      </c>
      <c r="B933" t="inlineStr">
        <is>
          <t>recvcB48ezym5J.jpg</t>
        </is>
      </c>
      <c r="C933" s="2" t="str">
        <f>=HYPERLINK("https://xhslink.com/m/6lG6D2vpUhJ", "https://xhslink.com/m/6lG6D2vpUhJ")</f>
        <v>https://xhslink.com/m/6lG6D2vpUhJ</v>
      </c>
      <c r="D933"/>
      <c r="E933">
        <v>6808</v>
      </c>
      <c r="F933">
        <v>288</v>
      </c>
      <c r="G933"/>
      <c r="H933">
        <v>300</v>
      </c>
      <c r="I933" t="inlineStr">
        <is>
          <t>直裤</t>
        </is>
      </c>
      <c r="J933" t="inlineStr">
        <is>
          <t>0.04</t>
        </is>
      </c>
      <c r="K933"/>
      <c r="L933" t="inlineStr">
        <is>
          <t>verse stone的店</t>
        </is>
      </c>
      <c r="M933">
        <v>14000</v>
      </c>
      <c r="N933">
        <v>4.67</v>
      </c>
      <c r="O933">
        <v>54000</v>
      </c>
      <c r="P933" t="inlineStr">
        <is>
          <t>68ce806424f1f800010996bb</t>
        </is>
      </c>
      <c r="Q933"/>
      <c r="R933" t="inlineStr">
        <is>
          <t>14周</t>
        </is>
      </c>
      <c r="S933" t="inlineStr">
        <is>
          <t>0.49</t>
        </is>
      </c>
      <c r="T933" t="inlineStr">
        <is>
          <t>服饰穿搭</t>
        </is>
      </c>
      <c r="U933" t="inlineStr">
        <is>
          <t>女装</t>
        </is>
      </c>
      <c r="V933" s="3">
        <v>46112.78107638889</v>
      </c>
      <c r="W933" t="inlineStr">
        <is>
          <t>2026-Q1</t>
        </is>
      </c>
    </row>
    <row r="934" ht="25.5" customHeight="1">
      <c r="A934" t="inlineStr">
        <is>
          <t>CL JINLI 老钱风梨型显瘦遮胯直筒通勤休闲裤</t>
        </is>
      </c>
      <c r="B934" t="inlineStr">
        <is>
          <t>recvcB48ezJIgN.jpg</t>
        </is>
      </c>
      <c r="C934" s="2" t="str">
        <f>=HYPERLINK("https://xhslink.com/m/2aQlNhDgco6", "https://xhslink.com/m/2aQlNhDgco6")</f>
        <v>https://xhslink.com/m/2aQlNhDgco6</v>
      </c>
      <c r="D934"/>
      <c r="E934">
        <v>27000</v>
      </c>
      <c r="F934">
        <v>258</v>
      </c>
      <c r="G934"/>
      <c r="H934">
        <v>300</v>
      </c>
      <c r="I934" t="inlineStr">
        <is>
          <t>休闲裤</t>
        </is>
      </c>
      <c r="J934" t="inlineStr">
        <is>
          <t>0.01</t>
        </is>
      </c>
      <c r="K934"/>
      <c r="L934" t="inlineStr">
        <is>
          <t>是锦鲤呀的店</t>
        </is>
      </c>
      <c r="M934">
        <v>72000</v>
      </c>
      <c r="N934">
        <v>4.61</v>
      </c>
      <c r="O934">
        <v>422000</v>
      </c>
      <c r="P934" t="inlineStr">
        <is>
          <t>67f4488304afe30001d35574</t>
        </is>
      </c>
      <c r="Q934" t="inlineStr">
        <is>
          <t>🚫重复</t>
        </is>
      </c>
      <c r="R934" t="inlineStr">
        <is>
          <t>14周</t>
        </is>
      </c>
      <c r="S934" t="inlineStr">
        <is>
          <t>0.38</t>
        </is>
      </c>
      <c r="T934" t="inlineStr">
        <is>
          <t>服饰穿搭</t>
        </is>
      </c>
      <c r="U934" t="inlineStr">
        <is>
          <t>女装</t>
        </is>
      </c>
      <c r="V934" s="3">
        <v>46112.78107638889</v>
      </c>
      <c r="W934" t="inlineStr">
        <is>
          <t>2026-Q1</t>
        </is>
      </c>
    </row>
    <row r="935" ht="25.5" customHeight="1">
      <c r="A935" t="inlineStr">
        <is>
          <t>2026春季新款 韩版遮胯显瘦休闲牛仔裤K08</t>
        </is>
      </c>
      <c r="B935" t="inlineStr">
        <is>
          <t>recvcB48ezDiyL.jpg</t>
        </is>
      </c>
      <c r="C935" s="2" t="str">
        <f>=HYPERLINK("https://xhslink.com/m/1iwuabIZhbi", "https://xhslink.com/m/1iwuabIZhbi")</f>
        <v>https://xhslink.com/m/1iwuabIZhbi</v>
      </c>
      <c r="D935"/>
      <c r="E935">
        <v>22000</v>
      </c>
      <c r="F935">
        <v>299</v>
      </c>
      <c r="G935"/>
      <c r="H935">
        <v>300</v>
      </c>
      <c r="I935" t="inlineStr">
        <is>
          <t>春装裤子</t>
        </is>
      </c>
      <c r="J935" t="inlineStr">
        <is>
          <t>0.01</t>
        </is>
      </c>
      <c r="K935"/>
      <c r="L935" t="inlineStr">
        <is>
          <t>大屿studio的店</t>
        </is>
      </c>
      <c r="M935">
        <v>41000</v>
      </c>
      <c r="N935">
        <v>4.78</v>
      </c>
      <c r="O935">
        <v>172000</v>
      </c>
      <c r="P935" t="inlineStr">
        <is>
          <t>69130577b51a38000140fb66</t>
        </is>
      </c>
      <c r="Q935"/>
      <c r="R935" t="inlineStr">
        <is>
          <t>14周</t>
        </is>
      </c>
      <c r="S935" t="inlineStr">
        <is>
          <t>0.54</t>
        </is>
      </c>
      <c r="T935" t="inlineStr">
        <is>
          <t>服饰穿搭</t>
        </is>
      </c>
      <c r="U935" t="inlineStr">
        <is>
          <t>女装</t>
        </is>
      </c>
      <c r="V935" s="3">
        <v>46112.78107638889</v>
      </c>
      <c r="W935" t="inlineStr">
        <is>
          <t>2026-Q1</t>
        </is>
      </c>
    </row>
    <row r="936" ht="25.5" customHeight="1">
      <c r="A936" t="inlineStr">
        <is>
          <t>意大利原色直筒牛仔裤</t>
        </is>
      </c>
      <c r="B936" t="inlineStr">
        <is>
          <t>recvcB48ezLm6H.jpg</t>
        </is>
      </c>
      <c r="C936" s="2" t="str">
        <f>=HYPERLINK("https://xhslink.com/m/61XpRKyIo7R", "https://xhslink.com/m/61XpRKyIo7R")</f>
        <v>https://xhslink.com/m/61XpRKyIo7R</v>
      </c>
      <c r="D936"/>
      <c r="E936">
        <v>7474</v>
      </c>
      <c r="F936">
        <v>588</v>
      </c>
      <c r="G936"/>
      <c r="H936">
        <v>300</v>
      </c>
      <c r="I936" t="inlineStr">
        <is>
          <t>牛仔裤</t>
        </is>
      </c>
      <c r="J936" t="inlineStr">
        <is>
          <t>0.04</t>
        </is>
      </c>
      <c r="K936"/>
      <c r="L936" t="inlineStr">
        <is>
          <t>高坂大叔的店</t>
        </is>
      </c>
      <c r="M936">
        <v>110000</v>
      </c>
      <c r="N936">
        <v>4.77</v>
      </c>
      <c r="O936">
        <v>402000</v>
      </c>
      <c r="P936" t="inlineStr">
        <is>
          <t>682b33829a32770001c17ce6</t>
        </is>
      </c>
      <c r="Q936" t="inlineStr">
        <is>
          <t>🚫重复</t>
        </is>
      </c>
      <c r="R936" t="inlineStr">
        <is>
          <t>14周</t>
        </is>
      </c>
      <c r="S936" t="inlineStr">
        <is>
          <t>0.07</t>
        </is>
      </c>
      <c r="T936" t="inlineStr">
        <is>
          <t>服饰穿搭</t>
        </is>
      </c>
      <c r="U936" t="inlineStr">
        <is>
          <t>女装</t>
        </is>
      </c>
      <c r="V936" s="3">
        <v>46112.78107638889</v>
      </c>
      <c r="W936" t="inlineStr">
        <is>
          <t>2026-Q1</t>
        </is>
      </c>
    </row>
    <row r="937" ht="25.5" customHeight="1">
      <c r="A937" t="inlineStr">
        <is>
          <t>卫衣开衫拉链外套女2026新款爆款连帽设计感小众春秋季修身上衣女</t>
        </is>
      </c>
      <c r="B937" t="inlineStr">
        <is>
          <t>recvcB48ezobgw.jpg</t>
        </is>
      </c>
      <c r="C937" s="2" t="str">
        <f>=HYPERLINK("https://xhslink.com/m/4FbiUQLb9AQ", "https://xhslink.com/m/4FbiUQLb9AQ")</f>
        <v>https://xhslink.com/m/4FbiUQLb9AQ</v>
      </c>
      <c r="D937"/>
      <c r="E937">
        <v>79000</v>
      </c>
      <c r="F937">
        <v>199.9</v>
      </c>
      <c r="G937"/>
      <c r="H937">
        <v>300</v>
      </c>
      <c r="I937" t="inlineStr">
        <is>
          <t>修身外套</t>
        </is>
      </c>
      <c r="J937" t="inlineStr">
        <is>
          <t>0.00</t>
        </is>
      </c>
      <c r="K937" t="inlineStr">
        <is>
          <t>🔥低粉爆款</t>
        </is>
      </c>
      <c r="L937" t="inlineStr">
        <is>
          <t>中山恋淑雅服饰的店</t>
        </is>
      </c>
      <c r="M937">
        <v>2953</v>
      </c>
      <c r="N937">
        <v>4.59</v>
      </c>
      <c r="O937">
        <v>139000</v>
      </c>
      <c r="P937" t="inlineStr">
        <is>
          <t>68f1a1c7702da10001e2ccfc</t>
        </is>
      </c>
      <c r="Q937" t="inlineStr">
        <is>
          <t>🚫重复</t>
        </is>
      </c>
      <c r="R937" t="inlineStr">
        <is>
          <t>14周</t>
        </is>
      </c>
      <c r="S937" t="inlineStr">
        <is>
          <t>26.75</t>
        </is>
      </c>
      <c r="T937" t="inlineStr">
        <is>
          <t>服饰穿搭</t>
        </is>
      </c>
      <c r="U937" t="inlineStr">
        <is>
          <t>女装</t>
        </is>
      </c>
      <c r="V937" s="3">
        <v>46112.78107638889</v>
      </c>
      <c r="W937" t="inlineStr">
        <is>
          <t>2026-Q1</t>
        </is>
      </c>
    </row>
    <row r="938" ht="25.5" customHeight="1">
      <c r="A938" t="inlineStr">
        <is>
          <t>杏仁榛果定制人字纹面料慵懒随意微弹直筒牛仔裤运动长裤 #23326</t>
        </is>
      </c>
      <c r="B938" t="inlineStr">
        <is>
          <t>recvcB48ezc27R.jpg</t>
        </is>
      </c>
      <c r="C938" s="2" t="str">
        <f>=HYPERLINK("https://xhslink.com/m/6YkCbPiIeUT", "https://xhslink.com/m/6YkCbPiIeUT")</f>
        <v>https://xhslink.com/m/6YkCbPiIeUT</v>
      </c>
      <c r="D938"/>
      <c r="E938">
        <v>13000</v>
      </c>
      <c r="F938">
        <v>159</v>
      </c>
      <c r="G938"/>
      <c r="H938">
        <v>300</v>
      </c>
      <c r="I938" t="inlineStr">
        <is>
          <t>裤子</t>
        </is>
      </c>
      <c r="J938" t="inlineStr">
        <is>
          <t>0.02</t>
        </is>
      </c>
      <c r="K938"/>
      <c r="L938" t="inlineStr">
        <is>
          <t>敏儿Miner的店</t>
        </is>
      </c>
      <c r="M938">
        <v>19000</v>
      </c>
      <c r="N938">
        <v>4.55</v>
      </c>
      <c r="O938">
        <v>113000</v>
      </c>
      <c r="P938" t="inlineStr">
        <is>
          <t>693e99dc7159580001ef2821</t>
        </is>
      </c>
      <c r="Q938" t="inlineStr">
        <is>
          <t>🚫重复</t>
        </is>
      </c>
      <c r="R938" t="inlineStr">
        <is>
          <t>14周</t>
        </is>
      </c>
      <c r="S938" t="inlineStr">
        <is>
          <t>0.68</t>
        </is>
      </c>
      <c r="T938" t="inlineStr">
        <is>
          <t>服饰穿搭</t>
        </is>
      </c>
      <c r="U938" t="inlineStr">
        <is>
          <t>女装</t>
        </is>
      </c>
      <c r="V938" s="3">
        <v>46112.78107638889</v>
      </c>
      <c r="W938" t="inlineStr">
        <is>
          <t>2026-Q1</t>
        </is>
      </c>
    </row>
    <row r="939" ht="25.5" customHeight="1">
      <c r="A939" t="inlineStr">
        <is>
          <t>CL JINLI梨形显瘦镂空花朵牛仔裤</t>
        </is>
      </c>
      <c r="B939" t="inlineStr">
        <is>
          <t>recvcB48ezl6al.jpg</t>
        </is>
      </c>
      <c r="C939" s="2" t="str">
        <f>=HYPERLINK("https://xhslink.com/m/9L5O6Yd571Y", "https://xhslink.com/m/9L5O6Yd571Y")</f>
        <v>https://xhslink.com/m/9L5O6Yd571Y</v>
      </c>
      <c r="D939"/>
      <c r="E939">
        <v>17000</v>
      </c>
      <c r="F939">
        <v>268</v>
      </c>
      <c r="G939"/>
      <c r="H939">
        <v>300</v>
      </c>
      <c r="I939" t="inlineStr">
        <is>
          <t>裤子</t>
        </is>
      </c>
      <c r="J939" t="inlineStr">
        <is>
          <t>0.02</t>
        </is>
      </c>
      <c r="K939"/>
      <c r="L939" t="inlineStr">
        <is>
          <t>是锦鲤呀的店</t>
        </is>
      </c>
      <c r="M939">
        <v>72000</v>
      </c>
      <c r="N939">
        <v>4.61</v>
      </c>
      <c r="O939">
        <v>422000</v>
      </c>
      <c r="P939" t="inlineStr">
        <is>
          <t>6848001ee17b8a000184d676</t>
        </is>
      </c>
      <c r="Q939" t="inlineStr">
        <is>
          <t>🚫重复</t>
        </is>
      </c>
      <c r="R939" t="inlineStr">
        <is>
          <t>14周</t>
        </is>
      </c>
      <c r="S939" t="inlineStr">
        <is>
          <t>0.24</t>
        </is>
      </c>
      <c r="T939" t="inlineStr">
        <is>
          <t>服饰穿搭</t>
        </is>
      </c>
      <c r="U939" t="inlineStr">
        <is>
          <t>女装</t>
        </is>
      </c>
      <c r="V939" s="3">
        <v>46112.78107638889</v>
      </c>
      <c r="W939" t="inlineStr">
        <is>
          <t>2026-Q1</t>
        </is>
      </c>
    </row>
    <row r="940" ht="25.5" customHeight="1">
      <c r="A940" t="inlineStr">
        <is>
          <t>海外在售109美金！零落差鞋底 宽楦真牛皮透气综训健身运动赤足鞋</t>
        </is>
      </c>
      <c r="B940" t="inlineStr">
        <is>
          <t>recvcG44S0H7bD.jpg</t>
        </is>
      </c>
      <c r="C940" s="2" t="str">
        <f>=HYPERLINK("https://xhslink.com/m/4SPBCdZmv4M", "https://xhslink.com/m/4SPBCdZmv4M")</f>
        <v>https://xhslink.com/m/4SPBCdZmv4M</v>
      </c>
      <c r="D940"/>
      <c r="E940">
        <v>10000</v>
      </c>
      <c r="F940">
        <v>158</v>
      </c>
      <c r="G940"/>
      <c r="H940">
        <v>300</v>
      </c>
      <c r="I940" t="inlineStr">
        <is>
          <t>运动鞋</t>
        </is>
      </c>
      <c r="J940" t="inlineStr">
        <is>
          <t>0.03</t>
        </is>
      </c>
      <c r="K940"/>
      <c r="L940" t="inlineStr">
        <is>
          <t>悟空家优选的店</t>
        </is>
      </c>
      <c r="M940">
        <v>8946</v>
      </c>
      <c r="N940">
        <v>4.47</v>
      </c>
      <c r="O940">
        <v>20000</v>
      </c>
      <c r="P940" t="inlineStr">
        <is>
          <t>6888372de6b4640016c443d9</t>
        </is>
      </c>
      <c r="Q940" t="inlineStr">
        <is>
          <t>🚫重复</t>
        </is>
      </c>
      <c r="R940" t="inlineStr">
        <is>
          <t>14周</t>
        </is>
      </c>
      <c r="S940" t="inlineStr">
        <is>
          <t>1.12</t>
        </is>
      </c>
      <c r="T940" t="inlineStr">
        <is>
          <t>运动潮玩</t>
        </is>
      </c>
      <c r="U940" t="inlineStr">
        <is>
          <t>运动户外装备</t>
        </is>
      </c>
      <c r="V940" s="3">
        <v>46112.78107638889</v>
      </c>
      <c r="W940" t="inlineStr">
        <is>
          <t>2026-Q1</t>
        </is>
      </c>
    </row>
    <row r="941" ht="25.5" customHeight="1">
      <c r="A941" t="inlineStr">
        <is>
          <t>锅掌门 · 手工纯铁无涂层铁锅炒锅小铁锅圆肚锅一人食小锅平底锅不挑炉灶</t>
        </is>
      </c>
      <c r="B941" t="inlineStr">
        <is>
          <t>recvcMzZj87rfq.jpg</t>
        </is>
      </c>
      <c r="C941" s="2" t="str">
        <f>=HYPERLINK("https://xhslink.com/m/6JQ2UQ2Gjqe", "https://xhslink.com/m/6JQ2UQ2Gjqe")</f>
        <v>https://xhslink.com/m/6JQ2UQ2Gjqe</v>
      </c>
      <c r="D941"/>
      <c r="E941">
        <v>20000</v>
      </c>
      <c r="F941">
        <v>45</v>
      </c>
      <c r="G941"/>
      <c r="H941">
        <v>300</v>
      </c>
      <c r="I941" t="inlineStr">
        <is>
          <t>一人食</t>
        </is>
      </c>
      <c r="J941" t="inlineStr">
        <is>
          <t>0.01</t>
        </is>
      </c>
      <c r="K941"/>
      <c r="L941" t="inlineStr">
        <is>
          <t>羊阿羊厨具生活馆的店</t>
        </is>
      </c>
      <c r="M941">
        <v>7965</v>
      </c>
      <c r="N941">
        <v>4.75</v>
      </c>
      <c r="O941">
        <v>28000</v>
      </c>
      <c r="P941" t="inlineStr">
        <is>
          <t>674d635e250a740001e17535</t>
        </is>
      </c>
      <c r="Q941" t="inlineStr">
        <is>
          <t>🚫重复</t>
        </is>
      </c>
      <c r="R941" t="inlineStr">
        <is>
          <t>14周</t>
        </is>
      </c>
      <c r="S941" t="inlineStr">
        <is>
          <t>2.51</t>
        </is>
      </c>
      <c r="T941" t="inlineStr">
        <is>
          <t>家居生活</t>
        </is>
      </c>
      <c r="U941" t="inlineStr">
        <is>
          <t>厨房餐饮</t>
        </is>
      </c>
      <c r="V941" s="3">
        <v>46112.78107638889</v>
      </c>
      <c r="W941" t="inlineStr">
        <is>
          <t>2026-Q1</t>
        </is>
      </c>
    </row>
    <row r="942" ht="25.5" customHeight="1">
      <c r="A942" t="inlineStr">
        <is>
          <t>【大号】定制PU软皮软包型 拉链单肩包学生上课早八通勤托特包</t>
        </is>
      </c>
      <c r="B942" t="inlineStr">
        <is>
          <t>recvd6YlGVkMuI.jpg</t>
        </is>
      </c>
      <c r="C942" s="2" t="str">
        <f>=HYPERLINK("https://xhslink.com/m/7ilNRbKynL5", "https://xhslink.com/m/7ilNRbKynL5")</f>
        <v>https://xhslink.com/m/7ilNRbKynL5</v>
      </c>
      <c r="D942"/>
      <c r="E942">
        <v>27000</v>
      </c>
      <c r="F942">
        <v>69</v>
      </c>
      <c r="G942"/>
      <c r="H942">
        <v>300</v>
      </c>
      <c r="I942" t="inlineStr">
        <is>
          <t>托特包</t>
        </is>
      </c>
      <c r="J942" t="inlineStr">
        <is>
          <t>0.01</t>
        </is>
      </c>
      <c r="K942"/>
      <c r="L942" t="inlineStr">
        <is>
          <t>YIIiamc的店</t>
        </is>
      </c>
      <c r="M942">
        <v>45000</v>
      </c>
      <c r="N942">
        <v>4.71</v>
      </c>
      <c r="O942">
        <v>142000</v>
      </c>
      <c r="P942" t="inlineStr">
        <is>
          <t>6475f087f15730000198d39c</t>
        </is>
      </c>
      <c r="Q942"/>
      <c r="R942" t="inlineStr">
        <is>
          <t>14周</t>
        </is>
      </c>
      <c r="S942" t="inlineStr">
        <is>
          <t>0.60</t>
        </is>
      </c>
      <c r="T942" t="inlineStr">
        <is>
          <t>服饰穿搭</t>
        </is>
      </c>
      <c r="U942" t="inlineStr">
        <is>
          <t>鞋靴箱包</t>
        </is>
      </c>
      <c r="V942" s="3">
        <v>46112.78107638889</v>
      </c>
      <c r="W942" t="inlineStr">
        <is>
          <t>2026-Q1</t>
        </is>
      </c>
    </row>
    <row r="943" ht="25.5" customHeight="1">
      <c r="A943" t="inlineStr">
        <is>
          <t>法式白色V领短袖衬衫女2026夏季小众设计气质减龄翻领衬衣</t>
        </is>
      </c>
      <c r="B943" t="inlineStr">
        <is>
          <t>recvd6YlGVT5dJ.jpg</t>
        </is>
      </c>
      <c r="C943" s="2" t="str">
        <f>=HYPERLINK("https://xhslink.com/m/577TAKz2Tkj", "https://xhslink.com/m/577TAKz2Tkj")</f>
        <v>https://xhslink.com/m/577TAKz2Tkj</v>
      </c>
      <c r="D943"/>
      <c r="E943">
        <v>110000</v>
      </c>
      <c r="F943">
        <v>99</v>
      </c>
      <c r="G943"/>
      <c r="H943">
        <v>300</v>
      </c>
      <c r="I943" t="inlineStr">
        <is>
          <t>V领衬衫</t>
        </is>
      </c>
      <c r="J943" t="inlineStr">
        <is>
          <t>0.00</t>
        </is>
      </c>
      <c r="K943"/>
      <c r="L943" t="inlineStr">
        <is>
          <t>KK穿搭分享~的店</t>
        </is>
      </c>
      <c r="M943">
        <v>593000</v>
      </c>
      <c r="N943">
        <v>4.59</v>
      </c>
      <c r="O943">
        <v>3014000</v>
      </c>
      <c r="P943" t="inlineStr">
        <is>
          <t>68885bc486c0df0001f3925d</t>
        </is>
      </c>
      <c r="Q943" t="inlineStr">
        <is>
          <t>🚫重复</t>
        </is>
      </c>
      <c r="R943" t="inlineStr">
        <is>
          <t>14周</t>
        </is>
      </c>
      <c r="S943" t="inlineStr">
        <is>
          <t>0.19</t>
        </is>
      </c>
      <c r="T943" t="inlineStr">
        <is>
          <t>服饰穿搭</t>
        </is>
      </c>
      <c r="U943" t="inlineStr">
        <is>
          <t>女装</t>
        </is>
      </c>
      <c r="V943" s="3">
        <v>46112.78107638889</v>
      </c>
      <c r="W943" t="inlineStr">
        <is>
          <t>2026-Q1</t>
        </is>
      </c>
    </row>
    <row r="944" ht="25.5" customHeight="1">
      <c r="A944" t="inlineStr">
        <is>
          <t>全款预售 大耳狗主题款 原创Lolita花与珍珠匣三丽鸥家族合作系列</t>
        </is>
      </c>
      <c r="B944" t="inlineStr">
        <is>
          <t>recvdhGuOJYeKb.jpg</t>
        </is>
      </c>
      <c r="C944" s="2" t="str">
        <f>=HYPERLINK("https://xhslink.com/m/3RgaYbuEntU", "https://xhslink.com/m/3RgaYbuEntU")</f>
        <v>https://xhslink.com/m/3RgaYbuEntU</v>
      </c>
      <c r="D944"/>
      <c r="E944">
        <v>2129</v>
      </c>
      <c r="F944">
        <v>899</v>
      </c>
      <c r="G944"/>
      <c r="H944">
        <v>300</v>
      </c>
      <c r="I944" t="inlineStr">
        <is>
          <t>配饰</t>
        </is>
      </c>
      <c r="J944" t="inlineStr">
        <is>
          <t>0.14</t>
        </is>
      </c>
      <c r="K944"/>
      <c r="L944" t="inlineStr">
        <is>
          <t>花与珍珠匣的店</t>
        </is>
      </c>
      <c r="M944">
        <v>397000</v>
      </c>
      <c r="N944">
        <v>4.92</v>
      </c>
      <c r="O944">
        <v>394000</v>
      </c>
      <c r="P944" t="inlineStr">
        <is>
          <t>698ad39fc3604d0015d603d4</t>
        </is>
      </c>
      <c r="Q944"/>
      <c r="R944" t="inlineStr">
        <is>
          <t>14周</t>
        </is>
      </c>
      <c r="S944" t="inlineStr">
        <is>
          <t>0.01</t>
        </is>
      </c>
      <c r="T944" t="inlineStr">
        <is>
          <t>服饰穿搭</t>
        </is>
      </c>
      <c r="U944" t="inlineStr">
        <is>
          <t>配饰</t>
        </is>
      </c>
      <c r="V944" s="3">
        <v>46112.78107638889</v>
      </c>
      <c r="W944" t="inlineStr">
        <is>
          <t>2026-Q1</t>
        </is>
      </c>
    </row>
    <row r="945" ht="25.5" customHeight="1">
      <c r="A945" t="inlineStr">
        <is>
          <t>全网独家首创法芙娜奥巧脆珠珠无坚果抹茶双响炮手工雪花酥</t>
        </is>
      </c>
      <c r="B945" t="inlineStr">
        <is>
          <t>recvdhGvoJ3vl3.jpg</t>
        </is>
      </c>
      <c r="C945" s="2" t="str">
        <f>=HYPERLINK("https://xhslink.com/m/4ILkAbVD8Nn", "https://xhslink.com/m/4ILkAbVD8Nn")</f>
        <v>https://xhslink.com/m/4ILkAbVD8Nn</v>
      </c>
      <c r="D945"/>
      <c r="E945">
        <v>50000</v>
      </c>
      <c r="F945">
        <v>288</v>
      </c>
      <c r="G945"/>
      <c r="H945">
        <v>300</v>
      </c>
      <c r="I945" t="inlineStr">
        <is>
          <t>零食小吃</t>
        </is>
      </c>
      <c r="J945" t="inlineStr">
        <is>
          <t>0.01</t>
        </is>
      </c>
      <c r="K945"/>
      <c r="L945" t="inlineStr">
        <is>
          <t>安诺手作的店</t>
        </is>
      </c>
      <c r="M945">
        <v>70000</v>
      </c>
      <c r="N945">
        <v>4.6</v>
      </c>
      <c r="O945">
        <v>170000</v>
      </c>
      <c r="P945" t="inlineStr">
        <is>
          <t>68a99c72a50cd90001c4fca3</t>
        </is>
      </c>
      <c r="Q945" t="inlineStr">
        <is>
          <t>🚫重复</t>
        </is>
      </c>
      <c r="R945" t="inlineStr">
        <is>
          <t>14周</t>
        </is>
      </c>
      <c r="S945" t="inlineStr">
        <is>
          <t>0.71</t>
        </is>
      </c>
      <c r="T945" t="inlineStr">
        <is>
          <t>美食滋补</t>
        </is>
      </c>
      <c r="U945" t="inlineStr">
        <is>
          <t>休闲零食</t>
        </is>
      </c>
      <c r="V945" s="3">
        <v>46112.78107638889</v>
      </c>
      <c r="W945" t="inlineStr">
        <is>
          <t>2026-Q1</t>
        </is>
      </c>
    </row>
    <row r="946" ht="25.5" customHeight="1">
      <c r="A946" t="inlineStr">
        <is>
          <t>噜咚咚桦南大碗 东北老式黏糊麻辣烫 每包净含量480克</t>
        </is>
      </c>
      <c r="B946" t="inlineStr">
        <is>
          <t>recvdhGvoJjqU1.jpg</t>
        </is>
      </c>
      <c r="C946" s="2" t="str">
        <f>=HYPERLINK("https://xhslink.com/m/6SEVMIJgTiz", "https://xhslink.com/m/6SEVMIJgTiz")</f>
        <v>https://xhslink.com/m/6SEVMIJgTiz</v>
      </c>
      <c r="D946"/>
      <c r="E946">
        <v>114000</v>
      </c>
      <c r="F946">
        <v>59.8</v>
      </c>
      <c r="G946"/>
      <c r="H946">
        <v>300</v>
      </c>
      <c r="I946" t="inlineStr">
        <is>
          <t>黏糊麻辣烫</t>
        </is>
      </c>
      <c r="J946" t="inlineStr">
        <is>
          <t>0.00</t>
        </is>
      </c>
      <c r="K946"/>
      <c r="L946" t="inlineStr">
        <is>
          <t>噜咚咚大碗麻辣烫的店</t>
        </is>
      </c>
      <c r="M946">
        <v>54000</v>
      </c>
      <c r="N946">
        <v>4.5</v>
      </c>
      <c r="O946">
        <v>282000</v>
      </c>
      <c r="P946" t="inlineStr">
        <is>
          <t>63847f81171f2c0001ba736c</t>
        </is>
      </c>
      <c r="Q946"/>
      <c r="R946" t="inlineStr">
        <is>
          <t>14周</t>
        </is>
      </c>
      <c r="S946" t="inlineStr">
        <is>
          <t>2.11</t>
        </is>
      </c>
      <c r="T946" t="inlineStr">
        <is>
          <t>家居生活</t>
        </is>
      </c>
      <c r="U946" t="inlineStr">
        <is>
          <t>厨房餐饮</t>
        </is>
      </c>
      <c r="V946" s="3">
        <v>46112.78107638889</v>
      </c>
      <c r="W946" t="inlineStr">
        <is>
          <t>2026-Q1</t>
        </is>
      </c>
    </row>
    <row r="947" ht="25.5" customHeight="1">
      <c r="A947" t="inlineStr">
        <is>
          <t>碳烤八风干纯瘦牛肉干（无添加、非油炸）</t>
        </is>
      </c>
      <c r="B947" t="inlineStr">
        <is>
          <t>recvdhGvoJVjJD.jpg</t>
        </is>
      </c>
      <c r="C947" s="2" t="str">
        <f>=HYPERLINK("https://xhslink.com/m/1LtEZ3inVYh", "https://xhslink.com/m/1LtEZ3inVYh")</f>
        <v>https://xhslink.com/m/1LtEZ3inVYh</v>
      </c>
      <c r="D947"/>
      <c r="E947">
        <v>122000</v>
      </c>
      <c r="F947">
        <v>139.9</v>
      </c>
      <c r="G947"/>
      <c r="H947">
        <v>300</v>
      </c>
      <c r="I947" t="inlineStr">
        <is>
          <t>香辣零食</t>
        </is>
      </c>
      <c r="J947" t="inlineStr">
        <is>
          <t>0.00</t>
        </is>
      </c>
      <c r="K947" t="inlineStr">
        <is>
          <t>🔥低粉爆款</t>
        </is>
      </c>
      <c r="L947" t="inlineStr">
        <is>
          <t>97只做现烤牛肉干的店</t>
        </is>
      </c>
      <c r="M947">
        <v>11000</v>
      </c>
      <c r="N947">
        <v>4.64</v>
      </c>
      <c r="O947">
        <v>161000</v>
      </c>
      <c r="P947" t="inlineStr">
        <is>
          <t>66e41f8d6caced000145af84</t>
        </is>
      </c>
      <c r="Q947" t="inlineStr">
        <is>
          <t>🚫重复</t>
        </is>
      </c>
      <c r="R947" t="inlineStr">
        <is>
          <t>14周</t>
        </is>
      </c>
      <c r="S947" t="inlineStr">
        <is>
          <t>11.09</t>
        </is>
      </c>
      <c r="T947" t="inlineStr">
        <is>
          <t>美食滋补</t>
        </is>
      </c>
      <c r="U947" t="inlineStr">
        <is>
          <t>休闲零食</t>
        </is>
      </c>
      <c r="V947" s="3">
        <v>46112.78107638889</v>
      </c>
      <c r="W947" t="inlineStr">
        <is>
          <t>2026-Q1</t>
        </is>
      </c>
    </row>
    <row r="948" ht="25.5" customHeight="1">
      <c r="A948" t="inlineStr">
        <is>
          <t>Orange mood · 【全色号】显白爆款拍三免一美甲推荐免烤快干可撕拉</t>
        </is>
      </c>
      <c r="B948" t="inlineStr">
        <is>
          <t>recvdhGvoJCiCC.jpg</t>
        </is>
      </c>
      <c r="C948" s="2" t="str">
        <f>=HYPERLINK("https://xhslink.com/m/xhZR7obsvz", "https://xhslink.com/m/xhZR7obsvz")</f>
        <v>https://xhslink.com/m/xhZR7obsvz</v>
      </c>
      <c r="D948"/>
      <c r="E948">
        <v>315000</v>
      </c>
      <c r="F948">
        <v>19.8</v>
      </c>
      <c r="G948"/>
      <c r="H948">
        <v>300</v>
      </c>
      <c r="I948" t="inlineStr">
        <is>
          <t>指甲油</t>
        </is>
      </c>
      <c r="J948" t="inlineStr">
        <is>
          <t>0.00</t>
        </is>
      </c>
      <c r="K948"/>
      <c r="L948" t="inlineStr">
        <is>
          <t>Orange Mood的店</t>
        </is>
      </c>
      <c r="M948">
        <v>142000</v>
      </c>
      <c r="N948">
        <v>4.76</v>
      </c>
      <c r="O948">
        <v>633000</v>
      </c>
      <c r="P948" t="inlineStr">
        <is>
          <t>635902dba046e10001994147</t>
        </is>
      </c>
      <c r="Q948" t="inlineStr">
        <is>
          <t>🚫重复</t>
        </is>
      </c>
      <c r="R948" t="inlineStr">
        <is>
          <t>14周</t>
        </is>
      </c>
      <c r="S948" t="inlineStr">
        <is>
          <t>2.22</t>
        </is>
      </c>
      <c r="T948" t="inlineStr">
        <is>
          <t>美妆个护</t>
        </is>
      </c>
      <c r="U948" t="inlineStr">
        <is>
          <t>护肤彩妆</t>
        </is>
      </c>
      <c r="V948" s="3">
        <v>46112.78107638889</v>
      </c>
      <c r="W948" t="inlineStr">
        <is>
          <t>2026-Q1</t>
        </is>
      </c>
    </row>
    <row r="949" ht="25.5" customHeight="1">
      <c r="A949" t="inlineStr">
        <is>
          <t>JELLYCAT · 害羞蓝色邦尼兔柔软毛绒玩具公仔送女朋友生日礼物送礼</t>
        </is>
      </c>
      <c r="B949" t="inlineStr">
        <is>
          <t>recvdxJgGzyzl0.jpg</t>
        </is>
      </c>
      <c r="C949" s="2" t="str">
        <f>=HYPERLINK("https://xhslink.com/m/iWEv80fkNL", "https://xhslink.com/m/iWEv80fkNL")</f>
        <v>https://xhslink.com/m/iWEv80fkNL</v>
      </c>
      <c r="D949"/>
      <c r="E949">
        <v>1108</v>
      </c>
      <c r="F949">
        <v>249</v>
      </c>
      <c r="G949"/>
      <c r="H949">
        <v>300</v>
      </c>
      <c r="I949" t="inlineStr">
        <is>
          <t>玩具</t>
        </is>
      </c>
      <c r="J949" t="inlineStr">
        <is>
          <t>0.27</t>
        </is>
      </c>
      <c r="K949"/>
      <c r="L949" t="inlineStr">
        <is>
          <t>Jellycat旗舰店</t>
        </is>
      </c>
      <c r="M949">
        <v>888000</v>
      </c>
      <c r="N949">
        <v>4.61</v>
      </c>
      <c r="O949">
        <v>300000</v>
      </c>
      <c r="P949" t="inlineStr">
        <is>
          <t>625e522b736eb800015c3cd4</t>
        </is>
      </c>
      <c r="Q949"/>
      <c r="R949" t="inlineStr">
        <is>
          <t>14周</t>
        </is>
      </c>
      <c r="S949" t="inlineStr">
        <is>
          <t>0.00</t>
        </is>
      </c>
      <c r="T949" t="inlineStr">
        <is>
          <t>母婴亲子</t>
        </is>
      </c>
      <c r="U949" t="inlineStr">
        <is>
          <t>玩具早教</t>
        </is>
      </c>
      <c r="V949" s="3">
        <v>46112.78107638889</v>
      </c>
      <c r="W949" t="inlineStr">
        <is>
          <t>2026-Q1</t>
        </is>
      </c>
    </row>
    <row r="950" ht="25.5" customHeight="1">
      <c r="A950" t="inlineStr">
        <is>
          <t>倾曼雅 · 美式秋冬慵懒风垂感裤 针织休闲裤 宽松直筒显瘦拖地裤</t>
        </is>
      </c>
      <c r="B950" t="inlineStr">
        <is>
          <t>recvdKDRQhy1aS.jpg</t>
        </is>
      </c>
      <c r="C950" s="2" t="str">
        <f>=HYPERLINK("https://xhslink.com/m/dyJyNk9a3y", "https://xhslink.com/m/dyJyNk9a3y")</f>
        <v>https://xhslink.com/m/dyJyNk9a3y</v>
      </c>
      <c r="D950"/>
      <c r="E950">
        <v>370000</v>
      </c>
      <c r="F950">
        <v>69.9</v>
      </c>
      <c r="G950"/>
      <c r="H950">
        <v>300</v>
      </c>
      <c r="I950" t="inlineStr">
        <is>
          <t>休闲裤</t>
        </is>
      </c>
      <c r="J950" t="inlineStr">
        <is>
          <t>0.00</t>
        </is>
      </c>
      <c r="K950"/>
      <c r="L950" t="inlineStr">
        <is>
          <t>小鹅学姐穿搭的店的店</t>
        </is>
      </c>
      <c r="M950">
        <v>229000</v>
      </c>
      <c r="N950">
        <v>4.4</v>
      </c>
      <c r="O950">
        <v>1469000</v>
      </c>
      <c r="P950" t="inlineStr">
        <is>
          <t>66dfe355d0a0ac00016f37ca</t>
        </is>
      </c>
      <c r="Q950" t="inlineStr">
        <is>
          <t>🚫重复</t>
        </is>
      </c>
      <c r="R950" t="inlineStr">
        <is>
          <t>14周</t>
        </is>
      </c>
      <c r="S950" t="inlineStr">
        <is>
          <t>1.62</t>
        </is>
      </c>
      <c r="T950" t="inlineStr">
        <is>
          <t>服饰穿搭</t>
        </is>
      </c>
      <c r="U950" t="inlineStr">
        <is>
          <t>女装</t>
        </is>
      </c>
      <c r="V950" s="3">
        <v>46112.78107638889</v>
      </c>
      <c r="W950" t="inlineStr">
        <is>
          <t>2026-Q1</t>
        </is>
      </c>
    </row>
    <row r="951" ht="25.5" customHeight="1">
      <c r="A951" t="inlineStr">
        <is>
          <t>潮汕甘草梅汁水果青芒果菠萝芭乐李子脆桃拖桃酸甜脆口解馋</t>
        </is>
      </c>
      <c r="B951" t="inlineStr">
        <is>
          <t>recvdOJ3S2sTib.jpg</t>
        </is>
      </c>
      <c r="C951" s="2" t="str">
        <f>=HYPERLINK("https://xhslink.com/m/99Y9SHb4mu3", "https://xhslink.com/m/99Y9SHb4mu3")</f>
        <v>https://xhslink.com/m/99Y9SHb4mu3</v>
      </c>
      <c r="D951"/>
      <c r="E951">
        <v>45000</v>
      </c>
      <c r="F951">
        <v>49.8</v>
      </c>
      <c r="G951"/>
      <c r="H951">
        <v>300</v>
      </c>
      <c r="I951" t="inlineStr">
        <is>
          <t>时令水果</t>
        </is>
      </c>
      <c r="J951" t="inlineStr">
        <is>
          <t>0.01</t>
        </is>
      </c>
      <c r="K951" t="inlineStr">
        <is>
          <t>🔥低粉爆款</t>
        </is>
      </c>
      <c r="L951" t="inlineStr">
        <is>
          <t>小洽同学（梅汁水果）的店</t>
        </is>
      </c>
      <c r="M951">
        <v>5290</v>
      </c>
      <c r="N951">
        <v>4.62</v>
      </c>
      <c r="O951">
        <v>55000</v>
      </c>
      <c r="P951" t="inlineStr">
        <is>
          <t>65f0384f49c39e0001c68ffc</t>
        </is>
      </c>
      <c r="Q951" t="inlineStr">
        <is>
          <t>🚫重复</t>
        </is>
      </c>
      <c r="R951" t="inlineStr">
        <is>
          <t>14周</t>
        </is>
      </c>
      <c r="S951" t="inlineStr">
        <is>
          <t>8.51</t>
        </is>
      </c>
      <c r="T951" t="inlineStr">
        <is>
          <t>美食滋补</t>
        </is>
      </c>
      <c r="U951" t="inlineStr">
        <is>
          <t>生鲜特产</t>
        </is>
      </c>
      <c r="V951" s="3">
        <v>46112.78107638889</v>
      </c>
      <c r="W951" t="inlineStr">
        <is>
          <t>2026-Q1</t>
        </is>
      </c>
    </row>
    <row r="952" ht="25.5" customHeight="1">
      <c r="A952" t="inlineStr">
        <is>
          <t>卫衣外套女2025新款卫衣修身收腰显瘦上衣春秋运动服女装穿搭秋季</t>
        </is>
      </c>
      <c r="B952" t="inlineStr">
        <is>
          <t>recvdOJ3S26yGN.jpg</t>
        </is>
      </c>
      <c r="C952" s="2" t="str">
        <f>=HYPERLINK("https://xhslink.com/m/3o2lO3OqUp3", "https://xhslink.com/m/3o2lO3OqUp3")</f>
        <v>https://xhslink.com/m/3o2lO3OqUp3</v>
      </c>
      <c r="D952"/>
      <c r="E952">
        <v>35000</v>
      </c>
      <c r="F952">
        <v>99.9</v>
      </c>
      <c r="G952"/>
      <c r="H952">
        <v>300</v>
      </c>
      <c r="I952" t="inlineStr">
        <is>
          <t>修身外套</t>
        </is>
      </c>
      <c r="J952" t="inlineStr">
        <is>
          <t>0.01</t>
        </is>
      </c>
      <c r="K952"/>
      <c r="L952" t="inlineStr">
        <is>
          <t>白格BG的店</t>
        </is>
      </c>
      <c r="M952">
        <v>16000</v>
      </c>
      <c r="N952">
        <v>4.57</v>
      </c>
      <c r="O952">
        <v>156000</v>
      </c>
      <c r="P952" t="inlineStr">
        <is>
          <t>695733c0dd18440001826869</t>
        </is>
      </c>
      <c r="Q952" t="inlineStr">
        <is>
          <t>🚫重复</t>
        </is>
      </c>
      <c r="R952" t="inlineStr">
        <is>
          <t>14周</t>
        </is>
      </c>
      <c r="S952" t="inlineStr">
        <is>
          <t>2.19</t>
        </is>
      </c>
      <c r="T952" t="inlineStr">
        <is>
          <t>服饰穿搭</t>
        </is>
      </c>
      <c r="U952" t="inlineStr">
        <is>
          <t>女装</t>
        </is>
      </c>
      <c r="V952" s="3">
        <v>46112.78107638889</v>
      </c>
      <c r="W952" t="inlineStr">
        <is>
          <t>2026-Q1</t>
        </is>
      </c>
    </row>
    <row r="953" ht="25.5" customHeight="1">
      <c r="A953" t="inlineStr">
        <is>
          <t>PP蛋卷跟高7cm五金帆布高帮鞋</t>
        </is>
      </c>
      <c r="B953" t="inlineStr">
        <is>
          <t>recvdOJ3S2RrpT.jpg</t>
        </is>
      </c>
      <c r="C953" s="2" t="str">
        <f>=HYPERLINK("https://xhslink.com/m/56l0PgoypN4", "https://xhslink.com/m/56l0PgoypN4")</f>
        <v>https://xhslink.com/m/56l0PgoypN4</v>
      </c>
      <c r="D953"/>
      <c r="E953">
        <v>9028</v>
      </c>
      <c r="F953">
        <v>89</v>
      </c>
      <c r="G953"/>
      <c r="H953">
        <v>300</v>
      </c>
      <c r="I953" t="inlineStr">
        <is>
          <t>帆布鞋</t>
        </is>
      </c>
      <c r="J953" t="inlineStr">
        <is>
          <t>0.03</t>
        </is>
      </c>
      <c r="K953"/>
      <c r="L953" t="inlineStr">
        <is>
          <t>PP蛋卷的店</t>
        </is>
      </c>
      <c r="M953">
        <v>13000</v>
      </c>
      <c r="N953">
        <v>4.71</v>
      </c>
      <c r="O953">
        <v>21000</v>
      </c>
      <c r="P953" t="inlineStr">
        <is>
          <t>68555d14a066020001d6f916</t>
        </is>
      </c>
      <c r="Q953" t="inlineStr">
        <is>
          <t>🚫重复</t>
        </is>
      </c>
      <c r="R953" t="inlineStr">
        <is>
          <t>14周</t>
        </is>
      </c>
      <c r="S953" t="inlineStr">
        <is>
          <t>0.69</t>
        </is>
      </c>
      <c r="T953" t="inlineStr">
        <is>
          <t>服饰穿搭</t>
        </is>
      </c>
      <c r="U953" t="inlineStr">
        <is>
          <t>鞋靴箱包</t>
        </is>
      </c>
      <c r="V953" s="3">
        <v>46112.78107638889</v>
      </c>
      <c r="W953" t="inlineStr">
        <is>
          <t>2026-Q1</t>
        </is>
      </c>
    </row>
    <row r="954" ht="25.5" customHeight="1">
      <c r="A954" t="inlineStr">
        <is>
          <t>【满69顺丰包邮】30种口味选择 任拼切件 软心巴斯克 芝士蛋糕</t>
        </is>
      </c>
      <c r="B954" t="inlineStr">
        <is>
          <t>recvdOJ3S2rtL8.jpg</t>
        </is>
      </c>
      <c r="C954" s="2" t="str">
        <f>=HYPERLINK("https://xhslink.com/m/1rOOYMV9g44", "https://xhslink.com/m/1rOOYMV9g44")</f>
        <v>https://xhslink.com/m/1rOOYMV9g44</v>
      </c>
      <c r="D954"/>
      <c r="E954">
        <v>137000</v>
      </c>
      <c r="F954">
        <v>10.9</v>
      </c>
      <c r="G954"/>
      <c r="H954">
        <v>300</v>
      </c>
      <c r="I954" t="inlineStr">
        <is>
          <t>便宜零食</t>
        </is>
      </c>
      <c r="J954" t="inlineStr">
        <is>
          <t>0.00</t>
        </is>
      </c>
      <c r="K954" t="inlineStr">
        <is>
          <t>🔥低粉爆款</t>
        </is>
      </c>
      <c r="L954" t="inlineStr">
        <is>
          <t>栗是烘焙食品的店</t>
        </is>
      </c>
      <c r="M954">
        <v>2969</v>
      </c>
      <c r="N954">
        <v>4.72</v>
      </c>
      <c r="O954">
        <v>138000</v>
      </c>
      <c r="P954" t="inlineStr">
        <is>
          <t>6837dd8ee60e770001825ffc</t>
        </is>
      </c>
      <c r="Q954" t="inlineStr">
        <is>
          <t>🚫重复</t>
        </is>
      </c>
      <c r="R954" t="inlineStr">
        <is>
          <t>14周</t>
        </is>
      </c>
      <c r="S954" t="inlineStr">
        <is>
          <t>46.14</t>
        </is>
      </c>
      <c r="T954" t="inlineStr">
        <is>
          <t>美食滋补</t>
        </is>
      </c>
      <c r="U954" t="inlineStr">
        <is>
          <t>休闲零食</t>
        </is>
      </c>
      <c r="V954" s="3">
        <v>46112.78107638889</v>
      </c>
      <c r="W954" t="inlineStr">
        <is>
          <t>2026-Q1</t>
        </is>
      </c>
    </row>
    <row r="955" ht="25.5" customHeight="1">
      <c r="A955" t="inlineStr">
        <is>
          <t>碳烤八风干纯瘦牛肉干（无添加、非油炸）</t>
        </is>
      </c>
      <c r="B955" t="inlineStr">
        <is>
          <t>recvdRkif4CezI.jpg</t>
        </is>
      </c>
      <c r="C955" s="2" t="str">
        <f>=HYPERLINK("https://xhslink.com/m/AqrZLA2scR2", "https://xhslink.com/m/AqrZLA2scR2")</f>
        <v>https://xhslink.com/m/AqrZLA2scR2</v>
      </c>
      <c r="D955"/>
      <c r="E955">
        <v>124000</v>
      </c>
      <c r="F955">
        <v>9.9</v>
      </c>
      <c r="G955"/>
      <c r="H955">
        <v>300</v>
      </c>
      <c r="I955" t="inlineStr">
        <is>
          <t>零食</t>
        </is>
      </c>
      <c r="J955" t="inlineStr">
        <is>
          <t>0.00</t>
        </is>
      </c>
      <c r="K955" t="inlineStr">
        <is>
          <t>🔥低粉爆款</t>
        </is>
      </c>
      <c r="L955" t="inlineStr">
        <is>
          <t>97只做现烤牛肉干的店</t>
        </is>
      </c>
      <c r="M955">
        <v>11000</v>
      </c>
      <c r="N955">
        <v>4.64</v>
      </c>
      <c r="O955">
        <v>164000</v>
      </c>
      <c r="P955" t="inlineStr">
        <is>
          <t>664980bf533bfa0001858fd9</t>
        </is>
      </c>
      <c r="Q955" t="inlineStr">
        <is>
          <t>🚫重复</t>
        </is>
      </c>
      <c r="R955" t="inlineStr">
        <is>
          <t>14周</t>
        </is>
      </c>
      <c r="S955" t="inlineStr">
        <is>
          <t>11.27</t>
        </is>
      </c>
      <c r="T955" t="inlineStr">
        <is>
          <t>美食滋补</t>
        </is>
      </c>
      <c r="U955" t="inlineStr">
        <is>
          <t>休闲零食</t>
        </is>
      </c>
      <c r="V955" s="3">
        <v>46112.78107638889</v>
      </c>
      <c r="W955" t="inlineStr">
        <is>
          <t>2026-Q1</t>
        </is>
      </c>
    </row>
    <row r="956" ht="25.5" customHeight="1">
      <c r="A956" t="inlineStr">
        <is>
          <t>【600g】量贩装品质恰巴塔600克 9-10枚面包无蔗糖健康健身代餐</t>
        </is>
      </c>
      <c r="B956" t="inlineStr">
        <is>
          <t>recvdRkif4QL36.jpg</t>
        </is>
      </c>
      <c r="C956" s="2" t="str">
        <f>=HYPERLINK("https://xhslink.com/m/9XcGYI23dzi", "https://xhslink.com/m/9XcGYI23dzi")</f>
        <v>https://xhslink.com/m/9XcGYI23dzi</v>
      </c>
      <c r="D956"/>
      <c r="E956">
        <v>37000</v>
      </c>
      <c r="F956">
        <v>29.9</v>
      </c>
      <c r="G956"/>
      <c r="H956">
        <v>300</v>
      </c>
      <c r="I956" t="inlineStr">
        <is>
          <t>零食</t>
        </is>
      </c>
      <c r="J956" t="inlineStr">
        <is>
          <t>0.01</t>
        </is>
      </c>
      <c r="K956" t="inlineStr">
        <is>
          <t>🔥低粉爆款</t>
        </is>
      </c>
      <c r="L956" t="inlineStr">
        <is>
          <t>美糖手工烘焙工坊的店</t>
        </is>
      </c>
      <c r="M956">
        <v>8682</v>
      </c>
      <c r="N956">
        <v>4.7</v>
      </c>
      <c r="O956">
        <v>57000</v>
      </c>
      <c r="P956" t="inlineStr">
        <is>
          <t>6878bfab9e837400014f3653</t>
        </is>
      </c>
      <c r="Q956" t="inlineStr">
        <is>
          <t>🚫重复</t>
        </is>
      </c>
      <c r="R956" t="inlineStr">
        <is>
          <t>14周</t>
        </is>
      </c>
      <c r="S956" t="inlineStr">
        <is>
          <t>4.26</t>
        </is>
      </c>
      <c r="T956" t="inlineStr">
        <is>
          <t>美食滋补</t>
        </is>
      </c>
      <c r="U956" t="inlineStr">
        <is>
          <t>休闲零食</t>
        </is>
      </c>
      <c r="V956" s="3">
        <v>46112.78107638889</v>
      </c>
      <c r="W956" t="inlineStr">
        <is>
          <t>2026-Q1</t>
        </is>
      </c>
    </row>
    <row r="957" ht="25.5" customHeight="1">
      <c r="A957" t="inlineStr">
        <is>
          <t>usvthy · 优蔚丝护发喷雾角蛋白水润女改善毛躁修护受损柔顺烫染发质营养水</t>
        </is>
      </c>
      <c r="B957" t="inlineStr">
        <is>
          <t>recvdRkif4ZMMB.jpg</t>
        </is>
      </c>
      <c r="C957" s="2" t="str">
        <f>=HYPERLINK("https://xhslink.com/m/4sB4Yibgeyx", "https://xhslink.com/m/4sB4Yibgeyx")</f>
        <v>https://xhslink.com/m/4sB4Yibgeyx</v>
      </c>
      <c r="D957"/>
      <c r="E957">
        <v>61000</v>
      </c>
      <c r="F957">
        <v>39.9</v>
      </c>
      <c r="G957"/>
      <c r="H957">
        <v>300</v>
      </c>
      <c r="I957" t="inlineStr">
        <is>
          <t>美发养发</t>
        </is>
      </c>
      <c r="J957" t="inlineStr">
        <is>
          <t>0.00</t>
        </is>
      </c>
      <c r="K957" t="inlineStr">
        <is>
          <t>🔥低粉爆款</t>
        </is>
      </c>
      <c r="L957" t="inlineStr">
        <is>
          <t>usvthy旗舰店</t>
        </is>
      </c>
      <c r="M957">
        <v>12000</v>
      </c>
      <c r="N957">
        <v>4.56</v>
      </c>
      <c r="O957">
        <v>165000</v>
      </c>
      <c r="P957" t="inlineStr">
        <is>
          <t>6753c32d6e529e0001d54b66</t>
        </is>
      </c>
      <c r="Q957"/>
      <c r="R957" t="inlineStr">
        <is>
          <t>14周</t>
        </is>
      </c>
      <c r="S957" t="inlineStr">
        <is>
          <t>5.08</t>
        </is>
      </c>
      <c r="T957" t="inlineStr">
        <is>
          <t>美妆个护</t>
        </is>
      </c>
      <c r="U957" t="inlineStr">
        <is>
          <t>个人护理</t>
        </is>
      </c>
      <c r="V957" s="3">
        <v>46112.78107638889</v>
      </c>
      <c r="W957" t="inlineStr">
        <is>
          <t>2026-Q1</t>
        </is>
      </c>
    </row>
    <row r="958" ht="25.5" customHeight="1">
      <c r="A958" t="inlineStr">
        <is>
          <t>柠言集 · 侧柏浸泡液草本植物养发液</t>
        </is>
      </c>
      <c r="B958" t="inlineStr">
        <is>
          <t>recvdRkif4kPvE.jpg</t>
        </is>
      </c>
      <c r="C958" s="2" t="str">
        <f>=HYPERLINK("https://xhslink.com/m/4mgFI5L06vM", "https://xhslink.com/m/4mgFI5L06vM")</f>
        <v>https://xhslink.com/m/4mgFI5L06vM</v>
      </c>
      <c r="D958"/>
      <c r="E958">
        <v>69000</v>
      </c>
      <c r="F958">
        <v>32.8</v>
      </c>
      <c r="G958"/>
      <c r="H958">
        <v>300</v>
      </c>
      <c r="I958" t="inlineStr">
        <is>
          <t>美发养发</t>
        </is>
      </c>
      <c r="J958" t="inlineStr">
        <is>
          <t>0.00</t>
        </is>
      </c>
      <c r="K958" t="inlineStr">
        <is>
          <t>🔥低粉爆款</t>
        </is>
      </c>
      <c r="L958" t="inlineStr">
        <is>
          <t>柠檬家lucky的店</t>
        </is>
      </c>
      <c r="M958">
        <v>18000</v>
      </c>
      <c r="N958">
        <v>4.66</v>
      </c>
      <c r="O958">
        <v>135000</v>
      </c>
      <c r="P958" t="inlineStr">
        <is>
          <t>676a76706a9b620001541f8c</t>
        </is>
      </c>
      <c r="Q958" t="inlineStr">
        <is>
          <t>🚫重复</t>
        </is>
      </c>
      <c r="R958" t="inlineStr">
        <is>
          <t>14周</t>
        </is>
      </c>
      <c r="S958" t="inlineStr">
        <is>
          <t>3.83</t>
        </is>
      </c>
      <c r="T958" t="inlineStr">
        <is>
          <t>美妆个护</t>
        </is>
      </c>
      <c r="U958" t="inlineStr">
        <is>
          <t>个人护理</t>
        </is>
      </c>
      <c r="V958" s="3">
        <v>46112.78107638889</v>
      </c>
      <c r="W958" t="inlineStr">
        <is>
          <t>2026-Q1</t>
        </is>
      </c>
    </row>
    <row r="959" ht="25.5" customHeight="1">
      <c r="A959" t="inlineStr">
        <is>
          <t>格蒙GECOMO · 轻纱焕颜柔焦大粉饼定妆补妆自然提亮轻薄磨皮控油防水耐汗平价</t>
        </is>
      </c>
      <c r="B959" t="inlineStr">
        <is>
          <t>recvdRkif4kT44.jpg</t>
        </is>
      </c>
      <c r="C959" s="2" t="str">
        <f>=HYPERLINK("https://xhslink.com/m/yfUUnIeZPL", "https://xhslink.com/m/yfUUnIeZPL")</f>
        <v>https://xhslink.com/m/yfUUnIeZPL</v>
      </c>
      <c r="D959"/>
      <c r="E959">
        <v>47000</v>
      </c>
      <c r="F959">
        <v>39.9</v>
      </c>
      <c r="G959">
        <v>8.8</v>
      </c>
      <c r="H959">
        <v>300</v>
      </c>
      <c r="I959" t="inlineStr">
        <is>
          <t>轮廓底妆</t>
        </is>
      </c>
      <c r="J959" t="inlineStr">
        <is>
          <t>0.01</t>
        </is>
      </c>
      <c r="K959" t="inlineStr">
        <is>
          <t>🔥低粉爆款</t>
        </is>
      </c>
      <c r="L959" t="inlineStr">
        <is>
          <t>学姐美妆的店</t>
        </is>
      </c>
      <c r="M959">
        <v>3653</v>
      </c>
      <c r="N959">
        <v>4.53</v>
      </c>
      <c r="O959">
        <v>90000</v>
      </c>
      <c r="P959" t="inlineStr">
        <is>
          <t>6782a636d684d70015a70d75</t>
        </is>
      </c>
      <c r="Q959" t="inlineStr">
        <is>
          <t>🚫重复</t>
        </is>
      </c>
      <c r="R959" t="inlineStr">
        <is>
          <t>14周</t>
        </is>
      </c>
      <c r="S959" t="inlineStr">
        <is>
          <t>12.87</t>
        </is>
      </c>
      <c r="T959" t="inlineStr">
        <is>
          <t>美妆个护</t>
        </is>
      </c>
      <c r="U959" t="inlineStr">
        <is>
          <t>护肤彩妆</t>
        </is>
      </c>
      <c r="V959" s="3">
        <v>46112.78107638889</v>
      </c>
      <c r="W959" t="inlineStr">
        <is>
          <t>2026-Q1</t>
        </is>
      </c>
    </row>
    <row r="960" ht="25.5" customHeight="1">
      <c r="A960" t="inlineStr">
        <is>
          <t>Nicor · 温和脱毛膏两件套 男女学生党脱唇毛小胡子汗毛舒柔凝萃净澈脱毛</t>
        </is>
      </c>
      <c r="B960" t="inlineStr">
        <is>
          <t>recvdRkif4EMVx.jpg</t>
        </is>
      </c>
      <c r="C960" s="2" t="str">
        <f>=HYPERLINK("https://xhslink.com/m/2hwX8uMNGip", "https://xhslink.com/m/2hwX8uMNGip")</f>
        <v>https://xhslink.com/m/2hwX8uMNGip</v>
      </c>
      <c r="D960"/>
      <c r="E960">
        <v>12000</v>
      </c>
      <c r="F960">
        <v>26.8</v>
      </c>
      <c r="G960"/>
      <c r="H960">
        <v>300</v>
      </c>
      <c r="I960" t="inlineStr">
        <is>
          <t>身体护理</t>
        </is>
      </c>
      <c r="J960" t="inlineStr">
        <is>
          <t>0.03</t>
        </is>
      </c>
      <c r="K960" t="inlineStr">
        <is>
          <t>🔥低粉爆款</t>
        </is>
      </c>
      <c r="L960" t="inlineStr">
        <is>
          <t>小小鱼护肤shop的店</t>
        </is>
      </c>
      <c r="M960">
        <v>315</v>
      </c>
      <c r="N960">
        <v>4.51</v>
      </c>
      <c r="O960">
        <v>19000</v>
      </c>
      <c r="P960" t="inlineStr">
        <is>
          <t>65e9e0cf0af17e00012bb561</t>
        </is>
      </c>
      <c r="Q960"/>
      <c r="R960" t="inlineStr">
        <is>
          <t>14周</t>
        </is>
      </c>
      <c r="S960" t="inlineStr">
        <is>
          <t>38.10</t>
        </is>
      </c>
      <c r="T960" t="inlineStr">
        <is>
          <t>美妆个护</t>
        </is>
      </c>
      <c r="U960" t="inlineStr">
        <is>
          <t>个人护理</t>
        </is>
      </c>
      <c r="V960" s="3">
        <v>46112.78107638889</v>
      </c>
      <c r="W960" t="inlineStr">
        <is>
          <t>2026-Q1</t>
        </is>
      </c>
    </row>
    <row r="961" ht="25.5" customHeight="1">
      <c r="A961" t="inlineStr">
        <is>
          <t>现摘玉菇甜瓜头茬冰淇淋甜瓜9斤正宗玉菇蜜瓜新鲜当季水果小香瓜</t>
        </is>
      </c>
      <c r="B961" t="inlineStr">
        <is>
          <t>recvdUhbw7xe1I.jpg</t>
        </is>
      </c>
      <c r="C961" s="2" t="str">
        <f>=HYPERLINK("https://xhslink.com/m/ADJp3OcImOe", "https://xhslink.com/m/ADJp3OcImOe")</f>
        <v>https://xhslink.com/m/ADJp3OcImOe</v>
      </c>
      <c r="D961"/>
      <c r="E961">
        <v>10000</v>
      </c>
      <c r="F961">
        <v>17.8</v>
      </c>
      <c r="G961">
        <v>11.8</v>
      </c>
      <c r="H961">
        <v>300</v>
      </c>
      <c r="I961" t="inlineStr">
        <is>
          <t>夏季水果</t>
        </is>
      </c>
      <c r="J961" t="inlineStr">
        <is>
          <t>0.03</t>
        </is>
      </c>
      <c r="K961" t="inlineStr">
        <is>
          <t>🔥低粉爆款</t>
        </is>
      </c>
      <c r="L961" t="inlineStr">
        <is>
          <t>青果青晨的店</t>
        </is>
      </c>
      <c r="M961">
        <v>53</v>
      </c>
      <c r="N961">
        <v>4.52</v>
      </c>
      <c r="O961">
        <v>42000</v>
      </c>
      <c r="P961" t="inlineStr">
        <is>
          <t>697a1ab6d0b05c0001f345e5</t>
        </is>
      </c>
      <c r="Q961" t="inlineStr">
        <is>
          <t>🚫重复</t>
        </is>
      </c>
      <c r="R961" t="inlineStr">
        <is>
          <t>14周</t>
        </is>
      </c>
      <c r="S961" t="inlineStr">
        <is>
          <t>188.68</t>
        </is>
      </c>
      <c r="T961" t="inlineStr">
        <is>
          <t>美食滋补</t>
        </is>
      </c>
      <c r="U961" t="inlineStr">
        <is>
          <t>生鲜特产</t>
        </is>
      </c>
      <c r="V961" s="3">
        <v>46112.78107638889</v>
      </c>
      <c r="W961" t="inlineStr">
        <is>
          <t>2026-Q1</t>
        </is>
      </c>
    </row>
    <row r="962" ht="25.5" customHeight="1">
      <c r="A962" t="inlineStr">
        <is>
          <t>【纯甜】正宗山东雀斑维纳斯黄金苹果酥脆甘甜纯甜无酸</t>
        </is>
      </c>
      <c r="B962" t="inlineStr">
        <is>
          <t>recvdUhmdaNzze.jpg</t>
        </is>
      </c>
      <c r="C962" s="2" t="str">
        <f>=HYPERLINK("https://xhslink.com/m/1VNePj74uxc", "https://xhslink.com/m/1VNePj74uxc")</f>
        <v>https://xhslink.com/m/1VNePj74uxc</v>
      </c>
      <c r="D962"/>
      <c r="E962">
        <v>50000</v>
      </c>
      <c r="F962">
        <v>34.9</v>
      </c>
      <c r="G962">
        <v>19.9</v>
      </c>
      <c r="H962">
        <v>300</v>
      </c>
      <c r="I962" t="inlineStr">
        <is>
          <t>夏季水果</t>
        </is>
      </c>
      <c r="J962" t="inlineStr">
        <is>
          <t>0.01</t>
        </is>
      </c>
      <c r="K962" t="inlineStr">
        <is>
          <t>🔥低粉爆款</t>
        </is>
      </c>
      <c r="L962" t="inlineStr">
        <is>
          <t>桃子哥高端水果生鲜馆的店</t>
        </is>
      </c>
      <c r="M962">
        <v>5016</v>
      </c>
      <c r="N962">
        <v>4.57</v>
      </c>
      <c r="O962">
        <v>179000</v>
      </c>
      <c r="P962" t="inlineStr">
        <is>
          <t>694ea48308cd900001d536e4</t>
        </is>
      </c>
      <c r="Q962"/>
      <c r="R962" t="inlineStr">
        <is>
          <t>14周</t>
        </is>
      </c>
      <c r="S962" t="inlineStr">
        <is>
          <t>9.97</t>
        </is>
      </c>
      <c r="T962" t="inlineStr">
        <is>
          <t>美食滋补</t>
        </is>
      </c>
      <c r="U962" t="inlineStr">
        <is>
          <t>生鲜特产</t>
        </is>
      </c>
      <c r="V962" s="3">
        <v>46112.78107638889</v>
      </c>
      <c r="W962" t="inlineStr">
        <is>
          <t>2026-Q1</t>
        </is>
      </c>
    </row>
    <row r="963" ht="25.5" customHeight="1">
      <c r="A963" t="inlineStr">
        <is>
          <t>意和旺 · 手工米粿即食传统特产点心早餐甜品小零食糯叽叽喜团江南健康米糕</t>
        </is>
      </c>
      <c r="B963" t="inlineStr">
        <is>
          <t>recvdUhmda0Ccn.jpg</t>
        </is>
      </c>
      <c r="C963" s="2" t="str">
        <f>=HYPERLINK("https://xhslink.com/m/9hJJvSb8GrO", "https://xhslink.com/m/9hJJvSb8GrO")</f>
        <v>https://xhslink.com/m/9hJJvSb8GrO</v>
      </c>
      <c r="D963"/>
      <c r="E963">
        <v>809</v>
      </c>
      <c r="F963">
        <v>59.81</v>
      </c>
      <c r="G963">
        <v>47.84</v>
      </c>
      <c r="H963">
        <v>300</v>
      </c>
      <c r="I963" t="inlineStr">
        <is>
          <t>零食</t>
        </is>
      </c>
      <c r="J963" t="inlineStr">
        <is>
          <t>0.37</t>
        </is>
      </c>
      <c r="K963"/>
      <c r="L963" t="inlineStr">
        <is>
          <t>佰年食品手工的店</t>
        </is>
      </c>
      <c r="M963">
        <v>496</v>
      </c>
      <c r="N963">
        <v>4.63</v>
      </c>
      <c r="O963">
        <v>2285</v>
      </c>
      <c r="P963" t="inlineStr">
        <is>
          <t>67b408310a6fff0015c7c840</t>
        </is>
      </c>
      <c r="Q963"/>
      <c r="R963" t="inlineStr">
        <is>
          <t>14周</t>
        </is>
      </c>
      <c r="S963" t="inlineStr">
        <is>
          <t>1.63</t>
        </is>
      </c>
      <c r="T963" t="inlineStr">
        <is>
          <t>美食滋补</t>
        </is>
      </c>
      <c r="U963" t="inlineStr">
        <is>
          <t>休闲零食</t>
        </is>
      </c>
      <c r="V963" s="3">
        <v>46112.78107638889</v>
      </c>
      <c r="W963" t="inlineStr">
        <is>
          <t>2026-Q1</t>
        </is>
      </c>
    </row>
    <row r="964" ht="25.5" customHeight="1">
      <c r="A964" t="inlineStr">
        <is>
          <t>【樱桃小苹果】云南新鲜现摘脆甜野生小苹果糖心苹果当季孕妇水果</t>
        </is>
      </c>
      <c r="B964" t="inlineStr">
        <is>
          <t>recvdUhmdaaGfL.jpg</t>
        </is>
      </c>
      <c r="C964" s="2" t="str">
        <f>=HYPERLINK("https://xhslink.com/m/3NZWrLE1aBB", "https://xhslink.com/m/3NZWrLE1aBB")</f>
        <v>https://xhslink.com/m/3NZWrLE1aBB</v>
      </c>
      <c r="D964"/>
      <c r="E964">
        <v>37000</v>
      </c>
      <c r="F964">
        <v>84.9</v>
      </c>
      <c r="G964">
        <v>64.9</v>
      </c>
      <c r="H964">
        <v>300</v>
      </c>
      <c r="I964" t="inlineStr">
        <is>
          <t>夏季水果</t>
        </is>
      </c>
      <c r="J964" t="inlineStr">
        <is>
          <t>0.01</t>
        </is>
      </c>
      <c r="K964" t="inlineStr">
        <is>
          <t>🔥低粉爆款</t>
        </is>
      </c>
      <c r="L964" t="inlineStr">
        <is>
          <t>果壹生鲜的店</t>
        </is>
      </c>
      <c r="M964">
        <v>800</v>
      </c>
      <c r="N964">
        <v>4.48</v>
      </c>
      <c r="O964">
        <v>342000</v>
      </c>
      <c r="P964" t="inlineStr">
        <is>
          <t>68f840cee0f3b20001c0dc03</t>
        </is>
      </c>
      <c r="Q964" t="inlineStr">
        <is>
          <t>🚫重复</t>
        </is>
      </c>
      <c r="R964" t="inlineStr">
        <is>
          <t>14周</t>
        </is>
      </c>
      <c r="S964" t="inlineStr">
        <is>
          <t>46.25</t>
        </is>
      </c>
      <c r="T964" t="inlineStr">
        <is>
          <t>美食滋补</t>
        </is>
      </c>
      <c r="U964" t="inlineStr">
        <is>
          <t>生鲜特产</t>
        </is>
      </c>
      <c r="V964" s="3">
        <v>46112.78107638889</v>
      </c>
      <c r="W964" t="inlineStr">
        <is>
          <t>2026-Q1</t>
        </is>
      </c>
    </row>
    <row r="965" ht="25.5" customHeight="1">
      <c r="A965" t="inlineStr">
        <is>
          <t>kakashow · 雾感嘟嘟双头唇线笔刷勾勒唇形持久显色春日妆容新手便携修饰神器</t>
        </is>
      </c>
      <c r="B965" t="inlineStr">
        <is>
          <t>recvdUN7QQaGeq.jpg</t>
        </is>
      </c>
      <c r="C965" s="2" t="str">
        <f>=HYPERLINK("https://xhslink.com/m/AoEiwWozSbe", "https://xhslink.com/m/AoEiwWozSbe")</f>
        <v>https://xhslink.com/m/AoEiwWozSbe</v>
      </c>
      <c r="D965"/>
      <c r="E965">
        <v>58000</v>
      </c>
      <c r="F965">
        <v>29.9</v>
      </c>
      <c r="G965">
        <v>16.9</v>
      </c>
      <c r="H965">
        <v>300</v>
      </c>
      <c r="I965" t="inlineStr">
        <is>
          <t>面部色彩</t>
        </is>
      </c>
      <c r="J965" t="inlineStr">
        <is>
          <t>0.01</t>
        </is>
      </c>
      <c r="K965" t="inlineStr">
        <is>
          <t>🔥低粉爆款</t>
        </is>
      </c>
      <c r="L965" t="inlineStr">
        <is>
          <t>Nina 妮娜的店</t>
        </is>
      </c>
      <c r="M965">
        <v>2250</v>
      </c>
      <c r="N965">
        <v>4.58</v>
      </c>
      <c r="O965">
        <v>60000</v>
      </c>
      <c r="P965" t="inlineStr">
        <is>
          <t>677180cc2b55540015e1300e</t>
        </is>
      </c>
      <c r="Q965"/>
      <c r="R965" t="inlineStr">
        <is>
          <t>14周</t>
        </is>
      </c>
      <c r="S965" t="inlineStr">
        <is>
          <t>25.78</t>
        </is>
      </c>
      <c r="T965" t="inlineStr">
        <is>
          <t>美妆个护</t>
        </is>
      </c>
      <c r="U965" t="inlineStr">
        <is>
          <t>护肤彩妆</t>
        </is>
      </c>
      <c r="V965" s="3">
        <v>46112.78107638889</v>
      </c>
      <c r="W965" t="inlineStr">
        <is>
          <t>2026-Q1</t>
        </is>
      </c>
    </row>
    <row r="966" ht="25.5" customHeight="1">
      <c r="A966" t="inlineStr">
        <is>
          <t>INTOYOU · 【SOOBIN定制色】软管唇蜜补水保湿淡唇纹素颜薄涂水光感百搭必备</t>
        </is>
      </c>
      <c r="B966" t="inlineStr">
        <is>
          <t>recvdUN7QQJ1xZ.jpg</t>
        </is>
      </c>
      <c r="C966" s="2" t="str">
        <f>=HYPERLINK("https://xhslink.com/m/53d4bJfAoyI", "https://xhslink.com/m/53d4bJfAoyI")</f>
        <v>https://xhslink.com/m/53d4bJfAoyI</v>
      </c>
      <c r="D966"/>
      <c r="E966">
        <v>13000</v>
      </c>
      <c r="F966">
        <v>60</v>
      </c>
      <c r="G966">
        <v>39</v>
      </c>
      <c r="H966">
        <v>300</v>
      </c>
      <c r="I966" t="inlineStr">
        <is>
          <t>面部色彩</t>
        </is>
      </c>
      <c r="J966" t="inlineStr">
        <is>
          <t>0.02</t>
        </is>
      </c>
      <c r="K966"/>
      <c r="L966" t="inlineStr">
        <is>
          <t>INTO YOU心慕与你旗舰店</t>
        </is>
      </c>
      <c r="M966">
        <v>275000</v>
      </c>
      <c r="N966">
        <v>4.76</v>
      </c>
      <c r="O966">
        <v>1409000</v>
      </c>
      <c r="P966" t="inlineStr">
        <is>
          <t>682a961e27139f0001c8f367</t>
        </is>
      </c>
      <c r="Q966" t="inlineStr">
        <is>
          <t>🚫重复</t>
        </is>
      </c>
      <c r="R966" t="inlineStr">
        <is>
          <t>14周</t>
        </is>
      </c>
      <c r="S966" t="inlineStr">
        <is>
          <t>0.05</t>
        </is>
      </c>
      <c r="T966" t="inlineStr">
        <is>
          <t>美妆个护</t>
        </is>
      </c>
      <c r="U966" t="inlineStr">
        <is>
          <t>护肤彩妆</t>
        </is>
      </c>
      <c r="V966" s="3">
        <v>46112.78107638889</v>
      </c>
      <c r="W966" t="inlineStr">
        <is>
          <t>2026-Q1</t>
        </is>
      </c>
    </row>
    <row r="967" ht="25.5" customHeight="1">
      <c r="A967" t="inlineStr">
        <is>
          <t>黑兔 · 【重磅上新】底妆腮红膏提亮遮瑕膏阴湿感裸色收缩</t>
        </is>
      </c>
      <c r="B967" t="inlineStr">
        <is>
          <t>recvdUN7QQrlpe.jpg</t>
        </is>
      </c>
      <c r="C967" s="2" t="str">
        <f>=HYPERLINK("https://xhslink.com/m/52xhiilPDqY", "https://xhslink.com/m/52xhiilPDqY")</f>
        <v>https://xhslink.com/m/52xhiilPDqY</v>
      </c>
      <c r="D967"/>
      <c r="E967">
        <v>16000</v>
      </c>
      <c r="F967">
        <v>49</v>
      </c>
      <c r="G967">
        <v>39</v>
      </c>
      <c r="H967">
        <v>300</v>
      </c>
      <c r="I967" t="inlineStr">
        <is>
          <t>面部色彩</t>
        </is>
      </c>
      <c r="J967" t="inlineStr">
        <is>
          <t>0.02</t>
        </is>
      </c>
      <c r="K967"/>
      <c r="L967" t="inlineStr">
        <is>
          <t>HYNTOOR黑兔旗舰店</t>
        </is>
      </c>
      <c r="M967">
        <v>41000</v>
      </c>
      <c r="N967">
        <v>4.68</v>
      </c>
      <c r="O967">
        <v>101000</v>
      </c>
      <c r="P967" t="inlineStr">
        <is>
          <t>6953aa6f6fadb70001b9fc80</t>
        </is>
      </c>
      <c r="Q967" t="inlineStr">
        <is>
          <t>🚫重复</t>
        </is>
      </c>
      <c r="R967" t="inlineStr">
        <is>
          <t>14周</t>
        </is>
      </c>
      <c r="S967" t="inlineStr">
        <is>
          <t>0.39</t>
        </is>
      </c>
      <c r="T967" t="inlineStr">
        <is>
          <t>美妆个护</t>
        </is>
      </c>
      <c r="U967" t="inlineStr">
        <is>
          <t>护肤彩妆</t>
        </is>
      </c>
      <c r="V967" s="3">
        <v>46112.78107638889</v>
      </c>
      <c r="W967" t="inlineStr">
        <is>
          <t>2026-Q1</t>
        </is>
      </c>
    </row>
    <row r="968" ht="25.5" customHeight="1">
      <c r="A968" t="inlineStr">
        <is>
          <t>ROMAND · 【跳水捡漏！！】水灵灵美美唇釉来啦！精致少女感！</t>
        </is>
      </c>
      <c r="B968" t="inlineStr">
        <is>
          <t>recvdUN7QQBysr.jpg</t>
        </is>
      </c>
      <c r="C968" s="2" t="str">
        <f>=HYPERLINK("https://xhslink.com/m/16hm3md5Zzp", "https://xhslink.com/m/16hm3md5Zzp")</f>
        <v>https://xhslink.com/m/16hm3md5Zzp</v>
      </c>
      <c r="D968"/>
      <c r="E968">
        <v>2494</v>
      </c>
      <c r="F968">
        <v>35</v>
      </c>
      <c r="G968">
        <v>29.75</v>
      </c>
      <c r="H968">
        <v>300</v>
      </c>
      <c r="I968" t="inlineStr">
        <is>
          <t>面部色彩</t>
        </is>
      </c>
      <c r="J968" t="inlineStr">
        <is>
          <t>0.12</t>
        </is>
      </c>
      <c r="K968"/>
      <c r="L968" t="inlineStr">
        <is>
          <t>anne很会买的店</t>
        </is>
      </c>
      <c r="M968">
        <v>86000</v>
      </c>
      <c r="N968">
        <v>4.62</v>
      </c>
      <c r="O968">
        <v>397000</v>
      </c>
      <c r="P968" t="inlineStr">
        <is>
          <t>68dbedbcb56f160001baf524</t>
        </is>
      </c>
      <c r="Q968" t="inlineStr">
        <is>
          <t>🚫重复</t>
        </is>
      </c>
      <c r="R968" t="inlineStr">
        <is>
          <t>14周</t>
        </is>
      </c>
      <c r="S968" t="inlineStr">
        <is>
          <t>0.03</t>
        </is>
      </c>
      <c r="T968" t="inlineStr">
        <is>
          <t>美妆个护</t>
        </is>
      </c>
      <c r="U968" t="inlineStr">
        <is>
          <t>护肤彩妆</t>
        </is>
      </c>
      <c r="V968" s="3">
        <v>46112.78107638889</v>
      </c>
      <c r="W968" t="inlineStr">
        <is>
          <t>2026-Q1</t>
        </is>
      </c>
    </row>
    <row r="969" ht="25.5" customHeight="1">
      <c r="A969" t="inlineStr">
        <is>
          <t>钱一波 · 原创韩系大容量尼龙水桶托特包痛包二次元20cm娃包通勤单肩</t>
        </is>
      </c>
      <c r="B969" t="inlineStr">
        <is>
          <t>recvdUN7QQL6aH.jpg</t>
        </is>
      </c>
      <c r="C969" s="2" t="str">
        <f>=HYPERLINK("https://xhslink.com/m/5o08hWMkUNW", "https://xhslink.com/m/5o08hWMkUNW")</f>
        <v>https://xhslink.com/m/5o08hWMkUNW</v>
      </c>
      <c r="D969"/>
      <c r="E969">
        <v>1685</v>
      </c>
      <c r="F969">
        <v>59.9</v>
      </c>
      <c r="G969">
        <v>49.9</v>
      </c>
      <c r="H969">
        <v>300</v>
      </c>
      <c r="I969" t="inlineStr">
        <is>
          <t>包包</t>
        </is>
      </c>
      <c r="J969" t="inlineStr">
        <is>
          <t>0.18</t>
        </is>
      </c>
      <c r="K969"/>
      <c r="L969" t="inlineStr">
        <is>
          <t>准备上岸的钱一波的店</t>
        </is>
      </c>
      <c r="M969">
        <v>861000</v>
      </c>
      <c r="N969">
        <v>4.5</v>
      </c>
      <c r="O969">
        <v>1145000</v>
      </c>
      <c r="P969" t="inlineStr">
        <is>
          <t>691ac2f2e78d9900017babe5</t>
        </is>
      </c>
      <c r="Q969"/>
      <c r="R969" t="inlineStr">
        <is>
          <t>14周</t>
        </is>
      </c>
      <c r="S969" t="inlineStr">
        <is>
          <t>0.00</t>
        </is>
      </c>
      <c r="T969" t="inlineStr">
        <is>
          <t>服饰穿搭</t>
        </is>
      </c>
      <c r="U969" t="inlineStr">
        <is>
          <t>鞋靴箱包</t>
        </is>
      </c>
      <c r="V969" s="3">
        <v>46112.78107638889</v>
      </c>
      <c r="W969" t="inlineStr">
        <is>
          <t>2026-Q1</t>
        </is>
      </c>
    </row>
    <row r="970" ht="25.5" customHeight="1">
      <c r="A970" t="inlineStr">
        <is>
          <t>〔软糖小法棍〕 奶油风腋下包 头层牛皮 手提腋下斜挎尺寸19-7-12</t>
        </is>
      </c>
      <c r="B970" t="inlineStr">
        <is>
          <t>recvdUN7QQb4JQ.jpg</t>
        </is>
      </c>
      <c r="C970" s="2" t="str">
        <f>=HYPERLINK("https://xhslink.com/m/5SQS1ReJeXh", "https://xhslink.com/m/5SQS1ReJeXh")</f>
        <v>https://xhslink.com/m/5SQS1ReJeXh</v>
      </c>
      <c r="D970"/>
      <c r="E970">
        <v>643</v>
      </c>
      <c r="F970">
        <v>119</v>
      </c>
      <c r="G970"/>
      <c r="H970">
        <v>300</v>
      </c>
      <c r="I970" t="inlineStr">
        <is>
          <t>包包</t>
        </is>
      </c>
      <c r="J970" t="inlineStr">
        <is>
          <t>0.47</t>
        </is>
      </c>
      <c r="K970"/>
      <c r="L970" t="inlineStr">
        <is>
          <t>SaSa酱包袋的店</t>
        </is>
      </c>
      <c r="M970">
        <v>30000</v>
      </c>
      <c r="N970">
        <v>4.61</v>
      </c>
      <c r="O970">
        <v>23000</v>
      </c>
      <c r="P970" t="inlineStr">
        <is>
          <t>697c23f8ab9b880001a3d208</t>
        </is>
      </c>
      <c r="Q970"/>
      <c r="R970" t="inlineStr">
        <is>
          <t>14周</t>
        </is>
      </c>
      <c r="S970" t="inlineStr">
        <is>
          <t>0.02</t>
        </is>
      </c>
      <c r="T970" t="inlineStr">
        <is>
          <t>服饰穿搭</t>
        </is>
      </c>
      <c r="U970" t="inlineStr">
        <is>
          <t>鞋靴箱包</t>
        </is>
      </c>
      <c r="V970" s="3">
        <v>46112.78107638889</v>
      </c>
      <c r="W970" t="inlineStr">
        <is>
          <t>2026-Q1</t>
        </is>
      </c>
    </row>
    <row r="971" ht="25.5" customHeight="1">
      <c r="A971" t="inlineStr">
        <is>
          <t>【满69顺丰包邮】30种口味选择 任拼切件 软心巴斯克 芝士蛋糕</t>
        </is>
      </c>
      <c r="B971" t="inlineStr">
        <is>
          <t>recvdWIhrw0TDR.jpg</t>
        </is>
      </c>
      <c r="C971" s="2" t="str">
        <f>=HYPERLINK("https://xhslink.com/m/6eCIoCWAwcj", "https://xhslink.com/m/6eCIoCWAwcj")</f>
        <v>https://xhslink.com/m/6eCIoCWAwcj</v>
      </c>
      <c r="D971"/>
      <c r="E971">
        <v>137000</v>
      </c>
      <c r="F971">
        <v>13.9</v>
      </c>
      <c r="G971"/>
      <c r="H971">
        <v>300</v>
      </c>
      <c r="I971" t="inlineStr">
        <is>
          <t>零食</t>
        </is>
      </c>
      <c r="J971" t="inlineStr">
        <is>
          <t>0.00</t>
        </is>
      </c>
      <c r="K971" t="inlineStr">
        <is>
          <t>🔥低粉爆款</t>
        </is>
      </c>
      <c r="L971" t="inlineStr">
        <is>
          <t>栗是烘焙食品的店</t>
        </is>
      </c>
      <c r="M971">
        <v>2969</v>
      </c>
      <c r="N971">
        <v>4.72</v>
      </c>
      <c r="O971">
        <v>138000</v>
      </c>
      <c r="P971" t="inlineStr">
        <is>
          <t>671d2f49deb6c200017146e2</t>
        </is>
      </c>
      <c r="Q971" t="inlineStr">
        <is>
          <t>🚫重复</t>
        </is>
      </c>
      <c r="R971" t="inlineStr">
        <is>
          <t>14周</t>
        </is>
      </c>
      <c r="S971" t="inlineStr">
        <is>
          <t>46.14</t>
        </is>
      </c>
      <c r="T971" t="inlineStr">
        <is>
          <t>美食滋补</t>
        </is>
      </c>
      <c r="U971" t="inlineStr">
        <is>
          <t>休闲零食</t>
        </is>
      </c>
      <c r="V971" s="3">
        <v>46112.78107638889</v>
      </c>
      <c r="W971" t="inlineStr">
        <is>
          <t>2026-Q1</t>
        </is>
      </c>
    </row>
    <row r="972" ht="25.5" customHeight="1">
      <c r="A972" t="inlineStr">
        <is>
          <t>心愿先生 · 【日常滋养】精华笔三合一修甲护甲磨死皮指缘油营养护理美甲工具</t>
        </is>
      </c>
      <c r="B972" t="inlineStr">
        <is>
          <t>recvdWIhrwa6Wm.jpg</t>
        </is>
      </c>
      <c r="C972" s="2" t="str">
        <f>=HYPERLINK("https://xhslink.com/m/6JKCjQhWARJ", "https://xhslink.com/m/6JKCjQhWARJ")</f>
        <v>https://xhslink.com/m/6JKCjQhWARJ</v>
      </c>
      <c r="D972"/>
      <c r="E972">
        <v>92000</v>
      </c>
      <c r="F972">
        <v>119.8</v>
      </c>
      <c r="G972">
        <v>99.8</v>
      </c>
      <c r="H972">
        <v>300</v>
      </c>
      <c r="I972" t="inlineStr">
        <is>
          <t>美甲美睫</t>
        </is>
      </c>
      <c r="J972" t="inlineStr">
        <is>
          <t>0.00</t>
        </is>
      </c>
      <c r="K972"/>
      <c r="L972" t="inlineStr">
        <is>
          <t>MR.WISH心愿先生有鲤美妆工具专卖店</t>
        </is>
      </c>
      <c r="M972">
        <v>102000</v>
      </c>
      <c r="N972">
        <v>4.35</v>
      </c>
      <c r="O972">
        <v>297000</v>
      </c>
      <c r="P972" t="inlineStr">
        <is>
          <t>68c5452c0201ec00014f5358</t>
        </is>
      </c>
      <c r="Q972" t="inlineStr">
        <is>
          <t>🚫重复</t>
        </is>
      </c>
      <c r="R972" t="inlineStr">
        <is>
          <t>14周</t>
        </is>
      </c>
      <c r="S972" t="inlineStr">
        <is>
          <t>0.90</t>
        </is>
      </c>
      <c r="T972" t="inlineStr">
        <is>
          <t>美妆个护</t>
        </is>
      </c>
      <c r="U972" t="inlineStr">
        <is>
          <t>护肤彩妆</t>
        </is>
      </c>
      <c r="V972" s="3">
        <v>46112.78107638889</v>
      </c>
      <c r="W972" t="inlineStr">
        <is>
          <t>2026-Q1</t>
        </is>
      </c>
    </row>
    <row r="973" ht="25.5" customHeight="1">
      <c r="A973" t="inlineStr">
        <is>
          <t>自留日系棉麻大檐渔夫帽女夏季户外防晒显脸小可折叠遮阳帽子</t>
        </is>
      </c>
      <c r="B973" t="inlineStr">
        <is>
          <t>recve0Cd8qD0vE.jpg</t>
        </is>
      </c>
      <c r="C973" s="2" t="str">
        <f>=HYPERLINK("https://xhslink.com/m/7uwZgIqmZJm", "https://xhslink.com/m/7uwZgIqmZJm")</f>
        <v>https://xhslink.com/m/7uwZgIqmZJm</v>
      </c>
      <c r="D973"/>
      <c r="E973">
        <v>25000</v>
      </c>
      <c r="F973">
        <v>38</v>
      </c>
      <c r="G973"/>
      <c r="H973">
        <v>300</v>
      </c>
      <c r="I973" t="inlineStr">
        <is>
          <t>穿搭</t>
        </is>
      </c>
      <c r="J973" t="inlineStr">
        <is>
          <t>0.01</t>
        </is>
      </c>
      <c r="K973"/>
      <c r="L973" t="inlineStr">
        <is>
          <t>byabbay的店</t>
        </is>
      </c>
      <c r="M973">
        <v>21000</v>
      </c>
      <c r="N973">
        <v>4.58</v>
      </c>
      <c r="O973">
        <v>357000</v>
      </c>
      <c r="P973" t="inlineStr">
        <is>
          <t>681f3e10d0f0430001183ed4</t>
        </is>
      </c>
      <c r="Q973" t="inlineStr">
        <is>
          <t>🚫重复</t>
        </is>
      </c>
      <c r="R973" t="inlineStr">
        <is>
          <t>14周</t>
        </is>
      </c>
      <c r="S973" t="inlineStr">
        <is>
          <t>1.19</t>
        </is>
      </c>
      <c r="T973" t="inlineStr">
        <is>
          <t>服饰穿搭</t>
        </is>
      </c>
      <c r="U973" t="inlineStr">
        <is>
          <t>配饰</t>
        </is>
      </c>
      <c r="V973" s="3">
        <v>46112.78107638889</v>
      </c>
      <c r="W973" t="inlineStr">
        <is>
          <t>2026-Q1</t>
        </is>
      </c>
    </row>
    <row r="974" ht="25.5" customHeight="1">
      <c r="A974" t="inlineStr">
        <is>
          <t>KiKi Studio丨绿野仙踪开口戒指合集A森系显白法式宫廷风戒指</t>
        </is>
      </c>
      <c r="B974" t="inlineStr">
        <is>
          <t>recve60dL68eiP.jpg</t>
        </is>
      </c>
      <c r="C974" s="2" t="str">
        <f>=HYPERLINK("https://xhslink.com/m/1T6N8hS9LZT", "https://xhslink.com/m/1T6N8hS9LZT")</f>
        <v>https://xhslink.com/m/1T6N8hS9LZT</v>
      </c>
      <c r="D974"/>
      <c r="E974">
        <v>4370</v>
      </c>
      <c r="F974">
        <v>35.9</v>
      </c>
      <c r="G974"/>
      <c r="H974">
        <v>300</v>
      </c>
      <c r="I974" t="inlineStr">
        <is>
          <t>饰品</t>
        </is>
      </c>
      <c r="J974" t="inlineStr">
        <is>
          <t>0.07</t>
        </is>
      </c>
      <c r="K974"/>
      <c r="L974" t="inlineStr">
        <is>
          <t>KiKi Studio的店</t>
        </is>
      </c>
      <c r="M974">
        <v>104000</v>
      </c>
      <c r="N974">
        <v>4.63</v>
      </c>
      <c r="O974">
        <v>76000</v>
      </c>
      <c r="P974" t="inlineStr">
        <is>
          <t>686e5ae17398810001f8377b</t>
        </is>
      </c>
      <c r="Q974" t="inlineStr">
        <is>
          <t>🚫重复</t>
        </is>
      </c>
      <c r="R974" t="inlineStr">
        <is>
          <t>14周</t>
        </is>
      </c>
      <c r="S974" t="inlineStr">
        <is>
          <t>0.04</t>
        </is>
      </c>
      <c r="T974" t="inlineStr">
        <is>
          <t>服饰穿搭</t>
        </is>
      </c>
      <c r="U974" t="inlineStr">
        <is>
          <t>配饰</t>
        </is>
      </c>
      <c r="V974" s="3">
        <v>46112.78107638889</v>
      </c>
      <c r="W974" t="inlineStr">
        <is>
          <t>2026-Q1</t>
        </is>
      </c>
    </row>
    <row r="975" ht="25.5" customHeight="1">
      <c r="A975" t="inlineStr">
        <is>
          <t>3E · 【前1000单立减20】挂脖手机磁吸支架第一视角直播骑行登山钓鱼</t>
        </is>
      </c>
      <c r="B975" t="inlineStr">
        <is>
          <t>recve60dL6mgar.jpg</t>
        </is>
      </c>
      <c r="C975" s="2" t="str">
        <f>=HYPERLINK("https://xhslink.com/m/5Inp5br3cCl", "https://xhslink.com/m/5Inp5br3cCl")</f>
        <v>https://xhslink.com/m/5Inp5br3cCl</v>
      </c>
      <c r="D975"/>
      <c r="E975">
        <v>2246</v>
      </c>
      <c r="F975">
        <v>137</v>
      </c>
      <c r="G975">
        <v>97</v>
      </c>
      <c r="H975">
        <v>300</v>
      </c>
      <c r="I975" t="inlineStr">
        <is>
          <t>手机支架</t>
        </is>
      </c>
      <c r="J975" t="inlineStr">
        <is>
          <t>0.13</t>
        </is>
      </c>
      <c r="K975"/>
      <c r="L975" t="inlineStr">
        <is>
          <t>迷妮种草酱甄选的店</t>
        </is>
      </c>
      <c r="M975">
        <v>2081</v>
      </c>
      <c r="N975">
        <v>4.61</v>
      </c>
      <c r="O975">
        <v>40000</v>
      </c>
      <c r="P975" t="inlineStr">
        <is>
          <t>6843baf4a006060015eb8531</t>
        </is>
      </c>
      <c r="Q975" t="inlineStr">
        <is>
          <t>🚫重复</t>
        </is>
      </c>
      <c r="R975" t="inlineStr">
        <is>
          <t>14周</t>
        </is>
      </c>
      <c r="S975" t="inlineStr">
        <is>
          <t>1.08</t>
        </is>
      </c>
      <c r="T975" t="inlineStr">
        <is>
          <t>运动潮玩</t>
        </is>
      </c>
      <c r="U975" t="inlineStr">
        <is>
          <t>运动户外装备</t>
        </is>
      </c>
      <c r="V975" s="3">
        <v>46112.78107638889</v>
      </c>
      <c r="W975" t="inlineStr">
        <is>
          <t>2026-Q1</t>
        </is>
      </c>
    </row>
    <row r="976" ht="25.5" customHeight="1">
      <c r="A976" t="inlineStr">
        <is>
          <t>新款手机磁吸支架登山扣多功能折叠便携直播拍摄三脚手机支架</t>
        </is>
      </c>
      <c r="B976" t="inlineStr">
        <is>
          <t>recve60dL6r0JF.jpg</t>
        </is>
      </c>
      <c r="C976" s="2" t="str">
        <f>=HYPERLINK("https://xhslink.com/m/ro2o6BFSGC", "https://xhslink.com/m/ro2o6BFSGC")</f>
        <v>https://xhslink.com/m/ro2o6BFSGC</v>
      </c>
      <c r="D976"/>
      <c r="E976">
        <v>434</v>
      </c>
      <c r="F976">
        <v>53.9</v>
      </c>
      <c r="G976">
        <v>33.9</v>
      </c>
      <c r="H976">
        <v>300</v>
      </c>
      <c r="I976" t="inlineStr">
        <is>
          <t>手机支架</t>
        </is>
      </c>
      <c r="J976" t="inlineStr">
        <is>
          <t>0.69</t>
        </is>
      </c>
      <c r="K976" t="inlineStr">
        <is>
          <t>🔥低粉爆款</t>
        </is>
      </c>
      <c r="L976" t="inlineStr">
        <is>
          <t>温欣小铺的店</t>
        </is>
      </c>
      <c r="M976">
        <v>54</v>
      </c>
      <c r="N976">
        <v>4.6</v>
      </c>
      <c r="O976">
        <v>1467</v>
      </c>
      <c r="P976" t="inlineStr">
        <is>
          <t>699c1518890dab0001fd14f4</t>
        </is>
      </c>
      <c r="Q976"/>
      <c r="R976" t="inlineStr">
        <is>
          <t>14周</t>
        </is>
      </c>
      <c r="S976" t="inlineStr">
        <is>
          <t>8.04</t>
        </is>
      </c>
      <c r="T976" t="inlineStr">
        <is>
          <t>数码家电</t>
        </is>
      </c>
      <c r="U976" t="inlineStr">
        <is>
          <t>数码配件</t>
        </is>
      </c>
      <c r="V976" s="3">
        <v>46112.78107638889</v>
      </c>
      <c r="W976" t="inlineStr">
        <is>
          <t>2026-Q1</t>
        </is>
      </c>
    </row>
    <row r="977" ht="25.5" customHeight="1">
      <c r="A977" t="inlineStr">
        <is>
          <t>《学物理来破案》全3册</t>
        </is>
      </c>
      <c r="B977" t="inlineStr">
        <is>
          <t>recve60dL680dv.jpg</t>
        </is>
      </c>
      <c r="C977" s="2" t="str">
        <f>=HYPERLINK("https://xhslink.com/m/71MJF1gjMtD", "https://xhslink.com/m/71MJF1gjMtD")</f>
        <v>https://xhslink.com/m/71MJF1gjMtD</v>
      </c>
      <c r="D977"/>
      <c r="E977">
        <v>640</v>
      </c>
      <c r="F977">
        <v>39.8</v>
      </c>
      <c r="G977"/>
      <c r="H977">
        <v>300</v>
      </c>
      <c r="I977" t="inlineStr">
        <is>
          <t>绘本</t>
        </is>
      </c>
      <c r="J977" t="inlineStr">
        <is>
          <t>0.47</t>
        </is>
      </c>
      <c r="K977"/>
      <c r="L977" t="inlineStr">
        <is>
          <t>仁意文化的店</t>
        </is>
      </c>
      <c r="M977">
        <v>13000</v>
      </c>
      <c r="N977">
        <v>4.58</v>
      </c>
      <c r="O977">
        <v>572000</v>
      </c>
      <c r="P977" t="inlineStr">
        <is>
          <t>69a7d63ad5ba8500011b53a3</t>
        </is>
      </c>
      <c r="Q977"/>
      <c r="R977" t="inlineStr">
        <is>
          <t>14周</t>
        </is>
      </c>
      <c r="S977" t="inlineStr">
        <is>
          <t>0.05</t>
        </is>
      </c>
      <c r="T977" t="inlineStr">
        <is>
          <t>母婴亲子</t>
        </is>
      </c>
      <c r="U977" t="inlineStr">
        <is>
          <t>玩具早教</t>
        </is>
      </c>
      <c r="V977" s="3">
        <v>46112.78107638889</v>
      </c>
      <c r="W977" t="inlineStr">
        <is>
          <t>2026-Q1</t>
        </is>
      </c>
    </row>
    <row r="978" ht="25.5" customHeight="1">
      <c r="A978" t="inlineStr">
        <is>
          <t>季食本 · 宁波艾草大糕 传统手工制作馅料 定制版 顺丰陆运</t>
        </is>
      </c>
      <c r="B978" t="inlineStr">
        <is>
          <t>recveckoIEdbmG.jpg</t>
        </is>
      </c>
      <c r="C978" s="2" t="str">
        <f>=HYPERLINK("https://xhslink.com/m/6imdZVeUjvS", "https://xhslink.com/m/6imdZVeUjvS")</f>
        <v>https://xhslink.com/m/6imdZVeUjvS</v>
      </c>
      <c r="D978"/>
      <c r="E978">
        <v>4491</v>
      </c>
      <c r="F978">
        <v>666</v>
      </c>
      <c r="G978"/>
      <c r="H978">
        <v>300</v>
      </c>
      <c r="I978" t="inlineStr">
        <is>
          <t>零食</t>
        </is>
      </c>
      <c r="J978" t="inlineStr">
        <is>
          <t>0.07</t>
        </is>
      </c>
      <c r="K978"/>
      <c r="L978" t="inlineStr">
        <is>
          <t>Spring的细微生活的店</t>
        </is>
      </c>
      <c r="M978">
        <v>18000</v>
      </c>
      <c r="N978">
        <v>4.63</v>
      </c>
      <c r="O978">
        <v>68000</v>
      </c>
      <c r="P978" t="inlineStr">
        <is>
          <t>693cc360838dce00019230dc</t>
        </is>
      </c>
      <c r="Q978" t="inlineStr">
        <is>
          <t>🚫重复</t>
        </is>
      </c>
      <c r="R978" t="inlineStr">
        <is>
          <t>14周</t>
        </is>
      </c>
      <c r="S978" t="inlineStr">
        <is>
          <t>0.25</t>
        </is>
      </c>
      <c r="T978" t="inlineStr">
        <is>
          <t>美食滋补</t>
        </is>
      </c>
      <c r="U978" t="inlineStr">
        <is>
          <t>休闲零食</t>
        </is>
      </c>
      <c r="V978" s="3">
        <v>46112.78107638889</v>
      </c>
      <c r="W978" t="inlineStr">
        <is>
          <t>2026-Q1</t>
        </is>
      </c>
    </row>
    <row r="979" ht="25.5" customHeight="1">
      <c r="A979" t="inlineStr">
        <is>
          <t>【培育钻排戒】共计55分·HPHT高温高压法·厚镀铑金</t>
        </is>
      </c>
      <c r="B979" t="inlineStr">
        <is>
          <t>recveckoIEOYgC.jpg</t>
        </is>
      </c>
      <c r="C979" s="2" t="str">
        <f>=HYPERLINK("https://xhslink.com/m/9DE9oVGyoJ2", "https://xhslink.com/m/9DE9oVGyoJ2")</f>
        <v>https://xhslink.com/m/9DE9oVGyoJ2</v>
      </c>
      <c r="D979"/>
      <c r="E979">
        <v>6056</v>
      </c>
      <c r="F979">
        <v>355</v>
      </c>
      <c r="G979"/>
      <c r="H979">
        <v>300</v>
      </c>
      <c r="I979" t="inlineStr">
        <is>
          <t>配饰</t>
        </is>
      </c>
      <c r="J979" t="inlineStr">
        <is>
          <t>0.05</t>
        </is>
      </c>
      <c r="K979"/>
      <c r="L979" t="inlineStr">
        <is>
          <t>yeya银饰珠宝的店</t>
        </is>
      </c>
      <c r="M979">
        <v>7821</v>
      </c>
      <c r="N979">
        <v>4.6</v>
      </c>
      <c r="O979">
        <v>12000</v>
      </c>
      <c r="P979" t="inlineStr">
        <is>
          <t>6917086ed4669a0001757736</t>
        </is>
      </c>
      <c r="Q979" t="inlineStr">
        <is>
          <t>🚫重复</t>
        </is>
      </c>
      <c r="R979" t="inlineStr">
        <is>
          <t>14周</t>
        </is>
      </c>
      <c r="S979" t="inlineStr">
        <is>
          <t>0.77</t>
        </is>
      </c>
      <c r="T979" t="inlineStr">
        <is>
          <t>服饰穿搭</t>
        </is>
      </c>
      <c r="U979" t="inlineStr">
        <is>
          <t>配饰</t>
        </is>
      </c>
      <c r="V979" s="3">
        <v>46112.78107638889</v>
      </c>
      <c r="W979" t="inlineStr">
        <is>
          <t>2026-Q1</t>
        </is>
      </c>
    </row>
    <row r="980" ht="25.5" customHeight="1">
      <c r="A980" t="inlineStr">
        <is>
          <t>纯棉U领圆领收腰正肩基础款短袖T恤女夏季新款修身显瘦</t>
        </is>
      </c>
      <c r="B980" t="inlineStr">
        <is>
          <t>recved8o2D8hDc.jpg</t>
        </is>
      </c>
      <c r="C980" s="2" t="str">
        <f>=HYPERLINK("https://xhslink.com/m/1fhapwk2Rq2", "https://xhslink.com/m/1fhapwk2Rq2")</f>
        <v>https://xhslink.com/m/1fhapwk2Rq2</v>
      </c>
      <c r="D980"/>
      <c r="E980">
        <v>272000</v>
      </c>
      <c r="F980">
        <v>29.9</v>
      </c>
      <c r="G980"/>
      <c r="H980">
        <v>300</v>
      </c>
      <c r="I980" t="inlineStr">
        <is>
          <t>T恤</t>
        </is>
      </c>
      <c r="J980" t="inlineStr">
        <is>
          <t>0.00</t>
        </is>
      </c>
      <c r="K980" t="inlineStr">
        <is>
          <t>🔥低粉爆款</t>
        </is>
      </c>
      <c r="L980" t="inlineStr">
        <is>
          <t>卷心菜儿的店</t>
        </is>
      </c>
      <c r="M980">
        <v>23000</v>
      </c>
      <c r="N980">
        <v>4.53</v>
      </c>
      <c r="O980">
        <v>383000</v>
      </c>
      <c r="P980" t="inlineStr">
        <is>
          <t>644e11b52935800001ea0972</t>
        </is>
      </c>
      <c r="Q980" t="inlineStr">
        <is>
          <t>🚫重复</t>
        </is>
      </c>
      <c r="R980" t="inlineStr">
        <is>
          <t>14周</t>
        </is>
      </c>
      <c r="S980" t="inlineStr">
        <is>
          <t>11.83</t>
        </is>
      </c>
      <c r="T980" t="inlineStr">
        <is>
          <t>服饰穿搭</t>
        </is>
      </c>
      <c r="U980" t="inlineStr">
        <is>
          <t>女装</t>
        </is>
      </c>
      <c r="V980" s="3">
        <v>46112.78107638889</v>
      </c>
      <c r="W980" t="inlineStr">
        <is>
          <t>2026-Q1</t>
        </is>
      </c>
    </row>
    <row r="981" ht="25.5" customHeight="1">
      <c r="A981" t="inlineStr">
        <is>
          <t>欧货小衫正肩短袖t恤女2025夏季新款爆款纯棉半袖内搭打底衫ins</t>
        </is>
      </c>
      <c r="B981" t="inlineStr">
        <is>
          <t>recved8o2D32XU.jpg</t>
        </is>
      </c>
      <c r="C981" s="2" t="str">
        <f>=HYPERLINK("https://xhslink.com/m/2V7W5kco4kz", "https://xhslink.com/m/2V7W5kco4kz")</f>
        <v>https://xhslink.com/m/2V7W5kco4kz</v>
      </c>
      <c r="D981"/>
      <c r="E981">
        <v>6343</v>
      </c>
      <c r="F981">
        <v>49.9</v>
      </c>
      <c r="G981">
        <v>39.9</v>
      </c>
      <c r="H981">
        <v>300</v>
      </c>
      <c r="I981" t="inlineStr">
        <is>
          <t>T恤</t>
        </is>
      </c>
      <c r="J981" t="inlineStr">
        <is>
          <t>0.05</t>
        </is>
      </c>
      <c r="K981"/>
      <c r="L981" t="inlineStr">
        <is>
          <t>XIAO桉家原创的店</t>
        </is>
      </c>
      <c r="M981">
        <v>20000</v>
      </c>
      <c r="N981">
        <v>4.72</v>
      </c>
      <c r="O981">
        <v>157000</v>
      </c>
      <c r="P981" t="inlineStr">
        <is>
          <t>66e9512629e69000016fada4</t>
        </is>
      </c>
      <c r="Q981" t="inlineStr">
        <is>
          <t>🚫重复</t>
        </is>
      </c>
      <c r="R981" t="inlineStr">
        <is>
          <t>14周</t>
        </is>
      </c>
      <c r="S981" t="inlineStr">
        <is>
          <t>0.32</t>
        </is>
      </c>
      <c r="T981" t="inlineStr">
        <is>
          <t>服饰穿搭</t>
        </is>
      </c>
      <c r="U981" t="inlineStr">
        <is>
          <t>女装</t>
        </is>
      </c>
      <c r="V981" s="3">
        <v>46112.78107638889</v>
      </c>
      <c r="W981" t="inlineStr">
        <is>
          <t>2026-Q1</t>
        </is>
      </c>
    </row>
    <row r="982" ht="25.5" customHeight="1">
      <c r="A982" t="inlineStr">
        <is>
          <t>【何秘书】宽松慵懒宽松V领长袖T恤</t>
        </is>
      </c>
      <c r="B982" t="inlineStr">
        <is>
          <t>recved8o2DUSHJ.jpg</t>
        </is>
      </c>
      <c r="C982" s="2" t="str">
        <f>=HYPERLINK("https://xhslink.com/m/80SVYZ0UleK", "https://xhslink.com/m/80SVYZ0UleK")</f>
        <v>https://xhslink.com/m/80SVYZ0UleK</v>
      </c>
      <c r="D982"/>
      <c r="E982">
        <v>16000</v>
      </c>
      <c r="F982">
        <v>69.9</v>
      </c>
      <c r="G982"/>
      <c r="H982">
        <v>300</v>
      </c>
      <c r="I982" t="inlineStr">
        <is>
          <t>T恤</t>
        </is>
      </c>
      <c r="J982" t="inlineStr">
        <is>
          <t>0.02</t>
        </is>
      </c>
      <c r="K982"/>
      <c r="L982" t="inlineStr">
        <is>
          <t>何秘书的店</t>
        </is>
      </c>
      <c r="M982">
        <v>87000</v>
      </c>
      <c r="N982">
        <v>4.49</v>
      </c>
      <c r="O982">
        <v>378000</v>
      </c>
      <c r="P982" t="inlineStr">
        <is>
          <t>66e0b0835403cb0001e7c57b</t>
        </is>
      </c>
      <c r="Q982"/>
      <c r="R982" t="inlineStr">
        <is>
          <t>14周</t>
        </is>
      </c>
      <c r="S982" t="inlineStr">
        <is>
          <t>0.18</t>
        </is>
      </c>
      <c r="T982" t="inlineStr">
        <is>
          <t>服饰穿搭</t>
        </is>
      </c>
      <c r="U982" t="inlineStr">
        <is>
          <t>女装</t>
        </is>
      </c>
      <c r="V982" s="3">
        <v>46112.78107638889</v>
      </c>
      <c r="W982" t="inlineStr">
        <is>
          <t>2026-Q1</t>
        </is>
      </c>
    </row>
    <row r="983" ht="25.5" customHeight="1">
      <c r="A983" t="inlineStr">
        <is>
          <t>Amin Studios【2.0升级版】纯棉百搭显瘦打底衫内搭休闲长袖T恤女</t>
        </is>
      </c>
      <c r="B983" t="inlineStr">
        <is>
          <t>recved8o2DjZjC.jpg</t>
        </is>
      </c>
      <c r="C983" s="2" t="str">
        <f>=HYPERLINK("https://xhslink.com/m/1wiFhtPmB43", "https://xhslink.com/m/1wiFhtPmB43")</f>
        <v>https://xhslink.com/m/1wiFhtPmB43</v>
      </c>
      <c r="D983"/>
      <c r="E983">
        <v>10000</v>
      </c>
      <c r="F983">
        <v>79</v>
      </c>
      <c r="G983"/>
      <c r="H983">
        <v>300</v>
      </c>
      <c r="I983" t="inlineStr">
        <is>
          <t>T恤</t>
        </is>
      </c>
      <c r="J983" t="inlineStr">
        <is>
          <t>0.03</t>
        </is>
      </c>
      <c r="K983"/>
      <c r="L983" t="inlineStr">
        <is>
          <t>Amin Studios的店</t>
        </is>
      </c>
      <c r="M983">
        <v>3885</v>
      </c>
      <c r="N983">
        <v>4.52</v>
      </c>
      <c r="O983">
        <v>18000</v>
      </c>
      <c r="P983" t="inlineStr">
        <is>
          <t>6944c7361f22d200019546b5</t>
        </is>
      </c>
      <c r="Q983" t="inlineStr">
        <is>
          <t>🚫重复</t>
        </is>
      </c>
      <c r="R983" t="inlineStr">
        <is>
          <t>14周</t>
        </is>
      </c>
      <c r="S983" t="inlineStr">
        <is>
          <t>2.57</t>
        </is>
      </c>
      <c r="T983" t="inlineStr">
        <is>
          <t>服饰穿搭</t>
        </is>
      </c>
      <c r="U983" t="inlineStr">
        <is>
          <t>女装</t>
        </is>
      </c>
      <c r="V983" s="3">
        <v>46112.78107638889</v>
      </c>
      <c r="W983" t="inlineStr">
        <is>
          <t>2026-Q1</t>
        </is>
      </c>
    </row>
    <row r="984" ht="25.5" customHeight="1">
      <c r="A984" t="inlineStr">
        <is>
          <t>设计感小众白色宽松短袖女t恤纯棉2025新款夏季宽松高街半袖上衣</t>
        </is>
      </c>
      <c r="B984" t="inlineStr">
        <is>
          <t>recved8o2DI34C.jpg</t>
        </is>
      </c>
      <c r="C984" s="2" t="str">
        <f>=HYPERLINK("https://xhslink.com/m/3x0DK6hu1k", "https://xhslink.com/m/3x0DK6hu1k")</f>
        <v>https://xhslink.com/m/3x0DK6hu1k</v>
      </c>
      <c r="D984"/>
      <c r="E984">
        <v>3915</v>
      </c>
      <c r="F984">
        <v>39.9</v>
      </c>
      <c r="G984">
        <v>32.91</v>
      </c>
      <c r="H984">
        <v>300</v>
      </c>
      <c r="I984" t="inlineStr">
        <is>
          <t>T恤</t>
        </is>
      </c>
      <c r="J984" t="inlineStr">
        <is>
          <t>0.08</t>
        </is>
      </c>
      <c r="K984"/>
      <c r="L984" t="inlineStr">
        <is>
          <t>佳里有银的店</t>
        </is>
      </c>
      <c r="M984">
        <v>1517</v>
      </c>
      <c r="N984">
        <v>4.7</v>
      </c>
      <c r="O984">
        <v>17000</v>
      </c>
      <c r="P984" t="inlineStr">
        <is>
          <t>67d6f7920144270001e01938</t>
        </is>
      </c>
      <c r="Q984" t="inlineStr">
        <is>
          <t>🚫重复</t>
        </is>
      </c>
      <c r="R984" t="inlineStr">
        <is>
          <t>14周</t>
        </is>
      </c>
      <c r="S984" t="inlineStr">
        <is>
          <t>2.58</t>
        </is>
      </c>
      <c r="T984" t="inlineStr">
        <is>
          <t>服饰穿搭</t>
        </is>
      </c>
      <c r="U984" t="inlineStr">
        <is>
          <t>女装</t>
        </is>
      </c>
      <c r="V984" s="3">
        <v>46112.78107638889</v>
      </c>
      <c r="W984" t="inlineStr">
        <is>
          <t>2026-Q1</t>
        </is>
      </c>
    </row>
    <row r="985" ht="25.5" customHeight="1">
      <c r="A985" t="inlineStr">
        <is>
          <t>2026夏新款小马印花正肩短袖T恤女时尚胖MM大码纯棉显瘦百搭上衣</t>
        </is>
      </c>
      <c r="B985" t="inlineStr">
        <is>
          <t>recved8o2D88Nz.jpg</t>
        </is>
      </c>
      <c r="C985" s="2" t="str">
        <f>=HYPERLINK("https://xhslink.com/m/3ImqUZB9iBe", "https://xhslink.com/m/3ImqUZB9iBe")</f>
        <v>https://xhslink.com/m/3ImqUZB9iBe</v>
      </c>
      <c r="D985"/>
      <c r="E985">
        <v>3153</v>
      </c>
      <c r="F985">
        <v>39.9</v>
      </c>
      <c r="G985">
        <v>29.9</v>
      </c>
      <c r="H985">
        <v>300</v>
      </c>
      <c r="I985" t="inlineStr">
        <is>
          <t>T恤</t>
        </is>
      </c>
      <c r="J985" t="inlineStr">
        <is>
          <t>0.10</t>
        </is>
      </c>
      <c r="K985"/>
      <c r="L985" t="inlineStr">
        <is>
          <t>葵秋潮牌的店</t>
        </is>
      </c>
      <c r="M985">
        <v>53000</v>
      </c>
      <c r="N985">
        <v>4.63</v>
      </c>
      <c r="O985">
        <v>401000</v>
      </c>
      <c r="P985" t="inlineStr">
        <is>
          <t>696c8e1fd07ba00001ac13f2</t>
        </is>
      </c>
      <c r="Q985" t="inlineStr">
        <is>
          <t>🚫重复</t>
        </is>
      </c>
      <c r="R985" t="inlineStr">
        <is>
          <t>14周</t>
        </is>
      </c>
      <c r="S985" t="inlineStr">
        <is>
          <t>0.06</t>
        </is>
      </c>
      <c r="T985" t="inlineStr">
        <is>
          <t>服饰穿搭</t>
        </is>
      </c>
      <c r="U985" t="inlineStr">
        <is>
          <t>女装</t>
        </is>
      </c>
      <c r="V985" s="3">
        <v>46112.78107638889</v>
      </c>
      <c r="W985" t="inlineStr">
        <is>
          <t>2026-Q1</t>
        </is>
      </c>
    </row>
    <row r="986" ht="25.5" customHeight="1">
      <c r="A986" t="inlineStr">
        <is>
          <t>【顺丰包邮】云南蓝莓花香蓝莓抚仙湖蓝莓脆甜带花香</t>
        </is>
      </c>
      <c r="B986" t="inlineStr">
        <is>
          <t>recvei9USZ1tn1.jpg</t>
        </is>
      </c>
      <c r="C986" s="2" t="str">
        <f>=HYPERLINK("https://xhslink.com/m/8Ii1dl43L6I", "https://xhslink.com/m/8Ii1dl43L6I")</f>
        <v>https://xhslink.com/m/8Ii1dl43L6I</v>
      </c>
      <c r="D986"/>
      <c r="E986">
        <v>184000</v>
      </c>
      <c r="F986">
        <v>63.8</v>
      </c>
      <c r="G986">
        <v>43.8</v>
      </c>
      <c r="H986">
        <v>300</v>
      </c>
      <c r="I986" t="inlineStr">
        <is>
          <t>水果</t>
        </is>
      </c>
      <c r="J986" t="inlineStr">
        <is>
          <t>0.00</t>
        </is>
      </c>
      <c r="K986" t="inlineStr">
        <is>
          <t>🔥低粉爆款</t>
        </is>
      </c>
      <c r="L986" t="inlineStr">
        <is>
          <t>sweet果记的店</t>
        </is>
      </c>
      <c r="M986">
        <v>31000</v>
      </c>
      <c r="N986">
        <v>4.49</v>
      </c>
      <c r="O986">
        <v>333000</v>
      </c>
      <c r="P986" t="inlineStr">
        <is>
          <t>68e761d5702da10001978363</t>
        </is>
      </c>
      <c r="Q986" t="inlineStr">
        <is>
          <t>🚫重复</t>
        </is>
      </c>
      <c r="R986" t="inlineStr">
        <is>
          <t>14周</t>
        </is>
      </c>
      <c r="S986" t="inlineStr">
        <is>
          <t>5.94</t>
        </is>
      </c>
      <c r="T986" t="inlineStr">
        <is>
          <t>美食滋补</t>
        </is>
      </c>
      <c r="U986" t="inlineStr">
        <is>
          <t>生鲜特产</t>
        </is>
      </c>
      <c r="V986" s="3">
        <v>46112.78107638889</v>
      </c>
      <c r="W986" t="inlineStr">
        <is>
          <t>2026-Q1</t>
        </is>
      </c>
    </row>
    <row r="987" ht="25.5" customHeight="1">
      <c r="A987" t="inlineStr">
        <is>
          <t>金煌芒（放软食用）新鲜热带水果 青皮/黄皮甜心芒</t>
        </is>
      </c>
      <c r="B987" t="inlineStr">
        <is>
          <t>recvei9USZ1buR.jpg</t>
        </is>
      </c>
      <c r="C987" s="2" t="str">
        <f>=HYPERLINK("https://xhslink.com/m/2FLVbyhkW5e", "https://xhslink.com/m/2FLVbyhkW5e")</f>
        <v>https://xhslink.com/m/2FLVbyhkW5e</v>
      </c>
      <c r="D987"/>
      <c r="E987">
        <v>717000</v>
      </c>
      <c r="F987">
        <v>35.9</v>
      </c>
      <c r="G987"/>
      <c r="H987">
        <v>300</v>
      </c>
      <c r="I987" t="inlineStr">
        <is>
          <t>水果</t>
        </is>
      </c>
      <c r="J987" t="inlineStr">
        <is>
          <t>0.00</t>
        </is>
      </c>
      <c r="K987" t="inlineStr">
        <is>
          <t>🔥低粉爆款</t>
        </is>
      </c>
      <c r="L987" t="inlineStr">
        <is>
          <t>朱一一的水果铺的店</t>
        </is>
      </c>
      <c r="M987">
        <v>28000</v>
      </c>
      <c r="N987">
        <v>4.57</v>
      </c>
      <c r="O987">
        <v>555000</v>
      </c>
      <c r="P987" t="inlineStr">
        <is>
          <t>65fc2e6e6b92310001d24f06</t>
        </is>
      </c>
      <c r="Q987" t="inlineStr">
        <is>
          <t>🚫重复</t>
        </is>
      </c>
      <c r="R987" t="inlineStr">
        <is>
          <t>14周</t>
        </is>
      </c>
      <c r="S987" t="inlineStr">
        <is>
          <t>25.61</t>
        </is>
      </c>
      <c r="T987" t="inlineStr">
        <is>
          <t>美食滋补</t>
        </is>
      </c>
      <c r="U987" t="inlineStr">
        <is>
          <t>生鲜特产</t>
        </is>
      </c>
      <c r="V987" s="3">
        <v>46112.78107638889</v>
      </c>
      <c r="W987" t="inlineStr">
        <is>
          <t>2026-Q1</t>
        </is>
      </c>
    </row>
    <row r="988" ht="25.5" customHeight="1">
      <c r="A988" t="inlineStr">
        <is>
          <t>潮汕甘草梅汁水果青芒果菠萝芭乐李子脆桃拖桃酸甜脆口解馋</t>
        </is>
      </c>
      <c r="B988" t="inlineStr">
        <is>
          <t>recvei9USZV96X.jpg</t>
        </is>
      </c>
      <c r="C988" s="2" t="str">
        <f>=HYPERLINK("https://xhslink.com/m/6cwEB0sDmzI", "https://xhslink.com/m/6cwEB0sDmzI")</f>
        <v>https://xhslink.com/m/6cwEB0sDmzI</v>
      </c>
      <c r="D988"/>
      <c r="E988">
        <v>46000</v>
      </c>
      <c r="F988">
        <v>79.8</v>
      </c>
      <c r="G988"/>
      <c r="H988">
        <v>300</v>
      </c>
      <c r="I988" t="inlineStr">
        <is>
          <t>水果</t>
        </is>
      </c>
      <c r="J988" t="inlineStr">
        <is>
          <t>0.01</t>
        </is>
      </c>
      <c r="K988" t="inlineStr">
        <is>
          <t>🔥低粉爆款</t>
        </is>
      </c>
      <c r="L988" t="inlineStr">
        <is>
          <t>小洽同学（梅汁水果）的店</t>
        </is>
      </c>
      <c r="M988">
        <v>5327</v>
      </c>
      <c r="N988">
        <v>4.6</v>
      </c>
      <c r="O988">
        <v>56000</v>
      </c>
      <c r="P988" t="inlineStr">
        <is>
          <t>65f0384f49c39e0001c69008</t>
        </is>
      </c>
      <c r="Q988" t="inlineStr">
        <is>
          <t>🚫重复</t>
        </is>
      </c>
      <c r="R988" t="inlineStr">
        <is>
          <t>14周</t>
        </is>
      </c>
      <c r="S988" t="inlineStr">
        <is>
          <t>8.64</t>
        </is>
      </c>
      <c r="T988" t="inlineStr">
        <is>
          <t>美食滋补</t>
        </is>
      </c>
      <c r="U988" t="inlineStr">
        <is>
          <t>生鲜特产</t>
        </is>
      </c>
      <c r="V988" s="3">
        <v>46112.78107638889</v>
      </c>
      <c r="W988" t="inlineStr">
        <is>
          <t>2026-Q1</t>
        </is>
      </c>
    </row>
    <row r="989" ht="25.5" customHeight="1">
      <c r="A989" t="inlineStr">
        <is>
          <t>陕西老树秦冠粉面苹果香甜软糯宝宝老人刮泥水果粉面甜</t>
        </is>
      </c>
      <c r="B989" t="inlineStr">
        <is>
          <t>recvei9USZcFY3.jpg</t>
        </is>
      </c>
      <c r="C989" s="2" t="str">
        <f>=HYPERLINK("https://xhslink.com/m/3lyeLBj41C", "https://xhslink.com/m/3lyeLBj41C")</f>
        <v>https://xhslink.com/m/3lyeLBj41C</v>
      </c>
      <c r="D989"/>
      <c r="E989">
        <v>491000</v>
      </c>
      <c r="F989">
        <v>61.9</v>
      </c>
      <c r="G989">
        <v>50.9</v>
      </c>
      <c r="H989">
        <v>300</v>
      </c>
      <c r="I989" t="inlineStr">
        <is>
          <t>水果</t>
        </is>
      </c>
      <c r="J989" t="inlineStr">
        <is>
          <t>0.00</t>
        </is>
      </c>
      <c r="K989" t="inlineStr">
        <is>
          <t>🔥低粉爆款</t>
        </is>
      </c>
      <c r="L989" t="inlineStr">
        <is>
          <t>玫玫爱吃水果的店</t>
        </is>
      </c>
      <c r="M989">
        <v>4990</v>
      </c>
      <c r="N989">
        <v>4.53</v>
      </c>
      <c r="O989">
        <v>118000</v>
      </c>
      <c r="P989" t="inlineStr">
        <is>
          <t>659e0c52514b1f000127757c</t>
        </is>
      </c>
      <c r="Q989"/>
      <c r="R989" t="inlineStr">
        <is>
          <t>14周</t>
        </is>
      </c>
      <c r="S989" t="inlineStr">
        <is>
          <t>98.40</t>
        </is>
      </c>
      <c r="T989" t="inlineStr">
        <is>
          <t>美食滋补</t>
        </is>
      </c>
      <c r="U989" t="inlineStr">
        <is>
          <t>生鲜特产</t>
        </is>
      </c>
      <c r="V989" s="3">
        <v>46112.78107638889</v>
      </c>
      <c r="W989" t="inlineStr">
        <is>
          <t>2026-Q1</t>
        </is>
      </c>
    </row>
    <row r="990" ht="25.5" customHeight="1">
      <c r="A990" t="inlineStr">
        <is>
          <t>【顺丰包邮】云南花香蓝莓又脆又甜高山蓝莓25号新鲜孕妇辅食水果</t>
        </is>
      </c>
      <c r="B990" t="inlineStr">
        <is>
          <t>recvei9USZusQN.jpg</t>
        </is>
      </c>
      <c r="C990" s="2" t="str">
        <f>=HYPERLINK("https://xhslink.com/m/5nN58DeKXKY", "https://xhslink.com/m/5nN58DeKXKY")</f>
        <v>https://xhslink.com/m/5nN58DeKXKY</v>
      </c>
      <c r="D990"/>
      <c r="E990">
        <v>9567</v>
      </c>
      <c r="F990">
        <v>79.8</v>
      </c>
      <c r="G990">
        <v>49.8</v>
      </c>
      <c r="H990">
        <v>300</v>
      </c>
      <c r="I990" t="inlineStr">
        <is>
          <t>水果</t>
        </is>
      </c>
      <c r="J990" t="inlineStr">
        <is>
          <t>0.03</t>
        </is>
      </c>
      <c r="K990" t="inlineStr">
        <is>
          <t>🔥低粉爆款</t>
        </is>
      </c>
      <c r="L990" t="inlineStr">
        <is>
          <t>佰惠鲜果的店</t>
        </is>
      </c>
      <c r="M990">
        <v>15</v>
      </c>
      <c r="N990">
        <v>4.77</v>
      </c>
      <c r="O990">
        <v>10000</v>
      </c>
      <c r="P990" t="inlineStr">
        <is>
          <t>69a51eb785eac8000102000c</t>
        </is>
      </c>
      <c r="Q990"/>
      <c r="R990" t="inlineStr">
        <is>
          <t>14周</t>
        </is>
      </c>
      <c r="S990" t="inlineStr">
        <is>
          <t>637.80</t>
        </is>
      </c>
      <c r="T990" t="inlineStr">
        <is>
          <t>美食滋补</t>
        </is>
      </c>
      <c r="U990" t="inlineStr">
        <is>
          <t>生鲜特产</t>
        </is>
      </c>
      <c r="V990" s="3">
        <v>46112.78107638889</v>
      </c>
      <c r="W990" t="inlineStr">
        <is>
          <t>2026-Q1</t>
        </is>
      </c>
    </row>
    <row r="991" ht="25.5" customHeight="1">
      <c r="A991" t="inlineStr">
        <is>
          <t>【顺丰精选】云南波姬红无花果香甜软糯新鲜孕妇水果精品无花果</t>
        </is>
      </c>
      <c r="B991" t="inlineStr">
        <is>
          <t>recvei9USZahnw.jpg</t>
        </is>
      </c>
      <c r="C991" s="2" t="str">
        <f>=HYPERLINK("https://xhslink.com/m/9CYpwsOvuYP", "https://xhslink.com/m/9CYpwsOvuYP")</f>
        <v>https://xhslink.com/m/9CYpwsOvuYP</v>
      </c>
      <c r="D991"/>
      <c r="E991">
        <v>3877</v>
      </c>
      <c r="F991">
        <v>96.9</v>
      </c>
      <c r="G991">
        <v>76.9</v>
      </c>
      <c r="H991">
        <v>300</v>
      </c>
      <c r="I991" t="inlineStr">
        <is>
          <t>水果</t>
        </is>
      </c>
      <c r="J991" t="inlineStr">
        <is>
          <t>0.08</t>
        </is>
      </c>
      <c r="K991" t="inlineStr">
        <is>
          <t>🔥低粉爆款</t>
        </is>
      </c>
      <c r="L991" t="inlineStr">
        <is>
          <t>薯壹生鲜的店</t>
        </is>
      </c>
      <c r="M991">
        <v>363</v>
      </c>
      <c r="N991">
        <v>4.36</v>
      </c>
      <c r="O991">
        <v>123000</v>
      </c>
      <c r="P991" t="inlineStr">
        <is>
          <t>698046824937e70001c37e7f</t>
        </is>
      </c>
      <c r="Q991"/>
      <c r="R991" t="inlineStr">
        <is>
          <t>14周</t>
        </is>
      </c>
      <c r="S991" t="inlineStr">
        <is>
          <t>10.68</t>
        </is>
      </c>
      <c r="T991" t="inlineStr">
        <is>
          <t>美食滋补</t>
        </is>
      </c>
      <c r="U991" t="inlineStr">
        <is>
          <t>生鲜特产</t>
        </is>
      </c>
      <c r="V991" s="3">
        <v>46112.78107638889</v>
      </c>
      <c r="W991" t="inlineStr">
        <is>
          <t>2026-Q1</t>
        </is>
      </c>
    </row>
    <row r="992" ht="25.5" customHeight="1">
      <c r="A992" t="inlineStr">
        <is>
          <t>杯子ins高颜值简约小众新款便携耐高温网红爆款学生茶水分离礼物</t>
        </is>
      </c>
      <c r="B992" t="inlineStr">
        <is>
          <t>recvei9USZgCuT.jpg</t>
        </is>
      </c>
      <c r="C992" s="2" t="str">
        <f>=HYPERLINK("https://xhslink.com/m/8Z6J64BxLOx", "https://xhslink.com/m/8Z6J64BxLOx")</f>
        <v>https://xhslink.com/m/8Z6J64BxLOx</v>
      </c>
      <c r="D992"/>
      <c r="E992">
        <v>19000</v>
      </c>
      <c r="F992">
        <v>16.8</v>
      </c>
      <c r="G992"/>
      <c r="H992">
        <v>300</v>
      </c>
      <c r="I992" t="inlineStr">
        <is>
          <t>厨房</t>
        </is>
      </c>
      <c r="J992" t="inlineStr">
        <is>
          <t>0.02</t>
        </is>
      </c>
      <c r="K992" t="inlineStr">
        <is>
          <t>🔥低粉爆款</t>
        </is>
      </c>
      <c r="L992" t="inlineStr">
        <is>
          <t>叁叁爱喝水的店</t>
        </is>
      </c>
      <c r="M992">
        <v>1455</v>
      </c>
      <c r="N992">
        <v>4.47</v>
      </c>
      <c r="O992">
        <v>21000</v>
      </c>
      <c r="P992" t="inlineStr">
        <is>
          <t>65e1dd84b3f28d00010d6652</t>
        </is>
      </c>
      <c r="Q992"/>
      <c r="R992" t="inlineStr">
        <is>
          <t>14周</t>
        </is>
      </c>
      <c r="S992" t="inlineStr">
        <is>
          <t>13.06</t>
        </is>
      </c>
      <c r="T992" t="inlineStr">
        <is>
          <t>家居生活</t>
        </is>
      </c>
      <c r="U992" t="inlineStr">
        <is>
          <t>厨房餐饮</t>
        </is>
      </c>
      <c r="V992" s="3">
        <v>46112.78107638889</v>
      </c>
      <c r="W992" t="inlineStr">
        <is>
          <t>2026-Q1</t>
        </is>
      </c>
    </row>
    <row r="993" ht="25.5" customHeight="1">
      <c r="A993" t="inlineStr">
        <is>
          <t>桌子女生卧室ins风化妆桌学生家用简约白色书桌简易出租屋电脑桌</t>
        </is>
      </c>
      <c r="B993" t="inlineStr">
        <is>
          <t>recvei9USZDiiB.jpg</t>
        </is>
      </c>
      <c r="C993" s="2" t="str">
        <f>=HYPERLINK("https://xhslink.com/m/7pgHV5rOJyV", "https://xhslink.com/m/7pgHV5rOJyV")</f>
        <v>https://xhslink.com/m/7pgHV5rOJyV</v>
      </c>
      <c r="D993"/>
      <c r="E993">
        <v>10000</v>
      </c>
      <c r="F993">
        <v>208</v>
      </c>
      <c r="G993"/>
      <c r="H993">
        <v>300</v>
      </c>
      <c r="I993" t="inlineStr">
        <is>
          <t>家用</t>
        </is>
      </c>
      <c r="J993" t="inlineStr">
        <is>
          <t>0.03</t>
        </is>
      </c>
      <c r="K993" t="inlineStr">
        <is>
          <t>🔥低粉爆款</t>
        </is>
      </c>
      <c r="L993" t="inlineStr">
        <is>
          <t>可可小佳的店</t>
        </is>
      </c>
      <c r="M993">
        <v>260</v>
      </c>
      <c r="N993">
        <v>4.39</v>
      </c>
      <c r="O993">
        <v>10000</v>
      </c>
      <c r="P993" t="inlineStr">
        <is>
          <t>6926fc43b8c5080001832279</t>
        </is>
      </c>
      <c r="Q993" t="inlineStr">
        <is>
          <t>🚫重复</t>
        </is>
      </c>
      <c r="R993" t="inlineStr">
        <is>
          <t>14周</t>
        </is>
      </c>
      <c r="S993" t="inlineStr">
        <is>
          <t>38.46</t>
        </is>
      </c>
      <c r="T993" t="inlineStr">
        <is>
          <t>家居生活</t>
        </is>
      </c>
      <c r="U993" t="inlineStr">
        <is>
          <t>家具家装</t>
        </is>
      </c>
      <c r="V993" s="3">
        <v>46112.78107638889</v>
      </c>
      <c r="W993" t="inlineStr">
        <is>
          <t>2026-Q1</t>
        </is>
      </c>
    </row>
    <row r="994" ht="25.5" customHeight="1">
      <c r="A994" t="inlineStr">
        <is>
          <t>「洋牡丹」随机色（4单一个运费）0°不拍保温不售后</t>
        </is>
      </c>
      <c r="B994" t="inlineStr">
        <is>
          <t>recvei9USZZZB9.jpg</t>
        </is>
      </c>
      <c r="C994" s="2" t="str">
        <f>=HYPERLINK("https://xhslink.com/m/77LhN24BYkY", "https://xhslink.com/m/77LhN24BYkY")</f>
        <v>https://xhslink.com/m/77LhN24BYkY</v>
      </c>
      <c r="D994"/>
      <c r="E994">
        <v>8490</v>
      </c>
      <c r="F994">
        <v>9.99</v>
      </c>
      <c r="G994"/>
      <c r="H994">
        <v>300</v>
      </c>
      <c r="I994" t="inlineStr">
        <is>
          <t>绿植</t>
        </is>
      </c>
      <c r="J994" t="inlineStr">
        <is>
          <t>0.04</t>
        </is>
      </c>
      <c r="K994"/>
      <c r="L994" t="inlineStr">
        <is>
          <t>康健卖花了的店</t>
        </is>
      </c>
      <c r="M994">
        <v>44000</v>
      </c>
      <c r="N994">
        <v>4.18</v>
      </c>
      <c r="O994">
        <v>158000</v>
      </c>
      <c r="P994" t="inlineStr">
        <is>
          <t>691c5c22e8b9d40001d8db5c</t>
        </is>
      </c>
      <c r="Q994" t="inlineStr">
        <is>
          <t>🚫重复</t>
        </is>
      </c>
      <c r="R994" t="inlineStr">
        <is>
          <t>14周</t>
        </is>
      </c>
      <c r="S994" t="inlineStr">
        <is>
          <t>0.19</t>
        </is>
      </c>
      <c r="T994" t="inlineStr">
        <is>
          <t>家居生活</t>
        </is>
      </c>
      <c r="U994" t="inlineStr">
        <is>
          <t>家具家装</t>
        </is>
      </c>
      <c r="V994" s="3">
        <v>46112.78107638889</v>
      </c>
      <c r="W994" t="inlineStr">
        <is>
          <t>2026-Q1</t>
        </is>
      </c>
    </row>
    <row r="995" ht="25.5" customHeight="1">
      <c r="A995" t="inlineStr">
        <is>
          <t>原切安格斯M3谷饲150天眼肉牛排原切健身雪花新鲜牛肉0添加牛扒</t>
        </is>
      </c>
      <c r="B995" t="inlineStr">
        <is>
          <t>recvei9USZMuRD.jpg</t>
        </is>
      </c>
      <c r="C995" s="2" t="str">
        <f>=HYPERLINK("https://xhslink.com/m/6N3ReEl07E", "https://xhslink.com/m/6N3ReEl07E")</f>
        <v>https://xhslink.com/m/6N3ReEl07E</v>
      </c>
      <c r="D995"/>
      <c r="E995">
        <v>12000</v>
      </c>
      <c r="F995">
        <v>249</v>
      </c>
      <c r="G995">
        <v>144</v>
      </c>
      <c r="H995">
        <v>300</v>
      </c>
      <c r="I995" t="inlineStr">
        <is>
          <t>生鲜</t>
        </is>
      </c>
      <c r="J995" t="inlineStr">
        <is>
          <t>0.03</t>
        </is>
      </c>
      <c r="K995" t="inlineStr">
        <is>
          <t>🔥低粉爆款</t>
        </is>
      </c>
      <c r="L995" t="inlineStr">
        <is>
          <t>牛牛镖局的店</t>
        </is>
      </c>
      <c r="M995">
        <v>2073</v>
      </c>
      <c r="N995">
        <v>4.78</v>
      </c>
      <c r="O995">
        <v>19000</v>
      </c>
      <c r="P995" t="inlineStr">
        <is>
          <t>67090d9075e23c000146946e</t>
        </is>
      </c>
      <c r="Q995"/>
      <c r="R995" t="inlineStr">
        <is>
          <t>14周</t>
        </is>
      </c>
      <c r="S995" t="inlineStr">
        <is>
          <t>5.79</t>
        </is>
      </c>
      <c r="T995" t="inlineStr">
        <is>
          <t>美食滋补</t>
        </is>
      </c>
      <c r="U995" t="inlineStr">
        <is>
          <t>生鲜特产</t>
        </is>
      </c>
      <c r="V995" s="3">
        <v>46112.78107638889</v>
      </c>
      <c r="W995" t="inlineStr">
        <is>
          <t>2026-Q1</t>
        </is>
      </c>
    </row>
    <row r="996" ht="25.5" customHeight="1">
      <c r="A996" t="inlineStr">
        <is>
          <t>尚梦坊 · 纯棉四件套学生洛丽塔卡通卧室宿舍全棉四件套三件套</t>
        </is>
      </c>
      <c r="B996" t="inlineStr">
        <is>
          <t>recvei9USZJxum.jpg</t>
        </is>
      </c>
      <c r="C996" s="2" t="str">
        <f>=HYPERLINK("https://xhslink.com/m/5fMKSo4knRc", "https://xhslink.com/m/5fMKSo4knRc")</f>
        <v>https://xhslink.com/m/5fMKSo4knRc</v>
      </c>
      <c r="D996"/>
      <c r="E996">
        <v>1443</v>
      </c>
      <c r="F996">
        <v>179</v>
      </c>
      <c r="G996">
        <v>116</v>
      </c>
      <c r="H996">
        <v>300</v>
      </c>
      <c r="I996" t="inlineStr">
        <is>
          <t>家居</t>
        </is>
      </c>
      <c r="J996" t="inlineStr">
        <is>
          <t>0.21</t>
        </is>
      </c>
      <c r="K996"/>
      <c r="L996" t="inlineStr">
        <is>
          <t>卖四件套的小Q的店</t>
        </is>
      </c>
      <c r="M996">
        <v>2840</v>
      </c>
      <c r="N996">
        <v>4.61</v>
      </c>
      <c r="O996">
        <v>6263</v>
      </c>
      <c r="P996" t="inlineStr">
        <is>
          <t>676cf429915f750015ca141e</t>
        </is>
      </c>
      <c r="Q996" t="inlineStr">
        <is>
          <t>🚫重复</t>
        </is>
      </c>
      <c r="R996" t="inlineStr">
        <is>
          <t>14周</t>
        </is>
      </c>
      <c r="S996" t="inlineStr">
        <is>
          <t>0.51</t>
        </is>
      </c>
      <c r="T996" t="inlineStr">
        <is>
          <t>家居生活</t>
        </is>
      </c>
      <c r="U996" t="inlineStr">
        <is>
          <t>家居日用</t>
        </is>
      </c>
      <c r="V996" s="3">
        <v>46112.78107638889</v>
      </c>
      <c r="W996" t="inlineStr">
        <is>
          <t>2026-Q1</t>
        </is>
      </c>
    </row>
    <row r="997" ht="25.5" customHeight="1">
      <c r="A997" t="inlineStr">
        <is>
          <t>复古显瘦方头拼接3cm粗跟显瘦弹力瘦瘦靴通勤短靴秋冬新款</t>
        </is>
      </c>
      <c r="B997" t="inlineStr">
        <is>
          <t>recvekduUItGnf.jpg</t>
        </is>
      </c>
      <c r="C997" s="2" t="str">
        <f>=HYPERLINK("https://xhslink.com/m/37i8Oqd3EIm", "https://xhslink.com/m/37i8Oqd3EIm")</f>
        <v>https://xhslink.com/m/37i8Oqd3EIm</v>
      </c>
      <c r="D997"/>
      <c r="E997">
        <v>27000</v>
      </c>
      <c r="F997">
        <v>258</v>
      </c>
      <c r="G997">
        <v>153</v>
      </c>
      <c r="H997">
        <v>300</v>
      </c>
      <c r="I997" t="inlineStr">
        <is>
          <t>鞋靴</t>
        </is>
      </c>
      <c r="J997" t="inlineStr">
        <is>
          <t>0.01</t>
        </is>
      </c>
      <c r="K997" t="inlineStr">
        <is>
          <t>🔥低粉爆款</t>
        </is>
      </c>
      <c r="L997" t="inlineStr">
        <is>
          <t>步履哒哒哒的店</t>
        </is>
      </c>
      <c r="M997">
        <v>1383</v>
      </c>
      <c r="N997">
        <v>4.69</v>
      </c>
      <c r="O997">
        <v>42000</v>
      </c>
      <c r="P997" t="inlineStr">
        <is>
          <t>6908b423b96b160001a21278</t>
        </is>
      </c>
      <c r="Q997"/>
      <c r="R997" t="inlineStr">
        <is>
          <t>14周</t>
        </is>
      </c>
      <c r="S997" t="inlineStr">
        <is>
          <t>19.52</t>
        </is>
      </c>
      <c r="T997" t="inlineStr">
        <is>
          <t>服饰穿搭</t>
        </is>
      </c>
      <c r="U997" t="inlineStr">
        <is>
          <t>鞋靴箱包</t>
        </is>
      </c>
      <c r="V997" s="3">
        <v>46112.78107638889</v>
      </c>
      <c r="W997" t="inlineStr">
        <is>
          <t>2026-Q1</t>
        </is>
      </c>
    </row>
    <row r="998" ht="25.5" customHeight="1">
      <c r="A998" t="inlineStr">
        <is>
          <t>【修饰腿型】简约显瘦牛仔裤女秋季韩版百搭宽松高腰小弯刀休闲裤</t>
        </is>
      </c>
      <c r="B998" t="inlineStr">
        <is>
          <t>recvekduUIHXMO.jpg</t>
        </is>
      </c>
      <c r="C998" s="2" t="str">
        <f>=HYPERLINK("https://xhslink.com/m/6zWoN9qu8AC", "https://xhslink.com/m/6zWoN9qu8AC")</f>
        <v>https://xhslink.com/m/6zWoN9qu8AC</v>
      </c>
      <c r="D998"/>
      <c r="E998">
        <v>2648</v>
      </c>
      <c r="F998">
        <v>99</v>
      </c>
      <c r="G998">
        <v>93</v>
      </c>
      <c r="H998">
        <v>300</v>
      </c>
      <c r="I998" t="inlineStr">
        <is>
          <t>牛仔裤</t>
        </is>
      </c>
      <c r="J998" t="inlineStr">
        <is>
          <t>0.11</t>
        </is>
      </c>
      <c r="K998"/>
      <c r="L998" t="inlineStr">
        <is>
          <t>大圆穿搭分享的店</t>
        </is>
      </c>
      <c r="M998">
        <v>6652</v>
      </c>
      <c r="N998">
        <v>4.73</v>
      </c>
      <c r="O998">
        <v>91000</v>
      </c>
      <c r="P998" t="inlineStr">
        <is>
          <t>68b2dd8fec7fed00010f911e</t>
        </is>
      </c>
      <c r="Q998"/>
      <c r="R998" t="inlineStr">
        <is>
          <t>14周</t>
        </is>
      </c>
      <c r="S998" t="inlineStr">
        <is>
          <t>0.40</t>
        </is>
      </c>
      <c r="T998" t="inlineStr">
        <is>
          <t>服饰穿搭</t>
        </is>
      </c>
      <c r="U998" t="inlineStr">
        <is>
          <t>女装</t>
        </is>
      </c>
      <c r="V998" s="3">
        <v>46112.78107638889</v>
      </c>
      <c r="W998" t="inlineStr">
        <is>
          <t>2026-Q1</t>
        </is>
      </c>
    </row>
    <row r="999" ht="25.5" customHeight="1">
      <c r="A999" t="inlineStr">
        <is>
          <t>FF&amp;X.春夏高腰四面弹梨形显瘦遮垮直筒微喇女士牛仔裤5100</t>
        </is>
      </c>
      <c r="B999" t="inlineStr">
        <is>
          <t>recvekduUIa34m.jpg</t>
        </is>
      </c>
      <c r="C999" s="2" t="str">
        <f>=HYPERLINK("https://xhslink.com/m/8o3cg4oLJgA", "https://xhslink.com/m/8o3cg4oLJgA")</f>
        <v>https://xhslink.com/m/8o3cg4oLJgA</v>
      </c>
      <c r="D999"/>
      <c r="E999">
        <v>3504</v>
      </c>
      <c r="F999">
        <v>298</v>
      </c>
      <c r="G999">
        <v>270</v>
      </c>
      <c r="H999">
        <v>300</v>
      </c>
      <c r="I999" t="inlineStr">
        <is>
          <t>牛仔裤</t>
        </is>
      </c>
      <c r="J999" t="inlineStr">
        <is>
          <t>0.09</t>
        </is>
      </c>
      <c r="K999" t="inlineStr">
        <is>
          <t>🔥低粉爆款</t>
        </is>
      </c>
      <c r="L999" t="inlineStr">
        <is>
          <t>方方夏的店</t>
        </is>
      </c>
      <c r="M999">
        <v>249</v>
      </c>
      <c r="N999">
        <v>4.6</v>
      </c>
      <c r="O999">
        <v>3672</v>
      </c>
      <c r="P999" t="inlineStr">
        <is>
          <t>6939872ff994e6000151f58c</t>
        </is>
      </c>
      <c r="Q999" t="inlineStr">
        <is>
          <t>🚫重复</t>
        </is>
      </c>
      <c r="R999" t="inlineStr">
        <is>
          <t>14周</t>
        </is>
      </c>
      <c r="S999" t="inlineStr">
        <is>
          <t>14.07</t>
        </is>
      </c>
      <c r="T999" t="inlineStr">
        <is>
          <t>服饰穿搭</t>
        </is>
      </c>
      <c r="U999" t="inlineStr">
        <is>
          <t>女装</t>
        </is>
      </c>
      <c r="V999" s="3">
        <v>46112.78107638889</v>
      </c>
      <c r="W999" t="inlineStr">
        <is>
          <t>2026-Q1</t>
        </is>
      </c>
    </row>
    <row r="1000" ht="25.5" customHeight="1">
      <c r="A1000" t="inlineStr">
        <is>
          <t>新疆肉馕牛肉馕羊肉馕烤馕现做现发请看购前必读【顺丰空运】</t>
        </is>
      </c>
      <c r="B1000" t="inlineStr">
        <is>
          <t>recvekduUIZ0CA.jpg</t>
        </is>
      </c>
      <c r="C1000" s="2" t="str">
        <f>=HYPERLINK("https://xhslink.com/m/7OZp4fQGYEB", "https://xhslink.com/m/7OZp4fQGYEB")</f>
        <v>https://xhslink.com/m/7OZp4fQGYEB</v>
      </c>
      <c r="D1000"/>
      <c r="E1000">
        <v>10000</v>
      </c>
      <c r="F1000">
        <v>69.8</v>
      </c>
      <c r="G1000"/>
      <c r="H1000">
        <v>300</v>
      </c>
      <c r="I1000" t="inlineStr">
        <is>
          <t>速食冻品</t>
        </is>
      </c>
      <c r="J1000" t="inlineStr">
        <is>
          <t>0.03</t>
        </is>
      </c>
      <c r="K1000" t="inlineStr">
        <is>
          <t>🔥低粉爆款</t>
        </is>
      </c>
      <c r="L1000" t="inlineStr">
        <is>
          <t>品四季生鲜的店</t>
        </is>
      </c>
      <c r="M1000">
        <v>2910</v>
      </c>
      <c r="N1000">
        <v>4.58</v>
      </c>
      <c r="O1000">
        <v>131000</v>
      </c>
      <c r="P1000" t="inlineStr">
        <is>
          <t>6713c070fe8531000111c271</t>
        </is>
      </c>
      <c r="Q1000" t="inlineStr">
        <is>
          <t>🚫重复</t>
        </is>
      </c>
      <c r="R1000" t="inlineStr">
        <is>
          <t>14周</t>
        </is>
      </c>
      <c r="S1000" t="inlineStr">
        <is>
          <t>3.44</t>
        </is>
      </c>
      <c r="T1000" t="inlineStr">
        <is>
          <t>美食滋补</t>
        </is>
      </c>
      <c r="U1000" t="inlineStr">
        <is>
          <t>生鲜特产</t>
        </is>
      </c>
      <c r="V1000" s="3">
        <v>46112.78107638889</v>
      </c>
      <c r="W1000" t="inlineStr">
        <is>
          <t>2026-Q1</t>
        </is>
      </c>
    </row>
    <row r="1001" ht="25.5" customHeight="1">
      <c r="A1001" t="inlineStr">
        <is>
          <t>真贝贝小南瓜新鲜小南瓜板栗味老南瓜婴儿宝贝辅食水果蔬菜</t>
        </is>
      </c>
      <c r="B1001" t="inlineStr">
        <is>
          <t>recvekduUIghg5.jpg</t>
        </is>
      </c>
      <c r="C1001" s="2" t="str">
        <f>=HYPERLINK("https://xhslink.com/m/AuKxYLeb71V", "https://xhslink.com/m/AuKxYLeb71V")</f>
        <v>https://xhslink.com/m/AuKxYLeb71V</v>
      </c>
      <c r="D1001"/>
      <c r="E1001">
        <v>48000</v>
      </c>
      <c r="F1001">
        <v>48.8</v>
      </c>
      <c r="G1001">
        <v>28.8</v>
      </c>
      <c r="H1001">
        <v>300</v>
      </c>
      <c r="I1001" t="inlineStr">
        <is>
          <t>蔬菜</t>
        </is>
      </c>
      <c r="J1001" t="inlineStr">
        <is>
          <t>0.01</t>
        </is>
      </c>
      <c r="K1001" t="inlineStr">
        <is>
          <t>🔥低粉爆款</t>
        </is>
      </c>
      <c r="L1001" t="inlineStr">
        <is>
          <t>世上无南事的店</t>
        </is>
      </c>
      <c r="M1001">
        <v>218</v>
      </c>
      <c r="N1001">
        <v>4.37</v>
      </c>
      <c r="O1001">
        <v>48000</v>
      </c>
      <c r="P1001" t="inlineStr">
        <is>
          <t>68aebb01fba5440001c49902</t>
        </is>
      </c>
      <c r="Q1001"/>
      <c r="R1001" t="inlineStr">
        <is>
          <t>14周</t>
        </is>
      </c>
      <c r="S1001" t="inlineStr">
        <is>
          <t>220.18</t>
        </is>
      </c>
      <c r="T1001" t="inlineStr">
        <is>
          <t>母婴亲子</t>
        </is>
      </c>
      <c r="U1001" t="inlineStr">
        <is>
          <t>婴幼用品</t>
        </is>
      </c>
      <c r="V1001" s="3">
        <v>46112.78107638889</v>
      </c>
      <c r="W1001" t="inlineStr">
        <is>
          <t>2026-Q1</t>
        </is>
      </c>
    </row>
    <row r="1002" ht="25.5" customHeight="1">
      <c r="A1002" t="inlineStr">
        <is>
          <t>云南【牛奶小芋头】正宗毛芋头新鲜现挖粉糯农家香芋粗粮新鲜果蔬</t>
        </is>
      </c>
      <c r="B1002" t="inlineStr">
        <is>
          <t>recvekduUIPsy3.jpg</t>
        </is>
      </c>
      <c r="C1002" s="2" t="str">
        <f>=HYPERLINK("https://xhslink.com/m/73aLqYN1gC6", "https://xhslink.com/m/73aLqYN1gC6")</f>
        <v>https://xhslink.com/m/73aLqYN1gC6</v>
      </c>
      <c r="D1002"/>
      <c r="E1002">
        <v>55000</v>
      </c>
      <c r="F1002">
        <v>33.9</v>
      </c>
      <c r="G1002">
        <v>23.9</v>
      </c>
      <c r="H1002">
        <v>300</v>
      </c>
      <c r="I1002" t="inlineStr">
        <is>
          <t>蔬菜</t>
        </is>
      </c>
      <c r="J1002" t="inlineStr">
        <is>
          <t>0.01</t>
        </is>
      </c>
      <c r="K1002" t="inlineStr">
        <is>
          <t>🔥低粉爆款</t>
        </is>
      </c>
      <c r="L1002" t="inlineStr">
        <is>
          <t>薯贰优选的店</t>
        </is>
      </c>
      <c r="M1002">
        <v>75</v>
      </c>
      <c r="N1002">
        <v>4.57</v>
      </c>
      <c r="O1002">
        <v>60000</v>
      </c>
      <c r="P1002" t="inlineStr">
        <is>
          <t>69003832ce94ee0001ca45b7</t>
        </is>
      </c>
      <c r="Q1002"/>
      <c r="R1002" t="inlineStr">
        <is>
          <t>14周</t>
        </is>
      </c>
      <c r="S1002" t="inlineStr">
        <is>
          <t>733.33</t>
        </is>
      </c>
      <c r="T1002" t="inlineStr">
        <is>
          <t>美食滋补</t>
        </is>
      </c>
      <c r="U1002" t="inlineStr">
        <is>
          <t>酒水冲饮</t>
        </is>
      </c>
      <c r="V1002" s="3">
        <v>46112.78107638889</v>
      </c>
      <c r="W1002" t="inlineStr">
        <is>
          <t>2026-Q1</t>
        </is>
      </c>
    </row>
    <row r="1003" ht="25.5" customHeight="1">
      <c r="A1003" t="inlineStr">
        <is>
          <t>innnc原创！kitty凯蒂猫车载香薰出风口香薰摆件香水香氛持久高级</t>
        </is>
      </c>
      <c r="B1003" t="inlineStr">
        <is>
          <t>recvekduUIDEbW.jpg</t>
        </is>
      </c>
      <c r="C1003" s="2" t="str">
        <f>=HYPERLINK("https://xhslink.com/m/98K5Mrz3zpu", "https://xhslink.com/m/98K5Mrz3zpu")</f>
        <v>https://xhslink.com/m/98K5Mrz3zpu</v>
      </c>
      <c r="D1003"/>
      <c r="E1003">
        <v>3019</v>
      </c>
      <c r="F1003">
        <v>38</v>
      </c>
      <c r="G1003">
        <v>26.9</v>
      </c>
      <c r="H1003">
        <v>300</v>
      </c>
      <c r="I1003" t="inlineStr">
        <is>
          <t>车载香薰</t>
        </is>
      </c>
      <c r="J1003" t="inlineStr">
        <is>
          <t>0.10</t>
        </is>
      </c>
      <c r="K1003"/>
      <c r="L1003" t="inlineStr">
        <is>
          <t>innnnc的店</t>
        </is>
      </c>
      <c r="M1003">
        <v>2803</v>
      </c>
      <c r="N1003">
        <v>4.53</v>
      </c>
      <c r="O1003">
        <v>61000</v>
      </c>
      <c r="P1003" t="inlineStr">
        <is>
          <t>684c5e43ea2a8100015920b2</t>
        </is>
      </c>
      <c r="Q1003"/>
      <c r="R1003" t="inlineStr">
        <is>
          <t>14周</t>
        </is>
      </c>
      <c r="S1003" t="inlineStr">
        <is>
          <t>1.08</t>
        </is>
      </c>
      <c r="T1003" t="inlineStr">
        <is>
          <t>家居生活</t>
        </is>
      </c>
      <c r="U1003" t="inlineStr">
        <is>
          <t>家居日用</t>
        </is>
      </c>
      <c r="V1003" s="3">
        <v>46112.78107638889</v>
      </c>
      <c r="W1003" t="inlineStr">
        <is>
          <t>2026-Q1</t>
        </is>
      </c>
    </row>
    <row r="1004" ht="25.5" customHeight="1">
      <c r="A1004" t="inlineStr">
        <is>
          <t>TANGTANG 【纸片人】韩国麻棉圆领正肩基础款打底衫长袖T恤显瘦</t>
        </is>
      </c>
      <c r="B1004" t="inlineStr">
        <is>
          <t>recveqrflntCFd.jpg</t>
        </is>
      </c>
      <c r="C1004" s="2" t="str">
        <f>=HYPERLINK("https://xhslink.com/m/AWPBFuUDCG1", "https://xhslink.com/m/AWPBFuUDCG1")</f>
        <v>https://xhslink.com/m/AWPBFuUDCG1</v>
      </c>
      <c r="D1004"/>
      <c r="E1004">
        <v>20000</v>
      </c>
      <c r="F1004">
        <v>109</v>
      </c>
      <c r="G1004">
        <v>79</v>
      </c>
      <c r="H1004">
        <v>300</v>
      </c>
      <c r="I1004" t="inlineStr">
        <is>
          <t>T恤</t>
        </is>
      </c>
      <c r="J1004" t="inlineStr">
        <is>
          <t>0.01</t>
        </is>
      </c>
      <c r="K1004"/>
      <c r="L1004" t="inlineStr">
        <is>
          <t>Tangtang舒展穿搭的店</t>
        </is>
      </c>
      <c r="M1004">
        <v>188000</v>
      </c>
      <c r="N1004">
        <v>4.55</v>
      </c>
      <c r="O1004">
        <v>314000</v>
      </c>
      <c r="P1004" t="inlineStr">
        <is>
          <t>678666a671bc7800016884b4</t>
        </is>
      </c>
      <c r="Q1004" t="inlineStr">
        <is>
          <t>🚫重复</t>
        </is>
      </c>
      <c r="R1004" t="inlineStr">
        <is>
          <t>14周</t>
        </is>
      </c>
      <c r="S1004" t="inlineStr">
        <is>
          <t>0.11</t>
        </is>
      </c>
      <c r="T1004" t="inlineStr">
        <is>
          <t>服饰穿搭</t>
        </is>
      </c>
      <c r="U1004" t="inlineStr">
        <is>
          <t>女装</t>
        </is>
      </c>
      <c r="V1004" s="3">
        <v>46112.78107638889</v>
      </c>
      <c r="W1004" t="inlineStr">
        <is>
          <t>2026-Q1</t>
        </is>
      </c>
    </row>
    <row r="1005" ht="25.5" customHeight="1">
      <c r="A1005" t="inlineStr">
        <is>
          <t>【打底王】极简通勤天丝羊毛基础款纯色圆领修身长袖t恤打底衫女</t>
        </is>
      </c>
      <c r="B1005" t="inlineStr">
        <is>
          <t>recveqrflnhgD6.jpg</t>
        </is>
      </c>
      <c r="C1005" s="2" t="str">
        <f>=HYPERLINK("https://xhslink.com/m/1YxMUpNNtXz", "https://xhslink.com/m/1YxMUpNNtXz")</f>
        <v>https://xhslink.com/m/1YxMUpNNtXz</v>
      </c>
      <c r="D1005"/>
      <c r="E1005">
        <v>24000</v>
      </c>
      <c r="F1005">
        <v>169</v>
      </c>
      <c r="G1005">
        <v>99</v>
      </c>
      <c r="H1005">
        <v>300</v>
      </c>
      <c r="I1005" t="inlineStr">
        <is>
          <t>T恤</t>
        </is>
      </c>
      <c r="J1005" t="inlineStr">
        <is>
          <t>0.01</t>
        </is>
      </c>
      <c r="K1005"/>
      <c r="L1005" t="inlineStr">
        <is>
          <t>左希服装工作室的店</t>
        </is>
      </c>
      <c r="M1005">
        <v>33000</v>
      </c>
      <c r="N1005">
        <v>4.67</v>
      </c>
      <c r="O1005">
        <v>154000</v>
      </c>
      <c r="P1005" t="inlineStr">
        <is>
          <t>68a3e77a60a5740001d66f6a</t>
        </is>
      </c>
      <c r="Q1005" t="inlineStr">
        <is>
          <t>🚫重复</t>
        </is>
      </c>
      <c r="R1005" t="inlineStr">
        <is>
          <t>14周</t>
        </is>
      </c>
      <c r="S1005" t="inlineStr">
        <is>
          <t>0.73</t>
        </is>
      </c>
      <c r="T1005" t="inlineStr">
        <is>
          <t>服饰穿搭</t>
        </is>
      </c>
      <c r="U1005" t="inlineStr">
        <is>
          <t>女装</t>
        </is>
      </c>
      <c r="V1005" s="3">
        <v>46112.78107638889</v>
      </c>
      <c r="W1005" t="inlineStr">
        <is>
          <t>2026-Q1</t>
        </is>
      </c>
    </row>
    <row r="1006" ht="25.5" customHeight="1">
      <c r="A1006" t="inlineStr">
        <is>
          <t>热销7000+ 福利天花板：十六块！30000件天然原木纤维！飞飞袖T恤</t>
        </is>
      </c>
      <c r="B1006" t="inlineStr">
        <is>
          <t>recveqrflnrAJ4.jpg</t>
        </is>
      </c>
      <c r="C1006" s="2" t="str">
        <f>=HYPERLINK("https://xhslink.com/m/51SgNtbMOAI", "https://xhslink.com/m/51SgNtbMOAI")</f>
        <v>https://xhslink.com/m/51SgNtbMOAI</v>
      </c>
      <c r="D1006"/>
      <c r="E1006">
        <v>9059</v>
      </c>
      <c r="F1006">
        <v>16</v>
      </c>
      <c r="G1006"/>
      <c r="H1006">
        <v>300</v>
      </c>
      <c r="I1006" t="inlineStr">
        <is>
          <t>T恤</t>
        </is>
      </c>
      <c r="J1006" t="inlineStr">
        <is>
          <t>0.03</t>
        </is>
      </c>
      <c r="K1006"/>
      <c r="L1006" t="inlineStr">
        <is>
          <t>暖织屋的店</t>
        </is>
      </c>
      <c r="M1006">
        <v>87000</v>
      </c>
      <c r="N1006">
        <v>4.53</v>
      </c>
      <c r="O1006">
        <v>613000</v>
      </c>
      <c r="P1006" t="inlineStr">
        <is>
          <t>682d347bbeccb10015715c9d</t>
        </is>
      </c>
      <c r="Q1006" t="inlineStr">
        <is>
          <t>🚫重复</t>
        </is>
      </c>
      <c r="R1006" t="inlineStr">
        <is>
          <t>14周</t>
        </is>
      </c>
      <c r="S1006" t="inlineStr">
        <is>
          <t>0.10</t>
        </is>
      </c>
      <c r="T1006" t="inlineStr">
        <is>
          <t>服饰穿搭</t>
        </is>
      </c>
      <c r="U1006" t="inlineStr">
        <is>
          <t>女装</t>
        </is>
      </c>
      <c r="V1006" s="3">
        <v>46112.78107638889</v>
      </c>
      <c r="W1006" t="inlineStr">
        <is>
          <t>2026-Q1</t>
        </is>
      </c>
    </row>
    <row r="1007" ht="25.5" customHeight="1">
      <c r="A1007" t="inlineStr">
        <is>
          <t>秋季老钱风直筒裤女</t>
        </is>
      </c>
      <c r="B1007" t="inlineStr">
        <is>
          <t>recveqrflnzS16.jpg</t>
        </is>
      </c>
      <c r="C1007" s="2" t="str">
        <f>=HYPERLINK("https://xhslink.com/m/7KadNj4XhlH", "https://xhslink.com/m/7KadNj4XhlH")</f>
        <v>https://xhslink.com/m/7KadNj4XhlH</v>
      </c>
      <c r="D1007"/>
      <c r="E1007">
        <v>43000</v>
      </c>
      <c r="F1007">
        <v>169</v>
      </c>
      <c r="G1007">
        <v>148.72</v>
      </c>
      <c r="H1007">
        <v>300</v>
      </c>
      <c r="I1007" t="inlineStr">
        <is>
          <t>阔腿裤</t>
        </is>
      </c>
      <c r="J1007" t="inlineStr">
        <is>
          <t>0.01</t>
        </is>
      </c>
      <c r="K1007" t="inlineStr">
        <is>
          <t>🔥低粉爆款</t>
        </is>
      </c>
      <c r="L1007" t="inlineStr">
        <is>
          <t>MEI RUI的店</t>
        </is>
      </c>
      <c r="M1007">
        <v>13000</v>
      </c>
      <c r="N1007">
        <v>4.59</v>
      </c>
      <c r="O1007">
        <v>73000</v>
      </c>
      <c r="P1007" t="inlineStr">
        <is>
          <t>68d7a6d9ed3b2f0001d04d70</t>
        </is>
      </c>
      <c r="Q1007" t="inlineStr">
        <is>
          <t>🚫重复</t>
        </is>
      </c>
      <c r="R1007" t="inlineStr">
        <is>
          <t>14周</t>
        </is>
      </c>
      <c r="S1007" t="inlineStr">
        <is>
          <t>3.31</t>
        </is>
      </c>
      <c r="T1007" t="inlineStr">
        <is>
          <t>服饰穿搭</t>
        </is>
      </c>
      <c r="U1007" t="inlineStr">
        <is>
          <t>女装</t>
        </is>
      </c>
      <c r="V1007" s="3">
        <v>46112.78107638889</v>
      </c>
      <c r="W1007" t="inlineStr">
        <is>
          <t>2026-Q1</t>
        </is>
      </c>
    </row>
    <row r="1008" ht="25.5" customHeight="1">
      <c r="A1008" t="inlineStr">
        <is>
          <t>秋季老钱风直筒裤女</t>
        </is>
      </c>
      <c r="B1008" t="inlineStr">
        <is>
          <t>recveqrflnMsiu.jpg</t>
        </is>
      </c>
      <c r="C1008" s="2" t="str">
        <f>=HYPERLINK("https://xhslink.com/m/AyLbPj1xG81", "https://xhslink.com/m/AyLbPj1xG81")</f>
        <v>https://xhslink.com/m/AyLbPj1xG81</v>
      </c>
      <c r="D1008"/>
      <c r="E1008">
        <v>43000</v>
      </c>
      <c r="F1008">
        <v>169</v>
      </c>
      <c r="G1008">
        <v>148.72</v>
      </c>
      <c r="H1008">
        <v>300</v>
      </c>
      <c r="I1008" t="inlineStr">
        <is>
          <t>直筒裤</t>
        </is>
      </c>
      <c r="J1008" t="inlineStr">
        <is>
          <t>0.01</t>
        </is>
      </c>
      <c r="K1008" t="inlineStr">
        <is>
          <t>🔥低粉爆款</t>
        </is>
      </c>
      <c r="L1008" t="inlineStr">
        <is>
          <t>MEI RUI的店</t>
        </is>
      </c>
      <c r="M1008">
        <v>13000</v>
      </c>
      <c r="N1008">
        <v>4.59</v>
      </c>
      <c r="O1008">
        <v>73000</v>
      </c>
      <c r="P1008" t="inlineStr">
        <is>
          <t>69181d37e3156e00017f92af</t>
        </is>
      </c>
      <c r="Q1008" t="inlineStr">
        <is>
          <t>🚫重复</t>
        </is>
      </c>
      <c r="R1008" t="inlineStr">
        <is>
          <t>14周</t>
        </is>
      </c>
      <c r="S1008" t="inlineStr">
        <is>
          <t>3.31</t>
        </is>
      </c>
      <c r="T1008" t="inlineStr">
        <is>
          <t>服饰穿搭</t>
        </is>
      </c>
      <c r="U1008" t="inlineStr">
        <is>
          <t>女装</t>
        </is>
      </c>
      <c r="V1008" s="3">
        <v>46112.78107638889</v>
      </c>
      <c r="W1008" t="inlineStr">
        <is>
          <t>2026-Q1</t>
        </is>
      </c>
    </row>
    <row r="1009" ht="25.5" customHeight="1">
      <c r="A1009" t="inlineStr">
        <is>
          <t>天丝牛仔裤女夏季新款高腰显瘦宽松垂感冰丝阔腿直筒拖地长裤子</t>
        </is>
      </c>
      <c r="B1009" t="inlineStr">
        <is>
          <t>recveqrfln2oXh.jpg</t>
        </is>
      </c>
      <c r="C1009" s="2" t="str">
        <f>=HYPERLINK("https://xhslink.com/m/6N8f5NAUTwP", "https://xhslink.com/m/6N8f5NAUTwP")</f>
        <v>https://xhslink.com/m/6N8f5NAUTwP</v>
      </c>
      <c r="D1009"/>
      <c r="E1009">
        <v>16000</v>
      </c>
      <c r="F1009">
        <v>128</v>
      </c>
      <c r="G1009">
        <v>89</v>
      </c>
      <c r="H1009">
        <v>300</v>
      </c>
      <c r="I1009" t="inlineStr">
        <is>
          <t>直筒裤</t>
        </is>
      </c>
      <c r="J1009" t="inlineStr">
        <is>
          <t>0.02</t>
        </is>
      </c>
      <c r="K1009"/>
      <c r="L1009" t="inlineStr">
        <is>
          <t>趣味大王的店</t>
        </is>
      </c>
      <c r="M1009">
        <v>5887</v>
      </c>
      <c r="N1009">
        <v>4.66</v>
      </c>
      <c r="O1009">
        <v>72000</v>
      </c>
      <c r="P1009" t="inlineStr">
        <is>
          <t>682453f3839532000104e079</t>
        </is>
      </c>
      <c r="Q1009"/>
      <c r="R1009" t="inlineStr">
        <is>
          <t>14周</t>
        </is>
      </c>
      <c r="S1009" t="inlineStr">
        <is>
          <t>2.72</t>
        </is>
      </c>
      <c r="T1009" t="inlineStr">
        <is>
          <t>服饰穿搭</t>
        </is>
      </c>
      <c r="U1009" t="inlineStr">
        <is>
          <t>女装</t>
        </is>
      </c>
      <c r="V1009" s="3">
        <v>46112.78107638889</v>
      </c>
      <c r="W1009" t="inlineStr">
        <is>
          <t>2026-Q1</t>
        </is>
      </c>
    </row>
    <row r="1010" ht="25.5" customHeight="1">
      <c r="A1010" t="inlineStr">
        <is>
          <t>Hello 法棍棒球包高级感大容量韩系ins风黑色包包百搭小众腋下包</t>
        </is>
      </c>
      <c r="B1010" t="inlineStr">
        <is>
          <t>recveqrflnEGJk.jpg</t>
        </is>
      </c>
      <c r="C1010" s="2" t="str">
        <f>=HYPERLINK("https://xhslink.com/m/Ao5ejoc7S5", "https://xhslink.com/m/Ao5ejoc7S5")</f>
        <v>https://xhslink.com/m/Ao5ejoc7S5</v>
      </c>
      <c r="D1010"/>
      <c r="E1010">
        <v>6765</v>
      </c>
      <c r="F1010">
        <v>148.9</v>
      </c>
      <c r="G1010">
        <v>145.9</v>
      </c>
      <c r="H1010">
        <v>300</v>
      </c>
      <c r="I1010" t="inlineStr">
        <is>
          <t>包包</t>
        </is>
      </c>
      <c r="J1010" t="inlineStr">
        <is>
          <t>0.04</t>
        </is>
      </c>
      <c r="K1010"/>
      <c r="L1010" t="inlineStr">
        <is>
          <t>Hello的店</t>
        </is>
      </c>
      <c r="M1010">
        <v>2390</v>
      </c>
      <c r="N1010">
        <v>4.72</v>
      </c>
      <c r="O1010">
        <v>13000</v>
      </c>
      <c r="P1010" t="inlineStr">
        <is>
          <t>6937fa028b11d100012ea29c</t>
        </is>
      </c>
      <c r="Q1010" t="inlineStr">
        <is>
          <t>🚫重复</t>
        </is>
      </c>
      <c r="R1010" t="inlineStr">
        <is>
          <t>14周</t>
        </is>
      </c>
      <c r="S1010" t="inlineStr">
        <is>
          <t>2.83</t>
        </is>
      </c>
      <c r="T1010" t="inlineStr">
        <is>
          <t>服饰穿搭</t>
        </is>
      </c>
      <c r="U1010" t="inlineStr">
        <is>
          <t>鞋靴箱包</t>
        </is>
      </c>
      <c r="V1010" s="3">
        <v>46112.78107638889</v>
      </c>
      <c r="W1010" t="inlineStr">
        <is>
          <t>2026-Q1</t>
        </is>
      </c>
    </row>
    <row r="1011" ht="25.5" customHeight="1">
      <c r="A1011" t="inlineStr">
        <is>
          <t>Hello 新款荔枝纹牛皮真皮手提单肩斜挎包水桶菜篮子百搭韩系休闲</t>
        </is>
      </c>
      <c r="B1011" t="inlineStr">
        <is>
          <t>recveqrflnClWt.jpg</t>
        </is>
      </c>
      <c r="C1011" s="2" t="str">
        <f>=HYPERLINK("https://xhslink.com/m/3EbZ6dmD5hB", "https://xhslink.com/m/3EbZ6dmD5hB")</f>
        <v>https://xhslink.com/m/3EbZ6dmD5hB</v>
      </c>
      <c r="D1011"/>
      <c r="E1011">
        <v>5046</v>
      </c>
      <c r="F1011">
        <v>159</v>
      </c>
      <c r="G1011">
        <v>156</v>
      </c>
      <c r="H1011">
        <v>300</v>
      </c>
      <c r="I1011" t="inlineStr">
        <is>
          <t>包包</t>
        </is>
      </c>
      <c r="J1011" t="inlineStr">
        <is>
          <t>0.06</t>
        </is>
      </c>
      <c r="K1011"/>
      <c r="L1011" t="inlineStr">
        <is>
          <t>Hello的店</t>
        </is>
      </c>
      <c r="M1011">
        <v>2390</v>
      </c>
      <c r="N1011">
        <v>4.72</v>
      </c>
      <c r="O1011">
        <v>13000</v>
      </c>
      <c r="P1011" t="inlineStr">
        <is>
          <t>696515c89d3b31000137a6a0</t>
        </is>
      </c>
      <c r="Q1011" t="inlineStr">
        <is>
          <t>🚫重复</t>
        </is>
      </c>
      <c r="R1011" t="inlineStr">
        <is>
          <t>14周</t>
        </is>
      </c>
      <c r="S1011" t="inlineStr">
        <is>
          <t>2.11</t>
        </is>
      </c>
      <c r="T1011" t="inlineStr">
        <is>
          <t>服饰穿搭</t>
        </is>
      </c>
      <c r="U1011" t="inlineStr">
        <is>
          <t>鞋靴箱包</t>
        </is>
      </c>
      <c r="V1011" s="3">
        <v>46112.78107638889</v>
      </c>
      <c r="W1011" t="inlineStr">
        <is>
          <t>2026-Q1</t>
        </is>
      </c>
    </row>
    <row r="1012" ht="25.5" customHeight="1">
      <c r="A1012" t="inlineStr">
        <is>
          <t>高小琴家·真皮5cm厚底英伦风黑色圆头系带小皮鞋乐福马丁鞋</t>
        </is>
      </c>
      <c r="B1012" t="inlineStr">
        <is>
          <t>recveqrflnh68b.jpg</t>
        </is>
      </c>
      <c r="C1012" s="2" t="str">
        <f>=HYPERLINK("https://xhslink.com/m/57y3rOi1YJc", "https://xhslink.com/m/57y3rOi1YJc")</f>
        <v>https://xhslink.com/m/57y3rOi1YJc</v>
      </c>
      <c r="D1012"/>
      <c r="E1012">
        <v>14000</v>
      </c>
      <c r="F1012">
        <v>138</v>
      </c>
      <c r="G1012"/>
      <c r="H1012">
        <v>300</v>
      </c>
      <c r="I1012" t="inlineStr">
        <is>
          <t>厚底鞋</t>
        </is>
      </c>
      <c r="J1012" t="inlineStr">
        <is>
          <t>0.02</t>
        </is>
      </c>
      <c r="K1012" t="inlineStr">
        <is>
          <t>🔥低粉爆款</t>
        </is>
      </c>
      <c r="L1012" t="inlineStr">
        <is>
          <t>高小琴家的店</t>
        </is>
      </c>
      <c r="M1012">
        <v>688</v>
      </c>
      <c r="N1012">
        <v>4.57</v>
      </c>
      <c r="O1012">
        <v>17000</v>
      </c>
      <c r="P1012" t="inlineStr">
        <is>
          <t>682ffdd46fdc8e0001f761ef</t>
        </is>
      </c>
      <c r="Q1012" t="inlineStr">
        <is>
          <t>🚫重复</t>
        </is>
      </c>
      <c r="R1012" t="inlineStr">
        <is>
          <t>14周</t>
        </is>
      </c>
      <c r="S1012" t="inlineStr">
        <is>
          <t>20.35</t>
        </is>
      </c>
      <c r="T1012" t="inlineStr">
        <is>
          <t>服饰穿搭</t>
        </is>
      </c>
      <c r="U1012" t="inlineStr">
        <is>
          <t>鞋靴箱包</t>
        </is>
      </c>
      <c r="V1012" s="3">
        <v>46112.78107638889</v>
      </c>
      <c r="W1012" t="inlineStr">
        <is>
          <t>2026-Q1</t>
        </is>
      </c>
    </row>
    <row r="1013" ht="25.5" customHeight="1">
      <c r="A1013" t="inlineStr">
        <is>
          <t>泡泡玛特 · DIMOO新生日记系列-搪胶毛绒挂件盲盒</t>
        </is>
      </c>
      <c r="B1013" t="inlineStr">
        <is>
          <t>recveqrflnAfyh.jpg</t>
        </is>
      </c>
      <c r="C1013" s="2" t="str">
        <f>=HYPERLINK("https://xhslink.com/m/3L9OQhNDcvJ", "https://xhslink.com/m/3L9OQhNDcvJ")</f>
        <v>https://xhslink.com/m/3L9OQhNDcvJ</v>
      </c>
      <c r="D1013"/>
      <c r="E1013">
        <v>22000</v>
      </c>
      <c r="F1013">
        <v>99</v>
      </c>
      <c r="G1013"/>
      <c r="H1013">
        <v>300</v>
      </c>
      <c r="I1013" t="inlineStr">
        <is>
          <t>盲盒</t>
        </is>
      </c>
      <c r="J1013" t="inlineStr">
        <is>
          <t>0.01</t>
        </is>
      </c>
      <c r="K1013"/>
      <c r="L1013" t="inlineStr">
        <is>
          <t>POP MART 泡泡玛特旗舰店</t>
        </is>
      </c>
      <c r="M1013">
        <v>1484000</v>
      </c>
      <c r="N1013">
        <v>4.54</v>
      </c>
      <c r="O1013">
        <v>2957000</v>
      </c>
      <c r="P1013" t="inlineStr">
        <is>
          <t>68d21e42bf5d360001b0a223</t>
        </is>
      </c>
      <c r="Q1013" t="inlineStr">
        <is>
          <t>🚫重复</t>
        </is>
      </c>
      <c r="R1013" t="inlineStr">
        <is>
          <t>14周</t>
        </is>
      </c>
      <c r="S1013" t="inlineStr">
        <is>
          <t>0.01</t>
        </is>
      </c>
      <c r="T1013" t="inlineStr">
        <is>
          <t>运动潮玩</t>
        </is>
      </c>
      <c r="U1013" t="inlineStr">
        <is>
          <t>潮玩手办</t>
        </is>
      </c>
      <c r="V1013" s="3">
        <v>46112.78107638889</v>
      </c>
      <c r="W1013" t="inlineStr">
        <is>
          <t>2026-Q1</t>
        </is>
      </c>
    </row>
    <row r="1014" ht="25.5" customHeight="1">
      <c r="A1014" t="inlineStr">
        <is>
          <t>且遇 2025春季新女士时尚休闲平底单鞋百搭蝴蝶结奶奶鞋一脚蹬女</t>
        </is>
      </c>
      <c r="B1014" t="inlineStr">
        <is>
          <t>recveyWM0oZ5Lv.jpg</t>
        </is>
      </c>
      <c r="C1014" s="2" t="str">
        <f>=HYPERLINK("https://xhslink.com/m/2McLQtoATux", "https://xhslink.com/m/2McLQtoATux")</f>
        <v>https://xhslink.com/m/2McLQtoATux</v>
      </c>
      <c r="D1014"/>
      <c r="E1014">
        <v>59000</v>
      </c>
      <c r="F1014">
        <v>39.9</v>
      </c>
      <c r="G1014">
        <v>35.11</v>
      </c>
      <c r="H1014">
        <v>300</v>
      </c>
      <c r="I1014" t="inlineStr">
        <is>
          <t>单鞋</t>
        </is>
      </c>
      <c r="J1014" t="inlineStr">
        <is>
          <t>0.01</t>
        </is>
      </c>
      <c r="K1014" t="inlineStr">
        <is>
          <t>🔥低粉爆款</t>
        </is>
      </c>
      <c r="L1014" t="inlineStr">
        <is>
          <t>鞋生会的店</t>
        </is>
      </c>
      <c r="M1014">
        <v>7749</v>
      </c>
      <c r="N1014">
        <v>4.7</v>
      </c>
      <c r="O1014">
        <v>86000</v>
      </c>
      <c r="P1014" t="inlineStr">
        <is>
          <t>65d37b6da16e60000108b188</t>
        </is>
      </c>
      <c r="Q1014" t="inlineStr">
        <is>
          <t>🚫重复</t>
        </is>
      </c>
      <c r="R1014" t="inlineStr">
        <is>
          <t>14周</t>
        </is>
      </c>
      <c r="S1014" t="inlineStr">
        <is>
          <t>7.61</t>
        </is>
      </c>
      <c r="T1014" t="inlineStr">
        <is>
          <t>服饰穿搭</t>
        </is>
      </c>
      <c r="U1014" t="inlineStr">
        <is>
          <t>鞋靴箱包</t>
        </is>
      </c>
      <c r="V1014" s="3">
        <v>46112.78107638889</v>
      </c>
      <c r="W1014" t="inlineStr">
        <is>
          <t>2026-Q1</t>
        </is>
      </c>
    </row>
    <row r="1015" ht="25.5" customHeight="1">
      <c r="A1015" t="inlineStr">
        <is>
          <t>MeiDiaoChan · 2026新款秋款法式气质尖头鞋漆皮平底单鞋女设计感小众浅口内增高</t>
        </is>
      </c>
      <c r="B1015" t="inlineStr">
        <is>
          <t>recveyWM0o1aWQ.jpg</t>
        </is>
      </c>
      <c r="C1015" s="2" t="str">
        <f>=HYPERLINK("https://xhslink.com/m/6iX7QZf6khI", "https://xhslink.com/m/6iX7QZf6khI")</f>
        <v>https://xhslink.com/m/6iX7QZf6khI</v>
      </c>
      <c r="D1015"/>
      <c r="E1015">
        <v>891</v>
      </c>
      <c r="F1015">
        <v>149.9</v>
      </c>
      <c r="G1015">
        <v>127.9</v>
      </c>
      <c r="H1015">
        <v>300</v>
      </c>
      <c r="I1015" t="inlineStr">
        <is>
          <t>单鞋</t>
        </is>
      </c>
      <c r="J1015" t="inlineStr">
        <is>
          <t>0.34</t>
        </is>
      </c>
      <c r="K1015"/>
      <c r="L1015" t="inlineStr">
        <is>
          <t>彭小姐的婚礼家2店的店</t>
        </is>
      </c>
      <c r="M1015">
        <v>3790</v>
      </c>
      <c r="N1015">
        <v>4.57</v>
      </c>
      <c r="O1015">
        <v>21000</v>
      </c>
      <c r="P1015" t="inlineStr">
        <is>
          <t>68e8e38b8aa5760001bb1997</t>
        </is>
      </c>
      <c r="Q1015" t="inlineStr">
        <is>
          <t>🚫重复</t>
        </is>
      </c>
      <c r="R1015" t="inlineStr">
        <is>
          <t>14周</t>
        </is>
      </c>
      <c r="S1015" t="inlineStr">
        <is>
          <t>0.24</t>
        </is>
      </c>
      <c r="T1015" t="inlineStr">
        <is>
          <t>服饰穿搭</t>
        </is>
      </c>
      <c r="U1015" t="inlineStr">
        <is>
          <t>鞋靴箱包</t>
        </is>
      </c>
      <c r="V1015" s="3">
        <v>46112.78107638889</v>
      </c>
      <c r="W1015" t="inlineStr">
        <is>
          <t>2026-Q1</t>
        </is>
      </c>
    </row>
    <row r="1016" ht="25.5" customHeight="1">
      <c r="A1016" t="inlineStr">
        <is>
          <t>HYUNDAI · 韩国蓬松直板夹 直卷两用定型不伤发负离子宿舍拉直板夹卷发神器</t>
        </is>
      </c>
      <c r="B1016" t="inlineStr">
        <is>
          <t>recveyWM0o5D3w.jpg</t>
        </is>
      </c>
      <c r="C1016" s="2" t="str">
        <f>=HYPERLINK("https://xhslink.com/m/rK59v8fxfb", "https://xhslink.com/m/rK59v8fxfb")</f>
        <v>https://xhslink.com/m/rK59v8fxfb</v>
      </c>
      <c r="D1016"/>
      <c r="E1016">
        <v>61000</v>
      </c>
      <c r="F1016">
        <v>99</v>
      </c>
      <c r="G1016">
        <v>59</v>
      </c>
      <c r="H1016">
        <v>300</v>
      </c>
      <c r="I1016" t="inlineStr">
        <is>
          <t>头发护理</t>
        </is>
      </c>
      <c r="J1016" t="inlineStr">
        <is>
          <t>0.00</t>
        </is>
      </c>
      <c r="K1016"/>
      <c r="L1016" t="inlineStr">
        <is>
          <t>HYUNDAI生活电器旗舰店</t>
        </is>
      </c>
      <c r="M1016">
        <v>25000</v>
      </c>
      <c r="N1016">
        <v>4.59</v>
      </c>
      <c r="O1016">
        <v>127000</v>
      </c>
      <c r="P1016" t="inlineStr">
        <is>
          <t>6672aabdc19f1f0001b79334</t>
        </is>
      </c>
      <c r="Q1016" t="inlineStr">
        <is>
          <t>🚫重复</t>
        </is>
      </c>
      <c r="R1016" t="inlineStr">
        <is>
          <t>14周</t>
        </is>
      </c>
      <c r="S1016" t="inlineStr">
        <is>
          <t>2.44</t>
        </is>
      </c>
      <c r="T1016" t="inlineStr">
        <is>
          <t>美妆个护</t>
        </is>
      </c>
      <c r="U1016" t="inlineStr">
        <is>
          <t>个人护理</t>
        </is>
      </c>
      <c r="V1016" s="3">
        <v>46112.78107638889</v>
      </c>
      <c r="W1016" t="inlineStr">
        <is>
          <t>2026-Q1</t>
        </is>
      </c>
    </row>
    <row r="1017" ht="25.5" customHeight="1">
      <c r="A1017" t="inlineStr">
        <is>
          <t>化妆品收纳桌面置物架化妆台抽屉式多层多功能收纳架</t>
        </is>
      </c>
      <c r="B1017" t="inlineStr">
        <is>
          <t>recveyWM0of06e.jpg</t>
        </is>
      </c>
      <c r="C1017" s="2" t="str">
        <f>=HYPERLINK("https://xhslink.com/m/6MJuOL0COj", "https://xhslink.com/m/6MJuOL0COj")</f>
        <v>https://xhslink.com/m/6MJuOL0COj</v>
      </c>
      <c r="D1017"/>
      <c r="E1017">
        <v>40000</v>
      </c>
      <c r="F1017">
        <v>59.9</v>
      </c>
      <c r="G1017">
        <v>49.9</v>
      </c>
      <c r="H1017">
        <v>300</v>
      </c>
      <c r="I1017" t="inlineStr">
        <is>
          <t>桌面收纳</t>
        </is>
      </c>
      <c r="J1017" t="inlineStr">
        <is>
          <t>0.01</t>
        </is>
      </c>
      <c r="K1017" t="inlineStr">
        <is>
          <t>🔥低粉爆款</t>
        </is>
      </c>
      <c r="L1017" t="inlineStr">
        <is>
          <t>金子总会发光百货的店</t>
        </is>
      </c>
      <c r="M1017">
        <v>6598</v>
      </c>
      <c r="N1017">
        <v>4.41</v>
      </c>
      <c r="O1017">
        <v>129000</v>
      </c>
      <c r="P1017" t="inlineStr">
        <is>
          <t>64e2ec773c96cf0001f855ff</t>
        </is>
      </c>
      <c r="Q1017" t="inlineStr">
        <is>
          <t>🚫重复</t>
        </is>
      </c>
      <c r="R1017" t="inlineStr">
        <is>
          <t>14周</t>
        </is>
      </c>
      <c r="S1017" t="inlineStr">
        <is>
          <t>6.06</t>
        </is>
      </c>
      <c r="T1017" t="inlineStr">
        <is>
          <t>家居生活</t>
        </is>
      </c>
      <c r="U1017" t="inlineStr">
        <is>
          <t>家居日用</t>
        </is>
      </c>
      <c r="V1017" s="3">
        <v>46112.78107638889</v>
      </c>
      <c r="W1017" t="inlineStr">
        <is>
          <t>2026-Q1</t>
        </is>
      </c>
    </row>
    <row r="1018" ht="25.5" customHeight="1">
      <c r="A1018" t="inlineStr">
        <is>
          <t>美甲先生 · MR NAIL一字灯美甲光疗灯小型手持速干灯自动感应遮光罩迷你烤灯</t>
        </is>
      </c>
      <c r="B1018" t="inlineStr">
        <is>
          <t>recveyWM0oUbOh.jpg</t>
        </is>
      </c>
      <c r="C1018" s="2" t="str">
        <f>=HYPERLINK("https://xhslink.com/m/9xUqYMwdwO0", "https://xhslink.com/m/9xUqYMwdwO0")</f>
        <v>https://xhslink.com/m/9xUqYMwdwO0</v>
      </c>
      <c r="D1018"/>
      <c r="E1018">
        <v>2137</v>
      </c>
      <c r="F1018">
        <v>109</v>
      </c>
      <c r="G1018">
        <v>95</v>
      </c>
      <c r="H1018">
        <v>300</v>
      </c>
      <c r="I1018" t="inlineStr">
        <is>
          <t>实用好物</t>
        </is>
      </c>
      <c r="J1018" t="inlineStr">
        <is>
          <t>0.14</t>
        </is>
      </c>
      <c r="K1018"/>
      <c r="L1018" t="inlineStr">
        <is>
          <t>mrnail美甲先生旗舰店</t>
        </is>
      </c>
      <c r="M1018">
        <v>106000</v>
      </c>
      <c r="N1018">
        <v>4.6</v>
      </c>
      <c r="O1018">
        <v>317000</v>
      </c>
      <c r="P1018" t="inlineStr">
        <is>
          <t>69abcb0d3014430001dce252</t>
        </is>
      </c>
      <c r="Q1018"/>
      <c r="R1018" t="inlineStr">
        <is>
          <t>14周</t>
        </is>
      </c>
      <c r="S1018" t="inlineStr">
        <is>
          <t>0.02</t>
        </is>
      </c>
      <c r="T1018" t="inlineStr">
        <is>
          <t>美妆个护</t>
        </is>
      </c>
      <c r="U1018" t="inlineStr">
        <is>
          <t>护肤彩妆</t>
        </is>
      </c>
      <c r="V1018" s="3">
        <v>46112.78107638889</v>
      </c>
      <c r="W1018" t="inlineStr">
        <is>
          <t>2026-Q1</t>
        </is>
      </c>
    </row>
    <row r="1019" ht="25.5" customHeight="1">
      <c r="A1019" t="inlineStr">
        <is>
          <t>桌子女生卧室ins风化妆桌学生家用简约白色书桌简易出租屋电脑桌</t>
        </is>
      </c>
      <c r="B1019" t="inlineStr">
        <is>
          <t>recveyWM0ownkc.jpg</t>
        </is>
      </c>
      <c r="C1019" s="2" t="str">
        <f>=HYPERLINK("https://xhslink.com/m/2HRfeSQkPPP", "https://xhslink.com/m/2HRfeSQkPPP")</f>
        <v>https://xhslink.com/m/2HRfeSQkPPP</v>
      </c>
      <c r="D1019"/>
      <c r="E1019">
        <v>10000</v>
      </c>
      <c r="F1019">
        <v>132</v>
      </c>
      <c r="G1019"/>
      <c r="H1019">
        <v>300</v>
      </c>
      <c r="I1019" t="inlineStr">
        <is>
          <t>实用好物</t>
        </is>
      </c>
      <c r="J1019" t="inlineStr">
        <is>
          <t>0.03</t>
        </is>
      </c>
      <c r="K1019" t="inlineStr">
        <is>
          <t>🔥低粉爆款</t>
        </is>
      </c>
      <c r="L1019" t="inlineStr">
        <is>
          <t>可可小佳的店</t>
        </is>
      </c>
      <c r="M1019">
        <v>266</v>
      </c>
      <c r="N1019">
        <v>4.37</v>
      </c>
      <c r="O1019">
        <v>11000</v>
      </c>
      <c r="P1019" t="inlineStr">
        <is>
          <t>687b4a4eb1b9df0001070157</t>
        </is>
      </c>
      <c r="Q1019" t="inlineStr">
        <is>
          <t>🚫重复</t>
        </is>
      </c>
      <c r="R1019" t="inlineStr">
        <is>
          <t>14周</t>
        </is>
      </c>
      <c r="S1019" t="inlineStr">
        <is>
          <t>37.59</t>
        </is>
      </c>
      <c r="T1019" t="inlineStr">
        <is>
          <t>家居生活</t>
        </is>
      </c>
      <c r="U1019" t="inlineStr">
        <is>
          <t>家具家装</t>
        </is>
      </c>
      <c r="V1019" s="3">
        <v>46112.78107638889</v>
      </c>
      <c r="W1019" t="inlineStr">
        <is>
          <t>2026-Q1</t>
        </is>
      </c>
    </row>
    <row r="1020" ht="25.5" customHeight="1">
      <c r="A1020" t="inlineStr">
        <is>
          <t>金属衣架防滑袜子内衣裤夹帽夹晾晒宿舍必备好物夹晾衣架家用新款</t>
        </is>
      </c>
      <c r="B1020" t="inlineStr">
        <is>
          <t>recveyWM0oAlCp.jpg</t>
        </is>
      </c>
      <c r="C1020" s="2" t="str">
        <f>=HYPERLINK("https://xhslink.com/m/3U9fnTdnJ9B", "https://xhslink.com/m/3U9fnTdnJ9B")</f>
        <v>https://xhslink.com/m/3U9fnTdnJ9B</v>
      </c>
      <c r="D1020"/>
      <c r="E1020">
        <v>40000</v>
      </c>
      <c r="F1020">
        <v>42.9</v>
      </c>
      <c r="G1020">
        <v>32.9</v>
      </c>
      <c r="H1020">
        <v>300</v>
      </c>
      <c r="I1020" t="inlineStr">
        <is>
          <t>实用好物</t>
        </is>
      </c>
      <c r="J1020" t="inlineStr">
        <is>
          <t>0.01</t>
        </is>
      </c>
      <c r="K1020" t="inlineStr">
        <is>
          <t>🔥低粉爆款</t>
        </is>
      </c>
      <c r="L1020" t="inlineStr">
        <is>
          <t>跑跑爱收纳的店</t>
        </is>
      </c>
      <c r="M1020">
        <v>3372</v>
      </c>
      <c r="N1020">
        <v>4.79</v>
      </c>
      <c r="O1020">
        <v>115000</v>
      </c>
      <c r="P1020" t="inlineStr">
        <is>
          <t>69021e7d42726100014a8851</t>
        </is>
      </c>
      <c r="Q1020" t="inlineStr">
        <is>
          <t>🚫重复</t>
        </is>
      </c>
      <c r="R1020" t="inlineStr">
        <is>
          <t>14周</t>
        </is>
      </c>
      <c r="S1020" t="inlineStr">
        <is>
          <t>11.86</t>
        </is>
      </c>
      <c r="T1020" t="inlineStr">
        <is>
          <t>家居生活</t>
        </is>
      </c>
      <c r="U1020" t="inlineStr">
        <is>
          <t>家居日用</t>
        </is>
      </c>
      <c r="V1020" s="3">
        <v>46112.78107638889</v>
      </c>
      <c r="W1020" t="inlineStr">
        <is>
          <t>2026-Q1</t>
        </is>
      </c>
    </row>
    <row r="1021" ht="25.5" customHeight="1">
      <c r="A1021" t="inlineStr">
        <is>
          <t>成品景德镇陶瓷花束礼物女生日礼物送闺蜜女朋友高级感三八妇女节</t>
        </is>
      </c>
      <c r="B1021" t="inlineStr">
        <is>
          <t>recveyWM0og3wR.jpg</t>
        </is>
      </c>
      <c r="C1021" s="2" t="str">
        <f>=HYPERLINK("https://xhslink.com/m/4QhLOnW6CjC", "https://xhslink.com/m/4QhLOnW6CjC")</f>
        <v>https://xhslink.com/m/4QhLOnW6CjC</v>
      </c>
      <c r="D1021"/>
      <c r="E1021">
        <v>5169</v>
      </c>
      <c r="F1021">
        <v>59.9</v>
      </c>
      <c r="G1021"/>
      <c r="H1021">
        <v>300</v>
      </c>
      <c r="I1021" t="inlineStr">
        <is>
          <t>实用好物</t>
        </is>
      </c>
      <c r="J1021" t="inlineStr">
        <is>
          <t>0.06</t>
        </is>
      </c>
      <c r="K1021"/>
      <c r="L1021" t="inlineStr">
        <is>
          <t>月亮上的邮差的店</t>
        </is>
      </c>
      <c r="M1021">
        <v>4327</v>
      </c>
      <c r="N1021">
        <v>4.7</v>
      </c>
      <c r="O1021">
        <v>65000</v>
      </c>
      <c r="P1021" t="inlineStr">
        <is>
          <t>6919305c611c010001e1af3c</t>
        </is>
      </c>
      <c r="Q1021" t="inlineStr">
        <is>
          <t>🚫重复</t>
        </is>
      </c>
      <c r="R1021" t="inlineStr">
        <is>
          <t>14周</t>
        </is>
      </c>
      <c r="S1021" t="inlineStr">
        <is>
          <t>1.19</t>
        </is>
      </c>
      <c r="T1021" t="inlineStr">
        <is>
          <t>家居生活</t>
        </is>
      </c>
      <c r="U1021" t="inlineStr">
        <is>
          <t>家居日用</t>
        </is>
      </c>
      <c r="V1021" s="3">
        <v>46112.78107638889</v>
      </c>
      <c r="W1021" t="inlineStr">
        <is>
          <t>2026-Q1</t>
        </is>
      </c>
    </row>
    <row r="1022" ht="25.5" customHeight="1">
      <c r="A1022" t="inlineStr">
        <is>
          <t>榉木手动去球刮毛器羊绒大衣专用毛球修剪神器梳衣服毛呢剃毛刀</t>
        </is>
      </c>
      <c r="B1022" t="inlineStr">
        <is>
          <t>recveyWM0oKsLy.jpg</t>
        </is>
      </c>
      <c r="C1022" s="2" t="str">
        <f>=HYPERLINK("https://xhslink.com/m/15JXhPb6jW", "https://xhslink.com/m/15JXhPb6jW")</f>
        <v>https://xhslink.com/m/15JXhPb6jW</v>
      </c>
      <c r="D1022"/>
      <c r="E1022">
        <v>124000</v>
      </c>
      <c r="F1022">
        <v>39.9</v>
      </c>
      <c r="G1022">
        <v>15.9</v>
      </c>
      <c r="H1022">
        <v>300</v>
      </c>
      <c r="I1022" t="inlineStr">
        <is>
          <t>实用好物</t>
        </is>
      </c>
      <c r="J1022" t="inlineStr">
        <is>
          <t>0.00</t>
        </is>
      </c>
      <c r="K1022" t="inlineStr">
        <is>
          <t>🔥低粉爆款</t>
        </is>
      </c>
      <c r="L1022" t="inlineStr">
        <is>
          <t>A佳佳的店</t>
        </is>
      </c>
      <c r="M1022">
        <v>403</v>
      </c>
      <c r="N1022">
        <v>4.53</v>
      </c>
      <c r="O1022">
        <v>135000</v>
      </c>
      <c r="P1022" t="inlineStr">
        <is>
          <t>6937e91d83efdb0001febc0c</t>
        </is>
      </c>
      <c r="Q1022"/>
      <c r="R1022" t="inlineStr">
        <is>
          <t>14周</t>
        </is>
      </c>
      <c r="S1022" t="inlineStr">
        <is>
          <t>307.69</t>
        </is>
      </c>
      <c r="T1022" t="inlineStr">
        <is>
          <t>服饰穿搭</t>
        </is>
      </c>
      <c r="U1022" t="inlineStr">
        <is>
          <t>女装</t>
        </is>
      </c>
      <c r="V1022" s="3">
        <v>46112.78107638889</v>
      </c>
      <c r="W1022" t="inlineStr">
        <is>
          <t>2026-Q1</t>
        </is>
      </c>
    </row>
    <row r="1023" ht="25.5" customHeight="1">
      <c r="A1023" t="inlineStr">
        <is>
          <t>空想野 · ins风粉色山脉厚底观山杯高颜值创意玻璃杯咖啡杯啤酒杯果汁杯子</t>
        </is>
      </c>
      <c r="B1023" t="inlineStr">
        <is>
          <t>recveyWM0oXjpx.jpg</t>
        </is>
      </c>
      <c r="C1023" s="2" t="str">
        <f>=HYPERLINK("https://xhslink.com/m/FRQ2eDlLYb", "https://xhslink.com/m/FRQ2eDlLYb")</f>
        <v>https://xhslink.com/m/FRQ2eDlLYb</v>
      </c>
      <c r="D1023"/>
      <c r="E1023">
        <v>12000</v>
      </c>
      <c r="F1023">
        <v>42.8</v>
      </c>
      <c r="G1023">
        <v>30.8</v>
      </c>
      <c r="H1023">
        <v>300</v>
      </c>
      <c r="I1023" t="inlineStr">
        <is>
          <t>杯子</t>
        </is>
      </c>
      <c r="J1023" t="inlineStr">
        <is>
          <t>0.03</t>
        </is>
      </c>
      <c r="K1023"/>
      <c r="L1023" t="inlineStr">
        <is>
          <t>空想野的店</t>
        </is>
      </c>
      <c r="M1023">
        <v>7849</v>
      </c>
      <c r="N1023">
        <v>4.55</v>
      </c>
      <c r="O1023">
        <v>65000</v>
      </c>
      <c r="P1023" t="inlineStr">
        <is>
          <t>670e2d26c432ef0001a719c2</t>
        </is>
      </c>
      <c r="Q1023"/>
      <c r="R1023" t="inlineStr">
        <is>
          <t>14周</t>
        </is>
      </c>
      <c r="S1023" t="inlineStr">
        <is>
          <t>1.53</t>
        </is>
      </c>
      <c r="T1023" t="inlineStr">
        <is>
          <t>美食滋补</t>
        </is>
      </c>
      <c r="U1023" t="inlineStr">
        <is>
          <t>酒水冲饮</t>
        </is>
      </c>
      <c r="V1023" s="3">
        <v>46112.78107638889</v>
      </c>
      <c r="W1023" t="inlineStr">
        <is>
          <t>2026-Q1</t>
        </is>
      </c>
    </row>
    <row r="1024" ht="25.5" customHeight="1">
      <c r="A1024" t="inlineStr">
        <is>
          <t>山东维纳斯黄金苹果脆甜不酸</t>
        </is>
      </c>
      <c r="B1024" t="inlineStr">
        <is>
          <t>recveyWM0opqty.jpg</t>
        </is>
      </c>
      <c r="C1024" s="2" t="str">
        <f>=HYPERLINK("https://xhslink.com/m/8MIhfUA3lNb", "https://xhslink.com/m/8MIhfUA3lNb")</f>
        <v>https://xhslink.com/m/8MIhfUA3lNb</v>
      </c>
      <c r="D1024"/>
      <c r="E1024">
        <v>23000</v>
      </c>
      <c r="F1024">
        <v>33.8</v>
      </c>
      <c r="G1024">
        <v>28.8</v>
      </c>
      <c r="H1024">
        <v>300</v>
      </c>
      <c r="I1024" t="inlineStr">
        <is>
          <t>水果</t>
        </is>
      </c>
      <c r="J1024" t="inlineStr">
        <is>
          <t>0.01</t>
        </is>
      </c>
      <c r="K1024"/>
      <c r="L1024" t="inlineStr">
        <is>
          <t>农妈罗萍的店</t>
        </is>
      </c>
      <c r="M1024">
        <v>60000</v>
      </c>
      <c r="N1024">
        <v>4.66</v>
      </c>
      <c r="O1024">
        <v>607000</v>
      </c>
      <c r="P1024" t="inlineStr">
        <is>
          <t>670b7443d97c760001749548</t>
        </is>
      </c>
      <c r="Q1024" t="inlineStr">
        <is>
          <t>🚫重复</t>
        </is>
      </c>
      <c r="R1024" t="inlineStr">
        <is>
          <t>14周</t>
        </is>
      </c>
      <c r="S1024" t="inlineStr">
        <is>
          <t>0.38</t>
        </is>
      </c>
      <c r="T1024" t="inlineStr">
        <is>
          <t>美食滋补</t>
        </is>
      </c>
      <c r="U1024" t="inlineStr">
        <is>
          <t>生鲜特产</t>
        </is>
      </c>
      <c r="V1024" s="3">
        <v>46112.78107638889</v>
      </c>
      <c r="W1024" t="inlineStr">
        <is>
          <t>2026-Q1</t>
        </is>
      </c>
    </row>
    <row r="1025" ht="25.5" customHeight="1">
      <c r="A1025" t="inlineStr">
        <is>
          <t>潮汐邮局原创｜穿孔朋克小马手作挂件钥匙扣包挂饰</t>
        </is>
      </c>
      <c r="B1025" t="inlineStr">
        <is>
          <t>recveCblQ96YVp.jpg</t>
        </is>
      </c>
      <c r="C1025" s="2" t="str">
        <f>=HYPERLINK("https://xhslink.com/m/8DC6fSWN6QU", "https://xhslink.com/m/8DC6fSWN6QU")</f>
        <v>https://xhslink.com/m/8DC6fSWN6QU</v>
      </c>
      <c r="D1025"/>
      <c r="E1025">
        <v>2921</v>
      </c>
      <c r="F1025">
        <v>34</v>
      </c>
      <c r="G1025"/>
      <c r="H1025">
        <v>300</v>
      </c>
      <c r="I1025" t="inlineStr">
        <is>
          <t>挂饰</t>
        </is>
      </c>
      <c r="J1025" t="inlineStr">
        <is>
          <t>0.10</t>
        </is>
      </c>
      <c r="K1025"/>
      <c r="L1025" t="inlineStr">
        <is>
          <t>潮汐邮局（清单中）的店</t>
        </is>
      </c>
      <c r="M1025">
        <v>10000</v>
      </c>
      <c r="N1025">
        <v>4.32</v>
      </c>
      <c r="O1025">
        <v>15000</v>
      </c>
      <c r="P1025" t="inlineStr">
        <is>
          <t>699178f87db7d2000104ce4b</t>
        </is>
      </c>
      <c r="Q1025" t="inlineStr">
        <is>
          <t>🚫重复</t>
        </is>
      </c>
      <c r="R1025" t="inlineStr">
        <is>
          <t>14周</t>
        </is>
      </c>
      <c r="S1025" t="inlineStr">
        <is>
          <t>0.29</t>
        </is>
      </c>
      <c r="T1025" t="inlineStr">
        <is>
          <t>运动潮玩</t>
        </is>
      </c>
      <c r="U1025" t="inlineStr">
        <is>
          <t>潮玩手办</t>
        </is>
      </c>
      <c r="V1025" s="3">
        <v>46112.78107638889</v>
      </c>
      <c r="W1025" t="inlineStr">
        <is>
          <t>2026-Q1</t>
        </is>
      </c>
    </row>
    <row r="1026" ht="25.5" customHeight="1">
      <c r="A1026" t="inlineStr">
        <is>
          <t>【预售】恋与深空原创同人5cm抱抱团子挂件棉花娃娃</t>
        </is>
      </c>
      <c r="B1026" t="inlineStr">
        <is>
          <t>recveCblQ9ub5x.jpg</t>
        </is>
      </c>
      <c r="C1026" s="2" t="str">
        <f>=HYPERLINK("https://xhslink.com/m/5YqKSGf8zgc", "https://xhslink.com/m/5YqKSGf8zgc")</f>
        <v>https://xhslink.com/m/5YqKSGf8zgc</v>
      </c>
      <c r="D1026"/>
      <c r="E1026">
        <v>2852</v>
      </c>
      <c r="F1026">
        <v>26.9</v>
      </c>
      <c r="G1026"/>
      <c r="H1026">
        <v>300</v>
      </c>
      <c r="I1026" t="inlineStr">
        <is>
          <t>棉花娃娃</t>
        </is>
      </c>
      <c r="J1026" t="inlineStr">
        <is>
          <t>0.11</t>
        </is>
      </c>
      <c r="K1026"/>
      <c r="L1026" t="inlineStr">
        <is>
          <t>Wawa同人社的店</t>
        </is>
      </c>
      <c r="M1026">
        <v>67000</v>
      </c>
      <c r="N1026">
        <v>4.64</v>
      </c>
      <c r="O1026">
        <v>82000</v>
      </c>
      <c r="P1026" t="inlineStr">
        <is>
          <t>698cc57e7db7d20001c3c8c6</t>
        </is>
      </c>
      <c r="Q1026" t="inlineStr">
        <is>
          <t>🚫重复</t>
        </is>
      </c>
      <c r="R1026" t="inlineStr">
        <is>
          <t>14周</t>
        </is>
      </c>
      <c r="S1026" t="inlineStr">
        <is>
          <t>0.04</t>
        </is>
      </c>
      <c r="T1026" t="inlineStr">
        <is>
          <t>运动潮玩</t>
        </is>
      </c>
      <c r="U1026" t="inlineStr">
        <is>
          <t>潮玩手办</t>
        </is>
      </c>
      <c r="V1026" s="3">
        <v>46112.78107638889</v>
      </c>
      <c r="W1026" t="inlineStr">
        <is>
          <t>2026-Q1</t>
        </is>
      </c>
    </row>
    <row r="1027" ht="25.5" customHeight="1">
      <c r="A1027" t="inlineStr">
        <is>
          <t>原神 全新正版清仓 吧唧</t>
        </is>
      </c>
      <c r="B1027" t="inlineStr">
        <is>
          <t>recveCblQ9zkrL.jpg</t>
        </is>
      </c>
      <c r="C1027" s="2" t="str">
        <f>=HYPERLINK("https://xhslink.com/m/1HuvaSoOmZa", "https://xhslink.com/m/1HuvaSoOmZa")</f>
        <v>https://xhslink.com/m/1HuvaSoOmZa</v>
      </c>
      <c r="D1027"/>
      <c r="E1027">
        <v>3928</v>
      </c>
      <c r="F1027">
        <v>2</v>
      </c>
      <c r="G1027"/>
      <c r="H1027">
        <v>300</v>
      </c>
      <c r="I1027" t="inlineStr">
        <is>
          <t>谷子</t>
        </is>
      </c>
      <c r="J1027" t="inlineStr">
        <is>
          <t>0.08</t>
        </is>
      </c>
      <c r="K1027"/>
      <c r="L1027" t="inlineStr">
        <is>
          <t>半价吃谷（二哥）的店</t>
        </is>
      </c>
      <c r="M1027">
        <v>8427</v>
      </c>
      <c r="N1027">
        <v>4.72</v>
      </c>
      <c r="O1027">
        <v>36000</v>
      </c>
      <c r="P1027" t="inlineStr">
        <is>
          <t>69b918e61ea1a800010a07d9</t>
        </is>
      </c>
      <c r="Q1027" t="inlineStr">
        <is>
          <t>🚫重复</t>
        </is>
      </c>
      <c r="R1027" t="inlineStr">
        <is>
          <t>14周</t>
        </is>
      </c>
      <c r="S1027" t="inlineStr">
        <is>
          <t>0.47</t>
        </is>
      </c>
      <c r="T1027" t="inlineStr">
        <is>
          <t>运动潮玩</t>
        </is>
      </c>
      <c r="U1027" t="inlineStr">
        <is>
          <t>潮玩手办</t>
        </is>
      </c>
      <c r="V1027" s="3">
        <v>46112.78107638889</v>
      </c>
      <c r="W1027" t="inlineStr">
        <is>
          <t>2026-Q1</t>
        </is>
      </c>
    </row>
    <row r="1028" ht="25.5" customHeight="1">
      <c r="A1028" t="inlineStr">
        <is>
          <t>东大门仿皮质蝴蝶结高颅顶刘海夹！店主自留哦！下单发一对！ · 仿皮质黑色蝴蝶结刘海夹一对 7cm左右</t>
        </is>
      </c>
      <c r="B1028" t="inlineStr">
        <is>
          <t>recveCblQ9DyOX.jpg</t>
        </is>
      </c>
      <c r="C1028" s="2" t="str">
        <f>=HYPERLINK("https://xhslink.com/m/5vLABiBqYcF", "https://xhslink.com/m/5vLABiBqYcF")</f>
        <v>https://xhslink.com/m/5vLABiBqYcF</v>
      </c>
      <c r="D1028"/>
      <c r="E1028">
        <v>132000</v>
      </c>
      <c r="F1028"/>
      <c r="G1028">
        <v>15.88</v>
      </c>
      <c r="H1028">
        <v>300</v>
      </c>
      <c r="I1028" t="inlineStr">
        <is>
          <t>发卡</t>
        </is>
      </c>
      <c r="J1028" t="inlineStr">
        <is>
          <t>0.00</t>
        </is>
      </c>
      <c r="K1028" t="inlineStr">
        <is>
          <t>🔥低粉爆款</t>
        </is>
      </c>
      <c r="L1028" t="inlineStr">
        <is>
          <t>外在YYDS的店</t>
        </is>
      </c>
      <c r="M1028">
        <v>34000</v>
      </c>
      <c r="N1028">
        <v>4.53</v>
      </c>
      <c r="O1028">
        <v>382000</v>
      </c>
      <c r="P1028" t="inlineStr">
        <is>
          <t>663ed697aae1a00001acdec7</t>
        </is>
      </c>
      <c r="Q1028"/>
      <c r="R1028" t="inlineStr">
        <is>
          <t>14周</t>
        </is>
      </c>
      <c r="S1028" t="inlineStr">
        <is>
          <t>3.88</t>
        </is>
      </c>
      <c r="T1028" t="inlineStr">
        <is>
          <t>服饰穿搭</t>
        </is>
      </c>
      <c r="U1028" t="inlineStr">
        <is>
          <t>配饰</t>
        </is>
      </c>
      <c r="V1028" s="3">
        <v>46112.78107638889</v>
      </c>
      <c r="W1028" t="inlineStr">
        <is>
          <t>2026-Q1</t>
        </is>
      </c>
    </row>
    <row r="1029" ht="25.5" customHeight="1">
      <c r="A1029" t="inlineStr">
        <is>
          <t>十七｜拼接款醋酸鲨鱼夹三角款八爪夹通勤日常后脑勺盘发夹子女</t>
        </is>
      </c>
      <c r="B1029" t="inlineStr">
        <is>
          <t>recveCblQ9DXki.jpg</t>
        </is>
      </c>
      <c r="C1029" s="2" t="str">
        <f>=HYPERLINK("https://xhslink.com/m/4MVyXxlLUTJ", "https://www.xiaohongshu.com/goods-detail/68d1371f8c198c0001708f86?xsec_token=XBq1o2ZO0VGJdpT3BZ0N_j3Pc4KdU_u0yuC8agiTyR_OU=&amp;xsec_source=app_share&amp;instation_link=xhsdiscover%3A%2F%2Fgoods_detail%2F68d1371f8c198c0001708f86%3Ftrade_ext%3DeyJjaGFubmVsSW5mbyI6bnVsbCwiZHNUb2tlbkluZm8iOm51bGwsInNoYXJlTGluayI6Imh0dHBzOi8vd3d3LnhpYW9ob25nc2h1LmNvbS9nb29kcy1kZXRhaWwvNjhkMTM3MWY4YzE5OGMwMDAxNzA4Zjg2P2FwcHVpZD01OTA4ODZjMzM0NjA5NDIzNWUzYjZjODMiLCJsaXZlSW5mbyI6bnVsbCwic2hvcEluZm8iOm51bGwsImdvb2RzTm90ZUluZm8iOm51bGwsImNoYXRJbmZvIjpudWxsLCJzZWFyY2hJbmZvIjpudWxsLCJwcmVmZXIiOm51bGx9%26rate_limit_meta%3DitemId%253D689d709388416a00010aa9bd%26source%3D%26back_chain_id%3Dgoods_detail_share%26rn%3Dtrue&amp;xhsshare=CopyLink&amp;appuid=590886c3346094235e3b6c83&amp;apptime=1774111624&amp;share_id=e9d8df4b8f4e45cb8c772cf7c8b366ae")</f>
        <v>https://www.xiaohongshu.com/goods-detail/68d1371f8c198c0001708f86?xsec_token=XBq1o2ZO0VGJdpT3BZ0N_j3Pc4KdU_u0yuC8agiTyR_OU=&amp;xsec_source=app_share&amp;instation_link=xhsdiscover%3A%2F%2Fgoods_detail%2F68d1371f8c198c0001708f86%3Ftrade_ext%3DeyJjaGFubmVsSW5mbyI6bnVsbCwiZHNUb2tlbkluZm8iOm51bGwsInNoYXJlTGluayI6Imh0dHBzOi8vd3d3LnhpYW9ob25nc2h1LmNvbS9nb29kcy1kZXRhaWwvNjhkMTM3MWY4YzE5OGMwMDAxNzA4Zjg2P2FwcHVpZD01OTA4ODZjMzM0NjA5NDIzNWUzYjZjODMiLCJsaXZlSW5mbyI6bnVsbCwic2hvcEluZm8iOm51bGwsImdvb2RzTm90ZUluZm8iOm51bGwsImNoYXRJbmZvIjpudWxsLCJzZWFyY2hJbmZvIjpudWxsLCJwcmVmZXIiOm51bGx9%26rate_limit_meta%3DitemId%253D689d709388416a00010aa9bd%26source%3D%26back_chain_id%3Dgoods_detail_share%26rn%3Dtrue&amp;xhsshare=CopyLink&amp;appuid=590886c3346094235e3b6c83&amp;apptime=1774111624&amp;share_id=e9d8df4b8f4e45cb8c772cf7c8b366ae</v>
      </c>
      <c r="D1029"/>
      <c r="E1029">
        <v>19000</v>
      </c>
      <c r="F1029">
        <v>21.9</v>
      </c>
      <c r="G1029">
        <v>12.9</v>
      </c>
      <c r="H1029">
        <v>300</v>
      </c>
      <c r="I1029" t="inlineStr">
        <is>
          <t>发卡</t>
        </is>
      </c>
      <c r="J1029" t="inlineStr">
        <is>
          <t>0.02</t>
        </is>
      </c>
      <c r="K1029" t="inlineStr">
        <is>
          <t>🔥低粉爆款</t>
        </is>
      </c>
      <c r="L1029" t="inlineStr">
        <is>
          <t>泷淇饰家的店</t>
        </is>
      </c>
      <c r="M1029">
        <v>227</v>
      </c>
      <c r="N1029">
        <v>4.72</v>
      </c>
      <c r="O1029">
        <v>20000</v>
      </c>
      <c r="P1029" t="inlineStr">
        <is>
          <t>68d1371f8c198c0001708f86</t>
        </is>
      </c>
      <c r="Q1029" t="inlineStr">
        <is>
          <t>🚫重复</t>
        </is>
      </c>
      <c r="R1029" t="inlineStr">
        <is>
          <t>14周</t>
        </is>
      </c>
      <c r="S1029" t="inlineStr">
        <is>
          <t>83.70</t>
        </is>
      </c>
      <c r="T1029" t="inlineStr">
        <is>
          <t>服饰穿搭</t>
        </is>
      </c>
      <c r="U1029" t="inlineStr">
        <is>
          <t>配饰</t>
        </is>
      </c>
      <c r="V1029" s="3">
        <v>46112.78107638889</v>
      </c>
      <c r="W1029" t="inlineStr">
        <is>
          <t>2026-Q1</t>
        </is>
      </c>
    </row>
    <row r="1030" ht="25.5" customHeight="1">
      <c r="A1030" t="inlineStr">
        <is>
          <t>Soft Kiss · 婴儿干发帽小月龄宝宝a类吸水包头巾女童儿童洗头洗澡羊角浴帽</t>
        </is>
      </c>
      <c r="B1030" t="inlineStr">
        <is>
          <t>recveCblQ9nGNS.jpg</t>
        </is>
      </c>
      <c r="C1030" s="2" t="str">
        <f>=HYPERLINK("https://xhslink.com/m/7g03WQt2vVm", "https://xhslink.com/m/7g03WQt2vVm")</f>
        <v>https://xhslink.com/m/7g03WQt2vVm</v>
      </c>
      <c r="D1030"/>
      <c r="E1030">
        <v>58000</v>
      </c>
      <c r="F1030">
        <v>16.9</v>
      </c>
      <c r="G1030"/>
      <c r="H1030">
        <v>300</v>
      </c>
      <c r="I1030" t="inlineStr">
        <is>
          <t>婴儿用品</t>
        </is>
      </c>
      <c r="J1030" t="inlineStr">
        <is>
          <t>0.01</t>
        </is>
      </c>
      <c r="K1030" t="inlineStr">
        <is>
          <t>🔥低粉爆款</t>
        </is>
      </c>
      <c r="L1030" t="inlineStr">
        <is>
          <t>Soft Kiss的店</t>
        </is>
      </c>
      <c r="M1030">
        <v>2161</v>
      </c>
      <c r="N1030">
        <v>4.84</v>
      </c>
      <c r="O1030">
        <v>80000</v>
      </c>
      <c r="P1030" t="inlineStr">
        <is>
          <t>68e70b9e702da1000194ae97</t>
        </is>
      </c>
      <c r="Q1030"/>
      <c r="R1030" t="inlineStr">
        <is>
          <t>14周</t>
        </is>
      </c>
      <c r="S1030" t="inlineStr">
        <is>
          <t>26.84</t>
        </is>
      </c>
      <c r="T1030" t="inlineStr">
        <is>
          <t>母婴亲子</t>
        </is>
      </c>
      <c r="U1030" t="inlineStr">
        <is>
          <t>童装童鞋</t>
        </is>
      </c>
      <c r="V1030" s="3">
        <v>46112.78107638889</v>
      </c>
      <c r="W1030" t="inlineStr">
        <is>
          <t>2026-Q1</t>
        </is>
      </c>
    </row>
    <row r="1031" ht="25.5" customHeight="1">
      <c r="A1031" t="inlineStr">
        <is>
          <t>宝宝好习惯养成绘本0-3岁适合儿童读物儿童益智玩具早教翻翻书</t>
        </is>
      </c>
      <c r="B1031" t="inlineStr">
        <is>
          <t>recveCblQ9nFxo.jpg</t>
        </is>
      </c>
      <c r="C1031" s="2" t="str">
        <f>=HYPERLINK("https://xhslink.com/m/92FoPhGb2Tb", "https://xhslink.com/m/92FoPhGb2Tb")</f>
        <v>https://xhslink.com/m/92FoPhGb2Tb</v>
      </c>
      <c r="D1031"/>
      <c r="E1031">
        <v>88000</v>
      </c>
      <c r="F1031">
        <v>18.8</v>
      </c>
      <c r="G1031"/>
      <c r="H1031">
        <v>300</v>
      </c>
      <c r="I1031" t="inlineStr">
        <is>
          <t>宝宝玩具</t>
        </is>
      </c>
      <c r="J1031" t="inlineStr">
        <is>
          <t>0.00</t>
        </is>
      </c>
      <c r="K1031" t="inlineStr">
        <is>
          <t>🔥低粉爆款</t>
        </is>
      </c>
      <c r="L1031" t="inlineStr">
        <is>
          <t>洋洋童书屋的店</t>
        </is>
      </c>
      <c r="M1031">
        <v>10000</v>
      </c>
      <c r="N1031">
        <v>4.42</v>
      </c>
      <c r="O1031">
        <v>207000</v>
      </c>
      <c r="P1031" t="inlineStr">
        <is>
          <t>650bf46b8e00cf0001c9621e</t>
        </is>
      </c>
      <c r="Q1031" t="inlineStr">
        <is>
          <t>🚫重复</t>
        </is>
      </c>
      <c r="R1031" t="inlineStr">
        <is>
          <t>14周</t>
        </is>
      </c>
      <c r="S1031" t="inlineStr">
        <is>
          <t>8.80</t>
        </is>
      </c>
      <c r="T1031" t="inlineStr">
        <is>
          <t>母婴亲子</t>
        </is>
      </c>
      <c r="U1031" t="inlineStr">
        <is>
          <t>玩具早教</t>
        </is>
      </c>
      <c r="V1031" s="3">
        <v>46112.78107638889</v>
      </c>
      <c r="W1031" t="inlineStr">
        <is>
          <t>2026-Q1</t>
        </is>
      </c>
    </row>
    <row r="1032" ht="25.5" customHeight="1">
      <c r="A1032" t="inlineStr">
        <is>
          <t>Taaoi大型儿童厨房玩具套装仿真厨具煮饭做饭模拟男女孩生日礼物</t>
        </is>
      </c>
      <c r="B1032" t="inlineStr">
        <is>
          <t>recveCblQ9Davp.jpg</t>
        </is>
      </c>
      <c r="C1032" s="2" t="str">
        <f>=HYPERLINK("https://xhslink.com/m/4szeE1RU1Pz", "https://xhslink.com/m/4szeE1RU1Pz")</f>
        <v>https://xhslink.com/m/4szeE1RU1Pz</v>
      </c>
      <c r="D1032"/>
      <c r="E1032">
        <v>1797</v>
      </c>
      <c r="F1032">
        <v>298</v>
      </c>
      <c r="G1032">
        <v>234</v>
      </c>
      <c r="H1032">
        <v>300</v>
      </c>
      <c r="I1032" t="inlineStr">
        <is>
          <t>宝宝玩具</t>
        </is>
      </c>
      <c r="J1032" t="inlineStr">
        <is>
          <t>0.17</t>
        </is>
      </c>
      <c r="K1032"/>
      <c r="L1032" t="inlineStr">
        <is>
          <t>Taaol Baby的店</t>
        </is>
      </c>
      <c r="M1032">
        <v>10000</v>
      </c>
      <c r="N1032">
        <v>4.52</v>
      </c>
      <c r="O1032">
        <v>155000</v>
      </c>
      <c r="P1032" t="inlineStr">
        <is>
          <t>687f2f46a7c1e30001e18b88</t>
        </is>
      </c>
      <c r="Q1032" t="inlineStr">
        <is>
          <t>🚫重复</t>
        </is>
      </c>
      <c r="R1032" t="inlineStr">
        <is>
          <t>14周</t>
        </is>
      </c>
      <c r="S1032" t="inlineStr">
        <is>
          <t>0.18</t>
        </is>
      </c>
      <c r="T1032" t="inlineStr">
        <is>
          <t>母婴亲子</t>
        </is>
      </c>
      <c r="U1032" t="inlineStr">
        <is>
          <t>童装童鞋</t>
        </is>
      </c>
      <c r="V1032" s="3">
        <v>46112.78107638889</v>
      </c>
      <c r="W1032" t="inlineStr">
        <is>
          <t>2026-Q1</t>
        </is>
      </c>
    </row>
    <row r="1033" ht="25.5" customHeight="1">
      <c r="A1033" t="inlineStr">
        <is>
          <t>倾曼雅 · 美式低腰包臀短裤女ins风基础款显瘦弹力外穿热裤运动骑行裤</t>
        </is>
      </c>
      <c r="B1033" t="inlineStr">
        <is>
          <t>recveCblQ9uAaK.jpg</t>
        </is>
      </c>
      <c r="C1033" s="2" t="str">
        <f>=HYPERLINK("https://xhslink.com/m/5jWlWLofVXK", "https://xhslink.com/m/5jWlWLofVXK")</f>
        <v>https://xhslink.com/m/5jWlWLofVXK</v>
      </c>
      <c r="D1033"/>
      <c r="E1033">
        <v>36000</v>
      </c>
      <c r="F1033">
        <v>49</v>
      </c>
      <c r="G1033"/>
      <c r="H1033">
        <v>300</v>
      </c>
      <c r="I1033" t="inlineStr">
        <is>
          <t>儿童运动裤</t>
        </is>
      </c>
      <c r="J1033" t="inlineStr">
        <is>
          <t>0.01</t>
        </is>
      </c>
      <c r="K1033"/>
      <c r="L1033" t="inlineStr">
        <is>
          <t>小鹅学姐穿搭的店的店</t>
        </is>
      </c>
      <c r="M1033">
        <v>229000</v>
      </c>
      <c r="N1033">
        <v>4.39</v>
      </c>
      <c r="O1033">
        <v>1486000</v>
      </c>
      <c r="P1033" t="inlineStr">
        <is>
          <t>685a1a9962138500012d2794</t>
        </is>
      </c>
      <c r="Q1033" t="inlineStr">
        <is>
          <t>🚫重复</t>
        </is>
      </c>
      <c r="R1033" t="inlineStr">
        <is>
          <t>14周</t>
        </is>
      </c>
      <c r="S1033" t="inlineStr">
        <is>
          <t>0.16</t>
        </is>
      </c>
      <c r="T1033" t="inlineStr">
        <is>
          <t>服饰穿搭</t>
        </is>
      </c>
      <c r="U1033" t="inlineStr">
        <is>
          <t>女装</t>
        </is>
      </c>
      <c r="V1033" s="3">
        <v>46112.78107638889</v>
      </c>
      <c r="W1033" t="inlineStr">
        <is>
          <t>2026-Q1</t>
        </is>
      </c>
    </row>
    <row r="1034" ht="25.5" customHeight="1">
      <c r="A1034" t="inlineStr">
        <is>
          <t>气质温柔高级感褶皱云朵发夹香蕉夹竖夹抓夹新款头饰横夹</t>
        </is>
      </c>
      <c r="B1034" t="inlineStr">
        <is>
          <t>recveCblQ9yh7y.jpg</t>
        </is>
      </c>
      <c r="C1034" s="2" t="str">
        <f>=HYPERLINK("https://xhslink.com/m/3pEN8Uyjd2f", "https://xhslink.com/m/3pEN8Uyjd2f")</f>
        <v>https://xhslink.com/m/3pEN8Uyjd2f</v>
      </c>
      <c r="D1034"/>
      <c r="E1034">
        <v>65000</v>
      </c>
      <c r="F1034">
        <v>25.9</v>
      </c>
      <c r="G1034">
        <v>11.9</v>
      </c>
      <c r="H1034">
        <v>300</v>
      </c>
      <c r="I1034" t="inlineStr">
        <is>
          <t>发夹</t>
        </is>
      </c>
      <c r="J1034" t="inlineStr">
        <is>
          <t>0.00</t>
        </is>
      </c>
      <c r="K1034"/>
      <c r="L1034" t="inlineStr">
        <is>
          <t>薄荷巧克力ii的店</t>
        </is>
      </c>
      <c r="M1034">
        <v>82000</v>
      </c>
      <c r="N1034">
        <v>4.45</v>
      </c>
      <c r="O1034">
        <v>765000</v>
      </c>
      <c r="P1034" t="inlineStr">
        <is>
          <t>68c8fcf3f9d8290001e9417a</t>
        </is>
      </c>
      <c r="Q1034" t="inlineStr">
        <is>
          <t>🚫重复</t>
        </is>
      </c>
      <c r="R1034" t="inlineStr">
        <is>
          <t>14周</t>
        </is>
      </c>
      <c r="S1034" t="inlineStr">
        <is>
          <t>0.79</t>
        </is>
      </c>
      <c r="T1034" t="inlineStr">
        <is>
          <t>服饰穿搭</t>
        </is>
      </c>
      <c r="U1034" t="inlineStr">
        <is>
          <t>配饰</t>
        </is>
      </c>
      <c r="V1034" s="3">
        <v>46112.78107638889</v>
      </c>
      <c r="W1034" t="inlineStr">
        <is>
          <t>2026-Q1</t>
        </is>
      </c>
    </row>
    <row r="1035" ht="25.5" customHeight="1">
      <c r="A1035" t="inlineStr">
        <is>
          <t>桌子女生卧室ins风化妆桌学生家用简约白色书桌简易出租屋电脑桌</t>
        </is>
      </c>
      <c r="B1035" t="inlineStr">
        <is>
          <t>recveKOBkW32Xb.jpg</t>
        </is>
      </c>
      <c r="C1035" s="2" t="str">
        <f>=HYPERLINK("https://xhslink.com/m/9e6pLsKtMMc", "https://xhslink.com/m/9e6pLsKtMMc")</f>
        <v>https://xhslink.com/m/9e6pLsKtMMc</v>
      </c>
      <c r="D1035"/>
      <c r="E1035">
        <v>10000</v>
      </c>
      <c r="F1035">
        <v>128</v>
      </c>
      <c r="G1035"/>
      <c r="H1035">
        <v>300</v>
      </c>
      <c r="I1035" t="inlineStr">
        <is>
          <t>卧室好物</t>
        </is>
      </c>
      <c r="J1035" t="inlineStr">
        <is>
          <t>0.03</t>
        </is>
      </c>
      <c r="K1035" t="inlineStr">
        <is>
          <t>🔥低粉爆款</t>
        </is>
      </c>
      <c r="L1035" t="inlineStr">
        <is>
          <t>可可小佳的店</t>
        </is>
      </c>
      <c r="M1035">
        <v>270</v>
      </c>
      <c r="N1035">
        <v>4.37</v>
      </c>
      <c r="O1035">
        <v>11000</v>
      </c>
      <c r="P1035" t="inlineStr">
        <is>
          <t>687b4a4eb1b9df000107013f</t>
        </is>
      </c>
      <c r="Q1035" t="inlineStr">
        <is>
          <t>🚫重复</t>
        </is>
      </c>
      <c r="R1035" t="inlineStr">
        <is>
          <t>14周</t>
        </is>
      </c>
      <c r="S1035" t="inlineStr">
        <is>
          <t>37.04</t>
        </is>
      </c>
      <c r="T1035" t="inlineStr">
        <is>
          <t>家居生活</t>
        </is>
      </c>
      <c r="U1035" t="inlineStr">
        <is>
          <t>家具家装</t>
        </is>
      </c>
      <c r="V1035" s="3">
        <v>46112.78107638889</v>
      </c>
      <c r="W1035" t="inlineStr">
        <is>
          <t>2026-Q1</t>
        </is>
      </c>
    </row>
    <row r="1036" ht="25.5" customHeight="1">
      <c r="A1036" t="inlineStr">
        <is>
          <t>可爱兔子头玩偶毛绒抱枕送男女朋友礼物床上睡沙发靠垫生日礼物</t>
        </is>
      </c>
      <c r="B1036" t="inlineStr">
        <is>
          <t>recveKOBkWNQJX.jpg</t>
        </is>
      </c>
      <c r="C1036" s="2" t="str">
        <f>=HYPERLINK("https://xhslink.com/m/8IsZrDI9TjL", "https://xhslink.com/m/8IsZrDI9TjL")</f>
        <v>https://xhslink.com/m/8IsZrDI9TjL</v>
      </c>
      <c r="D1036"/>
      <c r="E1036">
        <v>171000</v>
      </c>
      <c r="F1036">
        <v>35.6</v>
      </c>
      <c r="G1036">
        <v>10.9</v>
      </c>
      <c r="H1036">
        <v>300</v>
      </c>
      <c r="I1036" t="inlineStr">
        <is>
          <t>卧室好物</t>
        </is>
      </c>
      <c r="J1036" t="inlineStr">
        <is>
          <t>0.00</t>
        </is>
      </c>
      <c r="K1036" t="inlineStr">
        <is>
          <t>🔥低粉爆款</t>
        </is>
      </c>
      <c r="L1036" t="inlineStr">
        <is>
          <t>梵樱优选的店</t>
        </is>
      </c>
      <c r="M1036">
        <v>16000</v>
      </c>
      <c r="N1036">
        <v>4.69</v>
      </c>
      <c r="O1036">
        <v>292000</v>
      </c>
      <c r="P1036" t="inlineStr">
        <is>
          <t>6793843075ca3a0001435c00</t>
        </is>
      </c>
      <c r="Q1036" t="inlineStr">
        <is>
          <t>🚫重复</t>
        </is>
      </c>
      <c r="R1036" t="inlineStr">
        <is>
          <t>14周</t>
        </is>
      </c>
      <c r="S1036" t="inlineStr">
        <is>
          <t>10.69</t>
        </is>
      </c>
      <c r="T1036" t="inlineStr">
        <is>
          <t>家居生活</t>
        </is>
      </c>
      <c r="U1036" t="inlineStr">
        <is>
          <t>家具家装</t>
        </is>
      </c>
      <c r="V1036" s="3">
        <v>46112.78107638889</v>
      </c>
      <c r="W1036" t="inlineStr">
        <is>
          <t>2026-Q1</t>
        </is>
      </c>
    </row>
    <row r="1037" ht="25.5" customHeight="1">
      <c r="A1037" t="inlineStr">
        <is>
          <t>春秋磨毛灯笼袖衬衫加厚宽松立领飞机袖上衣通勤职业混搭马面裙</t>
        </is>
      </c>
      <c r="B1037" t="inlineStr">
        <is>
          <t>recveKOBkW6jNq.jpg</t>
        </is>
      </c>
      <c r="C1037" s="2" t="str">
        <f>=HYPERLINK("https://xhslink.com/m/50qgWP9qLw9", "https://xhslink.com/m/50qgWP9qLw9")</f>
        <v>https://xhslink.com/m/50qgWP9qLw9</v>
      </c>
      <c r="D1037"/>
      <c r="E1037">
        <v>16000</v>
      </c>
      <c r="F1037">
        <v>89</v>
      </c>
      <c r="G1037">
        <v>79</v>
      </c>
      <c r="H1037">
        <v>300</v>
      </c>
      <c r="I1037" t="inlineStr">
        <is>
          <t>衬衫</t>
        </is>
      </c>
      <c r="J1037" t="inlineStr">
        <is>
          <t>0.02</t>
        </is>
      </c>
      <c r="K1037"/>
      <c r="L1037" t="inlineStr">
        <is>
          <t>兮兮穿搭的店</t>
        </is>
      </c>
      <c r="M1037">
        <v>5942</v>
      </c>
      <c r="N1037">
        <v>4.64</v>
      </c>
      <c r="O1037">
        <v>47000</v>
      </c>
      <c r="P1037" t="inlineStr">
        <is>
          <t>6772109de1145900017c1d86</t>
        </is>
      </c>
      <c r="Q1037"/>
      <c r="R1037" t="inlineStr">
        <is>
          <t>14周</t>
        </is>
      </c>
      <c r="S1037" t="inlineStr">
        <is>
          <t>2.69</t>
        </is>
      </c>
      <c r="T1037" t="inlineStr">
        <is>
          <t>服饰穿搭</t>
        </is>
      </c>
      <c r="U1037" t="inlineStr">
        <is>
          <t>女装</t>
        </is>
      </c>
      <c r="V1037" s="3">
        <v>46112.78107638889</v>
      </c>
      <c r="W1037" t="inlineStr">
        <is>
          <t>2026-Q1</t>
        </is>
      </c>
    </row>
    <row r="1038" ht="25.5" customHeight="1">
      <c r="A1038" t="inlineStr">
        <is>
          <t>圆圆呀aaa__｛现货48小时内发｝3厘米绸缎高级高跟气质女鞋</t>
        </is>
      </c>
      <c r="B1038" t="inlineStr">
        <is>
          <t>recveKOBkWGeT0.jpg</t>
        </is>
      </c>
      <c r="C1038" s="2" t="str">
        <f>=HYPERLINK("https://xhslink.com/m/8IBfqWFUCF1", "https://xhslink.com/m/8IBfqWFUCF1")</f>
        <v>https://xhslink.com/m/8IBfqWFUCF1</v>
      </c>
      <c r="D1038"/>
      <c r="E1038">
        <v>11000</v>
      </c>
      <c r="F1038">
        <v>180</v>
      </c>
      <c r="G1038">
        <v>147</v>
      </c>
      <c r="H1038">
        <v>300</v>
      </c>
      <c r="I1038" t="inlineStr">
        <is>
          <t>鞋靴</t>
        </is>
      </c>
      <c r="J1038" t="inlineStr">
        <is>
          <t>0.03</t>
        </is>
      </c>
      <c r="K1038"/>
      <c r="L1038" t="inlineStr">
        <is>
          <t>圆圆呀aaa__的店</t>
        </is>
      </c>
      <c r="M1038">
        <v>11000</v>
      </c>
      <c r="N1038">
        <v>4.61</v>
      </c>
      <c r="O1038">
        <v>48000</v>
      </c>
      <c r="P1038" t="inlineStr">
        <is>
          <t>692301e1fb6e0d00013b1822</t>
        </is>
      </c>
      <c r="Q1038" t="inlineStr">
        <is>
          <t>🚫重复</t>
        </is>
      </c>
      <c r="R1038" t="inlineStr">
        <is>
          <t>14周</t>
        </is>
      </c>
      <c r="S1038" t="inlineStr">
        <is>
          <t>1.00</t>
        </is>
      </c>
      <c r="T1038" t="inlineStr">
        <is>
          <t>服饰穿搭</t>
        </is>
      </c>
      <c r="U1038" t="inlineStr">
        <is>
          <t>鞋靴箱包</t>
        </is>
      </c>
      <c r="V1038" s="3">
        <v>46112.78107638889</v>
      </c>
      <c r="W1038" t="inlineStr">
        <is>
          <t>2026-Q1</t>
        </is>
      </c>
    </row>
    <row r="1039" ht="25.5" customHeight="1">
      <c r="A1039" t="inlineStr">
        <is>
          <t>【70拼豆笔】豆浆兔几拼豆笔双针68-70豆笔新手适用肌无力针1.2mm</t>
        </is>
      </c>
      <c r="B1039" t="inlineStr">
        <is>
          <t>recveKOBkWiKc7.jpg</t>
        </is>
      </c>
      <c r="C1039" s="2" t="str">
        <f>=HYPERLINK("https://xhslink.com/m/1MOpPEpJjDa", "https://xhslink.com/m/1MOpPEpJjDa")</f>
        <v>https://xhslink.com/m/1MOpPEpJjDa</v>
      </c>
      <c r="D1039"/>
      <c r="E1039">
        <v>21000</v>
      </c>
      <c r="F1039">
        <v>188</v>
      </c>
      <c r="G1039"/>
      <c r="H1039">
        <v>300</v>
      </c>
      <c r="I1039" t="inlineStr">
        <is>
          <t>拼豆</t>
        </is>
      </c>
      <c r="J1039" t="inlineStr">
        <is>
          <t>0.01</t>
        </is>
      </c>
      <c r="K1039" t="inlineStr">
        <is>
          <t>🔥低粉爆款</t>
        </is>
      </c>
      <c r="L1039" t="inlineStr">
        <is>
          <t>豆浆拼豆的店</t>
        </is>
      </c>
      <c r="M1039">
        <v>1648</v>
      </c>
      <c r="N1039">
        <v>4.56</v>
      </c>
      <c r="O1039">
        <v>42000</v>
      </c>
      <c r="P1039" t="inlineStr">
        <is>
          <t>697499b106c72300012f42b4</t>
        </is>
      </c>
      <c r="Q1039"/>
      <c r="R1039" t="inlineStr">
        <is>
          <t>14周</t>
        </is>
      </c>
      <c r="S1039" t="inlineStr">
        <is>
          <t>12.74</t>
        </is>
      </c>
      <c r="T1039" t="inlineStr">
        <is>
          <t>美食滋补</t>
        </is>
      </c>
      <c r="U1039" t="inlineStr">
        <is>
          <t>酒水冲饮</t>
        </is>
      </c>
      <c r="V1039" s="3">
        <v>46112.78107638889</v>
      </c>
      <c r="W1039" t="inlineStr">
        <is>
          <t>2026-Q1</t>
        </is>
      </c>
    </row>
    <row r="1040" ht="25.5" customHeight="1">
      <c r="A1040" t="inlineStr">
        <is>
          <t>拼豆1200颗补充包221色融合拼豆补充包2.6mm小豆全色系融合豆</t>
        </is>
      </c>
      <c r="B1040" t="inlineStr">
        <is>
          <t>recveKOBkW6uKp.jpg</t>
        </is>
      </c>
      <c r="C1040" s="2" t="str">
        <f>=HYPERLINK("https://xhslink.com/m/VwPaTwqwP1", "https://xhslink.com/m/VwPaTwqwP1")</f>
        <v>https://xhslink.com/m/VwPaTwqwP1</v>
      </c>
      <c r="D1040"/>
      <c r="E1040">
        <v>2215</v>
      </c>
      <c r="F1040">
        <v>287.3</v>
      </c>
      <c r="G1040"/>
      <c r="H1040">
        <v>300</v>
      </c>
      <c r="I1040" t="inlineStr">
        <is>
          <t>拼豆</t>
        </is>
      </c>
      <c r="J1040" t="inlineStr">
        <is>
          <t>0.14</t>
        </is>
      </c>
      <c r="K1040"/>
      <c r="L1040" t="inlineStr">
        <is>
          <t>星芒拼豆的店</t>
        </is>
      </c>
      <c r="M1040">
        <v>9775</v>
      </c>
      <c r="N1040">
        <v>4.36</v>
      </c>
      <c r="O1040">
        <v>14000</v>
      </c>
      <c r="P1040" t="inlineStr">
        <is>
          <t>692a661fb644e40001a6a314</t>
        </is>
      </c>
      <c r="Q1040"/>
      <c r="R1040" t="inlineStr">
        <is>
          <t>14周</t>
        </is>
      </c>
      <c r="S1040" t="inlineStr">
        <is>
          <t>0.23</t>
        </is>
      </c>
      <c r="T1040" t="inlineStr">
        <is>
          <t>运动潮玩</t>
        </is>
      </c>
      <c r="U1040" t="inlineStr">
        <is>
          <t>潮玩手办</t>
        </is>
      </c>
      <c r="V1040" s="3">
        <v>46112.78107638889</v>
      </c>
      <c r="W1040" t="inlineStr">
        <is>
          <t>2026-Q1</t>
        </is>
      </c>
    </row>
    <row r="1041" ht="25.5" customHeight="1">
      <c r="A1041" t="inlineStr">
        <is>
          <t>BaHenMei · 医用硅酮疤痕贴儿童磕碰甲状腺增生剖腹产双眼皮手术祛疤膏减张贴 · 1卷疤痕贴+1支祛疤膏（更实惠）</t>
        </is>
      </c>
      <c r="B1041" t="inlineStr">
        <is>
          <t>recveKOBkWaMVB.jpg</t>
        </is>
      </c>
      <c r="C1041" s="2" t="str">
        <f>=HYPERLINK("https://www.xiaohongshu.com/goods-detail/68ed0d164daabe0001b92228", "https://www.xiaohongshu.com/goods-detail/68ed0d164daabe0001b92228")</f>
        <v>https://www.xiaohongshu.com/goods-detail/68ed0d164daabe0001b92228</v>
      </c>
      <c r="D1041"/>
      <c r="E1041">
        <v>54000</v>
      </c>
      <c r="F1041">
        <v>65</v>
      </c>
      <c r="G1041"/>
      <c r="H1041">
        <v>300</v>
      </c>
      <c r="I1041" t="inlineStr">
        <is>
          <t>祛疤</t>
        </is>
      </c>
      <c r="J1041" t="inlineStr">
        <is>
          <t>0.01</t>
        </is>
      </c>
      <c r="K1041" t="inlineStr">
        <is>
          <t>🔥低粉爆款</t>
        </is>
      </c>
      <c r="L1041" t="inlineStr">
        <is>
          <t>BaHenMei医疗器械旗舰店</t>
        </is>
      </c>
      <c r="M1041">
        <v>2333</v>
      </c>
      <c r="N1041">
        <v>4.87</v>
      </c>
      <c r="O1041">
        <v>56000</v>
      </c>
      <c r="P1041" t="inlineStr">
        <is>
          <t>68ed0d164daabe0001b92228</t>
        </is>
      </c>
      <c r="Q1041"/>
      <c r="R1041" t="inlineStr">
        <is>
          <t>14周</t>
        </is>
      </c>
      <c r="S1041" t="inlineStr">
        <is>
          <t>23.15</t>
        </is>
      </c>
      <c r="T1041" t="inlineStr">
        <is>
          <t>美妆个护</t>
        </is>
      </c>
      <c r="U1041" t="inlineStr">
        <is>
          <t>个人护理</t>
        </is>
      </c>
      <c r="V1041" s="3">
        <v>46112.78107638889</v>
      </c>
      <c r="W1041" t="inlineStr">
        <is>
          <t>2026-Q1</t>
        </is>
      </c>
    </row>
    <row r="1042" ht="25.5" customHeight="1">
      <c r="A1042" t="inlineStr">
        <is>
          <t>瑜伽小熊 · 复古文艺-国风棉麻宽松百搭松紧瑜伽灯笼裤运动普拉提束脚家居裤</t>
        </is>
      </c>
      <c r="B1042" t="inlineStr">
        <is>
          <t>recveKOBkWFMtz.jpg</t>
        </is>
      </c>
      <c r="C1042" s="2" t="str">
        <f>=HYPERLINK("https://xhslink.com/m/uifBoc6amt", "https://xhslink.com/m/uifBoc6amt")</f>
        <v>https://xhslink.com/m/uifBoc6amt</v>
      </c>
      <c r="D1042"/>
      <c r="E1042">
        <v>6248</v>
      </c>
      <c r="F1042">
        <v>99</v>
      </c>
      <c r="G1042"/>
      <c r="H1042">
        <v>300</v>
      </c>
      <c r="I1042" t="inlineStr">
        <is>
          <t>运动裤</t>
        </is>
      </c>
      <c r="J1042" t="inlineStr">
        <is>
          <t>0.05</t>
        </is>
      </c>
      <c r="K1042"/>
      <c r="L1042" t="inlineStr">
        <is>
          <t>瑜伽小熊带你练瑜伽的店</t>
        </is>
      </c>
      <c r="M1042">
        <v>155000</v>
      </c>
      <c r="N1042">
        <v>4.54</v>
      </c>
      <c r="O1042">
        <v>219000</v>
      </c>
      <c r="P1042" t="inlineStr">
        <is>
          <t>6811feb6b6240c001518699d</t>
        </is>
      </c>
      <c r="Q1042" t="inlineStr">
        <is>
          <t>🚫重复</t>
        </is>
      </c>
      <c r="R1042" t="inlineStr">
        <is>
          <t>14周</t>
        </is>
      </c>
      <c r="S1042" t="inlineStr">
        <is>
          <t>0.04</t>
        </is>
      </c>
      <c r="T1042" t="inlineStr">
        <is>
          <t>运动潮玩</t>
        </is>
      </c>
      <c r="U1042" t="inlineStr">
        <is>
          <t>运动户外装备</t>
        </is>
      </c>
      <c r="V1042" s="3">
        <v>46112.78107638889</v>
      </c>
      <c r="W1042" t="inlineStr">
        <is>
          <t>2026-Q1</t>
        </is>
      </c>
    </row>
    <row r="1043" ht="25.5" customHeight="1">
      <c r="A1043" t="inlineStr">
        <is>
          <t>乳果那年 · 【春日市集】山竹冰茉莉白葡萄甜酒6度低度数微醺果酒晚安酒720ml</t>
        </is>
      </c>
      <c r="B1043" t="inlineStr">
        <is>
          <t>recveNXG9tMSJl.jpg</t>
        </is>
      </c>
      <c r="C1043" s="2" t="str">
        <f>=HYPERLINK("https://xhslink.com/m/4hfvHNC2rw4", "https://xhslink.com/m/4hfvHNC2rw4")</f>
        <v>https://xhslink.com/m/4hfvHNC2rw4</v>
      </c>
      <c r="D1043"/>
      <c r="E1043">
        <v>39000</v>
      </c>
      <c r="F1043">
        <v>49</v>
      </c>
      <c r="G1043">
        <v>34.9</v>
      </c>
      <c r="H1043">
        <v>300</v>
      </c>
      <c r="I1043" t="inlineStr">
        <is>
          <t>饮品</t>
        </is>
      </c>
      <c r="J1043" t="inlineStr">
        <is>
          <t>0.01</t>
        </is>
      </c>
      <c r="K1043"/>
      <c r="L1043" t="inlineStr">
        <is>
          <t>乳果那年旗舰店</t>
        </is>
      </c>
      <c r="M1043">
        <v>30000</v>
      </c>
      <c r="N1043">
        <v>4.47</v>
      </c>
      <c r="O1043">
        <v>60000</v>
      </c>
      <c r="P1043" t="inlineStr">
        <is>
          <t>686f52387398810001091298</t>
        </is>
      </c>
      <c r="Q1043" t="inlineStr">
        <is>
          <t>🚫重复</t>
        </is>
      </c>
      <c r="R1043" t="inlineStr">
        <is>
          <t>14周</t>
        </is>
      </c>
      <c r="S1043" t="inlineStr">
        <is>
          <t>1.30</t>
        </is>
      </c>
      <c r="T1043" t="inlineStr">
        <is>
          <t>美食滋补</t>
        </is>
      </c>
      <c r="U1043" t="inlineStr">
        <is>
          <t>酒水冲饮</t>
        </is>
      </c>
      <c r="V1043" s="3">
        <v>46112.78107638889</v>
      </c>
      <c r="W1043" t="inlineStr">
        <is>
          <t>2026-Q1</t>
        </is>
      </c>
    </row>
    <row r="1044" ht="25.5" customHeight="1">
      <c r="A1044" t="inlineStr">
        <is>
          <t>【超浓缩冻干咖啡】新鲜咖啡豆低温提取冻干浓郁醇厚速溶黑咖啡</t>
        </is>
      </c>
      <c r="B1044" t="inlineStr">
        <is>
          <t>recveNXG9tS1Br.jpg</t>
        </is>
      </c>
      <c r="C1044" s="2" t="str">
        <f>=HYPERLINK("https://xhslink.com/m/63wuQpSEzPr", "https://xhslink.com/m/63wuQpSEzPr")</f>
        <v>https://xhslink.com/m/63wuQpSEzPr</v>
      </c>
      <c r="D1044"/>
      <c r="E1044">
        <v>9695</v>
      </c>
      <c r="F1044">
        <v>125.9</v>
      </c>
      <c r="G1044">
        <v>115.9</v>
      </c>
      <c r="H1044">
        <v>300</v>
      </c>
      <c r="I1044" t="inlineStr">
        <is>
          <t>饮品</t>
        </is>
      </c>
      <c r="J1044" t="inlineStr">
        <is>
          <t>0.03</t>
        </is>
      </c>
      <c r="K1044"/>
      <c r="L1044" t="inlineStr">
        <is>
          <t>M7 Coffee Studio的店</t>
        </is>
      </c>
      <c r="M1044">
        <v>6302</v>
      </c>
      <c r="N1044">
        <v>4.84</v>
      </c>
      <c r="O1044">
        <v>39000</v>
      </c>
      <c r="P1044" t="inlineStr">
        <is>
          <t>69445ec24423c30001882b82</t>
        </is>
      </c>
      <c r="Q1044" t="inlineStr">
        <is>
          <t>🚫重复</t>
        </is>
      </c>
      <c r="R1044" t="inlineStr">
        <is>
          <t>14周</t>
        </is>
      </c>
      <c r="S1044" t="inlineStr">
        <is>
          <t>1.54</t>
        </is>
      </c>
      <c r="T1044" t="inlineStr">
        <is>
          <t>美食滋补</t>
        </is>
      </c>
      <c r="U1044" t="inlineStr">
        <is>
          <t>酒水冲饮</t>
        </is>
      </c>
      <c r="V1044" s="3">
        <v>46112.78107638889</v>
      </c>
      <c r="W1044" t="inlineStr">
        <is>
          <t>2026-Q1</t>
        </is>
      </c>
    </row>
    <row r="1045" ht="25.5" customHeight="1">
      <c r="A1045" t="inlineStr">
        <is>
          <t>米尼尼 韩系辣妹高级感V领修身短袖T恤</t>
        </is>
      </c>
      <c r="B1045" t="inlineStr">
        <is>
          <t>recveNXG9t14a2.jpg</t>
        </is>
      </c>
      <c r="C1045" s="2" t="str">
        <f>=HYPERLINK("https://xhslink.com/m/xbAdHzfVcR", "https://xhslink.com/m/xbAdHzfVcR")</f>
        <v>https://xhslink.com/m/xbAdHzfVcR</v>
      </c>
      <c r="D1045"/>
      <c r="E1045">
        <v>55000</v>
      </c>
      <c r="F1045">
        <v>55.9</v>
      </c>
      <c r="G1045">
        <v>45.9</v>
      </c>
      <c r="H1045">
        <v>300</v>
      </c>
      <c r="I1045" t="inlineStr">
        <is>
          <t>T恤</t>
        </is>
      </c>
      <c r="J1045" t="inlineStr">
        <is>
          <t>0.01</t>
        </is>
      </c>
      <c r="K1045"/>
      <c r="L1045" t="inlineStr">
        <is>
          <t>米尼尼studio的店</t>
        </is>
      </c>
      <c r="M1045">
        <v>488000</v>
      </c>
      <c r="N1045">
        <v>4.51</v>
      </c>
      <c r="O1045">
        <v>595000</v>
      </c>
      <c r="P1045" t="inlineStr">
        <is>
          <t>682f7d29778893000177a9b2</t>
        </is>
      </c>
      <c r="Q1045" t="inlineStr">
        <is>
          <t>🚫重复</t>
        </is>
      </c>
      <c r="R1045" t="inlineStr">
        <is>
          <t>14周</t>
        </is>
      </c>
      <c r="S1045" t="inlineStr">
        <is>
          <t>0.11</t>
        </is>
      </c>
      <c r="T1045" t="inlineStr">
        <is>
          <t>服饰穿搭</t>
        </is>
      </c>
      <c r="U1045" t="inlineStr">
        <is>
          <t>女装</t>
        </is>
      </c>
      <c r="V1045" s="3">
        <v>46112.78107638889</v>
      </c>
      <c r="W1045" t="inlineStr">
        <is>
          <t>2026-Q1</t>
        </is>
      </c>
    </row>
    <row r="1046" ht="25.5" customHeight="1">
      <c r="A1046" t="inlineStr">
        <is>
          <t>运动上衣女2026春季新款瑜伽服跑步健身休闲通勤短袖宽松T恤套装</t>
        </is>
      </c>
      <c r="B1046" t="inlineStr">
        <is>
          <t>recveNXG9tZDEy.jpg</t>
        </is>
      </c>
      <c r="C1046" s="2" t="str">
        <f>=HYPERLINK("https://xhslink.com/m/tGysOT6fBX", "https://xhslink.com/m/tGysOT6fBX")</f>
        <v>https://xhslink.com/m/tGysOT6fBX</v>
      </c>
      <c r="D1046"/>
      <c r="E1046">
        <v>33000</v>
      </c>
      <c r="F1046">
        <v>58.7</v>
      </c>
      <c r="G1046">
        <v>49.89</v>
      </c>
      <c r="H1046">
        <v>300</v>
      </c>
      <c r="I1046" t="inlineStr">
        <is>
          <t>T恤</t>
        </is>
      </c>
      <c r="J1046" t="inlineStr">
        <is>
          <t>0.01</t>
        </is>
      </c>
      <c r="K1046"/>
      <c r="L1046" t="inlineStr">
        <is>
          <t>云感Yoga瑜伽的店</t>
        </is>
      </c>
      <c r="M1046">
        <v>25000</v>
      </c>
      <c r="N1046">
        <v>4.59</v>
      </c>
      <c r="O1046">
        <v>302000</v>
      </c>
      <c r="P1046" t="inlineStr">
        <is>
          <t>6856b90148753b0001ae4612</t>
        </is>
      </c>
      <c r="Q1046" t="inlineStr">
        <is>
          <t>🚫重复</t>
        </is>
      </c>
      <c r="R1046" t="inlineStr">
        <is>
          <t>14周</t>
        </is>
      </c>
      <c r="S1046" t="inlineStr">
        <is>
          <t>1.32</t>
        </is>
      </c>
      <c r="T1046" t="inlineStr">
        <is>
          <t>运动潮玩</t>
        </is>
      </c>
      <c r="U1046" t="inlineStr">
        <is>
          <t>运动户外装备</t>
        </is>
      </c>
      <c r="V1046" s="3">
        <v>46112.78107638889</v>
      </c>
      <c r="W1046" t="inlineStr">
        <is>
          <t>2026-Q1</t>
        </is>
      </c>
    </row>
    <row r="1047" ht="25.5" customHeight="1">
      <c r="A1047" t="inlineStr">
        <is>
          <t>v领正肩短袖t恤女白色纯棉百搭纯色显瘦紧身收腰上衣</t>
        </is>
      </c>
      <c r="B1047" t="inlineStr">
        <is>
          <t>recveNXG9t318Y.jpg</t>
        </is>
      </c>
      <c r="C1047" s="2" t="str">
        <f>=HYPERLINK("https://xhslink.com/m/AiixyOXDcqy", "https://xhslink.com/m/AiixyOXDcqy")</f>
        <v>https://xhslink.com/m/AiixyOXDcqy</v>
      </c>
      <c r="D1047"/>
      <c r="E1047">
        <v>3295</v>
      </c>
      <c r="F1047">
        <v>39</v>
      </c>
      <c r="G1047">
        <v>36</v>
      </c>
      <c r="H1047">
        <v>300</v>
      </c>
      <c r="I1047" t="inlineStr">
        <is>
          <t>T恤</t>
        </is>
      </c>
      <c r="J1047" t="inlineStr">
        <is>
          <t>0.09</t>
        </is>
      </c>
      <c r="K1047"/>
      <c r="L1047" t="inlineStr">
        <is>
          <t>爆甜家的店</t>
        </is>
      </c>
      <c r="M1047">
        <v>2171</v>
      </c>
      <c r="N1047">
        <v>4.69</v>
      </c>
      <c r="O1047">
        <v>15000</v>
      </c>
      <c r="P1047" t="inlineStr">
        <is>
          <t>67c483e1f2389c0001e5578f</t>
        </is>
      </c>
      <c r="Q1047" t="inlineStr">
        <is>
          <t>🚫重复</t>
        </is>
      </c>
      <c r="R1047" t="inlineStr">
        <is>
          <t>14周</t>
        </is>
      </c>
      <c r="S1047" t="inlineStr">
        <is>
          <t>1.52</t>
        </is>
      </c>
      <c r="T1047" t="inlineStr">
        <is>
          <t>服饰穿搭</t>
        </is>
      </c>
      <c r="U1047" t="inlineStr">
        <is>
          <t>女装</t>
        </is>
      </c>
      <c r="V1047" s="3">
        <v>46112.78107638889</v>
      </c>
      <c r="W1047" t="inlineStr">
        <is>
          <t>2026-Q1</t>
        </is>
      </c>
    </row>
    <row r="1048" ht="25.5" customHeight="1">
      <c r="A1048" t="inlineStr">
        <is>
          <t>大V领T恤夏季收腰短袖莱赛尔轻薄女上衣 160G</t>
        </is>
      </c>
      <c r="B1048" t="inlineStr">
        <is>
          <t>recveNXG9t4j2i.jpg</t>
        </is>
      </c>
      <c r="C1048" s="2" t="str">
        <f>=HYPERLINK("https://xhslink.com/m/8i4senZgCRA", "https://xhslink.com/m/8i4senZgCRA")</f>
        <v>https://xhslink.com/m/8i4senZgCRA</v>
      </c>
      <c r="D1048"/>
      <c r="E1048">
        <v>5336</v>
      </c>
      <c r="F1048">
        <v>49.8</v>
      </c>
      <c r="G1048">
        <v>39.8</v>
      </c>
      <c r="H1048">
        <v>300</v>
      </c>
      <c r="I1048" t="inlineStr">
        <is>
          <t>T恤</t>
        </is>
      </c>
      <c r="J1048" t="inlineStr">
        <is>
          <t>0.06</t>
        </is>
      </c>
      <c r="K1048"/>
      <c r="L1048" t="inlineStr">
        <is>
          <t>1mo饼的店</t>
        </is>
      </c>
      <c r="M1048">
        <v>89000</v>
      </c>
      <c r="N1048">
        <v>4.71</v>
      </c>
      <c r="O1048">
        <v>451000</v>
      </c>
      <c r="P1048" t="inlineStr">
        <is>
          <t>687548cd7398810001b002d2</t>
        </is>
      </c>
      <c r="Q1048" t="inlineStr">
        <is>
          <t>🚫重复</t>
        </is>
      </c>
      <c r="R1048" t="inlineStr">
        <is>
          <t>14周</t>
        </is>
      </c>
      <c r="S1048" t="inlineStr">
        <is>
          <t>0.06</t>
        </is>
      </c>
      <c r="T1048" t="inlineStr">
        <is>
          <t>服饰穿搭</t>
        </is>
      </c>
      <c r="U1048" t="inlineStr">
        <is>
          <t>女装</t>
        </is>
      </c>
      <c r="V1048" s="3">
        <v>46112.78107638889</v>
      </c>
      <c r="W1048" t="inlineStr">
        <is>
          <t>2026-Q1</t>
        </is>
      </c>
    </row>
    <row r="1049" ht="25.5" customHeight="1">
      <c r="A1049" t="inlineStr">
        <is>
          <t>【4片包邮!】新款超大香薰香挂·车载/衣柜/鞋柜小空间1片香1年</t>
        </is>
      </c>
      <c r="B1049" t="inlineStr">
        <is>
          <t>recveNXG9tSxMV.jpg</t>
        </is>
      </c>
      <c r="C1049" s="2" t="str">
        <f>=HYPERLINK("https://xhslink.com/m/1BtQYaadh0b", "https://xhslink.com/m/1BtQYaadh0b")</f>
        <v>https://xhslink.com/m/1BtQYaadh0b</v>
      </c>
      <c r="D1049"/>
      <c r="E1049">
        <v>53000</v>
      </c>
      <c r="F1049">
        <v>29.9</v>
      </c>
      <c r="G1049">
        <v>0.1</v>
      </c>
      <c r="H1049">
        <v>300</v>
      </c>
      <c r="I1049" t="inlineStr">
        <is>
          <t>香薰</t>
        </is>
      </c>
      <c r="J1049" t="inlineStr">
        <is>
          <t>0.01</t>
        </is>
      </c>
      <c r="K1049"/>
      <c r="L1049" t="inlineStr">
        <is>
          <t>星燃小阿姨(新香挂！的店</t>
        </is>
      </c>
      <c r="M1049">
        <v>42000</v>
      </c>
      <c r="N1049">
        <v>4.66</v>
      </c>
      <c r="O1049">
        <v>222000</v>
      </c>
      <c r="P1049" t="inlineStr">
        <is>
          <t>69b387007c9c8f000162f840</t>
        </is>
      </c>
      <c r="Q1049"/>
      <c r="R1049" t="inlineStr">
        <is>
          <t>14周</t>
        </is>
      </c>
      <c r="S1049" t="inlineStr">
        <is>
          <t>1.26</t>
        </is>
      </c>
      <c r="T1049" t="inlineStr">
        <is>
          <t>家居生活</t>
        </is>
      </c>
      <c r="U1049" t="inlineStr">
        <is>
          <t>家居日用</t>
        </is>
      </c>
      <c r="V1049" s="3">
        <v>46112.78107638889</v>
      </c>
      <c r="W1049" t="inlineStr">
        <is>
          <t>2026-Q1</t>
        </is>
      </c>
    </row>
    <row r="1050" ht="25.5" customHeight="1">
      <c r="A1050" t="inlineStr">
        <is>
          <t>雅痞老钱风极简复古卡其裤休闲裤宽松直筒裤女运动长裤 #2579</t>
        </is>
      </c>
      <c r="B1050" t="inlineStr">
        <is>
          <t>recveNXG9t0CnI.jpg</t>
        </is>
      </c>
      <c r="C1050" s="2" t="str">
        <f>=HYPERLINK("https://xhslink.com/m/8S8QK1pIS6W", "https://xhslink.com/m/8S8QK1pIS6W")</f>
        <v>https://xhslink.com/m/8S8QK1pIS6W</v>
      </c>
      <c r="D1050"/>
      <c r="E1050">
        <v>32000</v>
      </c>
      <c r="F1050">
        <v>129</v>
      </c>
      <c r="G1050"/>
      <c r="H1050">
        <v>300</v>
      </c>
      <c r="I1050" t="inlineStr">
        <is>
          <t>运动裤</t>
        </is>
      </c>
      <c r="J1050" t="inlineStr">
        <is>
          <t>0.01</t>
        </is>
      </c>
      <c r="K1050"/>
      <c r="L1050" t="inlineStr">
        <is>
          <t>敏儿Miner的店</t>
        </is>
      </c>
      <c r="M1050">
        <v>21000</v>
      </c>
      <c r="N1050">
        <v>4.47</v>
      </c>
      <c r="O1050">
        <v>131000</v>
      </c>
      <c r="P1050" t="inlineStr">
        <is>
          <t>68e5f7627d3b3f0001f55ba1</t>
        </is>
      </c>
      <c r="Q1050" t="inlineStr">
        <is>
          <t>🚫重复</t>
        </is>
      </c>
      <c r="R1050" t="inlineStr">
        <is>
          <t>14周</t>
        </is>
      </c>
      <c r="S1050" t="inlineStr">
        <is>
          <t>1.52</t>
        </is>
      </c>
      <c r="T1050" t="inlineStr">
        <is>
          <t>服饰穿搭</t>
        </is>
      </c>
      <c r="U1050" t="inlineStr">
        <is>
          <t>女装</t>
        </is>
      </c>
      <c r="V1050" s="3">
        <v>46112.78107638889</v>
      </c>
      <c r="W1050" t="inlineStr">
        <is>
          <t>2026-Q1</t>
        </is>
      </c>
    </row>
    <row r="1051" ht="25.5" customHeight="1">
      <c r="A1051" t="inlineStr">
        <is>
          <t>23瑜伽服运动上衣春季款圆领高弹显瘦专业运动长袖跑步速干健身服</t>
        </is>
      </c>
      <c r="B1051" t="inlineStr">
        <is>
          <t>recveNXG9tWIGu.jpg</t>
        </is>
      </c>
      <c r="C1051" s="2" t="str">
        <f>=HYPERLINK("https://xhslink.com/m/84zBKepNah7", "https://xhslink.com/m/84zBKepNah7")</f>
        <v>https://xhslink.com/m/84zBKepNah7</v>
      </c>
      <c r="D1051"/>
      <c r="E1051">
        <v>19000</v>
      </c>
      <c r="F1051">
        <v>49.99</v>
      </c>
      <c r="G1051"/>
      <c r="H1051">
        <v>300</v>
      </c>
      <c r="I1051" t="inlineStr">
        <is>
          <t>长袖上衣</t>
        </is>
      </c>
      <c r="J1051" t="inlineStr">
        <is>
          <t>0.02</t>
        </is>
      </c>
      <c r="K1051"/>
      <c r="L1051" t="inlineStr">
        <is>
          <t>瑜伽少女Yoga的店</t>
        </is>
      </c>
      <c r="M1051">
        <v>10000</v>
      </c>
      <c r="N1051">
        <v>4.72</v>
      </c>
      <c r="O1051">
        <v>244000</v>
      </c>
      <c r="P1051" t="inlineStr">
        <is>
          <t>68bbc37fd471ac000112692e</t>
        </is>
      </c>
      <c r="Q1051" t="inlineStr">
        <is>
          <t>🚫重复</t>
        </is>
      </c>
      <c r="R1051" t="inlineStr">
        <is>
          <t>14周</t>
        </is>
      </c>
      <c r="S1051" t="inlineStr">
        <is>
          <t>1.90</t>
        </is>
      </c>
      <c r="T1051" t="inlineStr">
        <is>
          <t>运动潮玩</t>
        </is>
      </c>
      <c r="U1051" t="inlineStr">
        <is>
          <t>运动户外装备</t>
        </is>
      </c>
      <c r="V1051" s="3">
        <v>46112.78107638889</v>
      </c>
      <c r="W1051" t="inlineStr">
        <is>
          <t>2026-Q1</t>
        </is>
      </c>
    </row>
    <row r="1052" ht="25.5" customHeight="1">
      <c r="A1052" t="inlineStr">
        <is>
          <t>绿色设计感内搭宽松复古港味长袖衬衫女秋季新款衬衣上衣</t>
        </is>
      </c>
      <c r="B1052" t="inlineStr">
        <is>
          <t>recveNXG9tf4ib.jpg</t>
        </is>
      </c>
      <c r="C1052" s="2" t="str">
        <f>=HYPERLINK("https://xhslink.com/m/3dzUKGHDIwi", "https://xhslink.com/m/3dzUKGHDIwi")</f>
        <v>https://xhslink.com/m/3dzUKGHDIwi</v>
      </c>
      <c r="D1052"/>
      <c r="E1052">
        <v>8268</v>
      </c>
      <c r="F1052">
        <v>79</v>
      </c>
      <c r="G1052">
        <v>76</v>
      </c>
      <c r="H1052">
        <v>300</v>
      </c>
      <c r="I1052" t="inlineStr">
        <is>
          <t>长袖上衣</t>
        </is>
      </c>
      <c r="J1052" t="inlineStr">
        <is>
          <t>0.04</t>
        </is>
      </c>
      <c r="K1052"/>
      <c r="L1052" t="inlineStr">
        <is>
          <t>鱼鱼屿柠的店</t>
        </is>
      </c>
      <c r="M1052">
        <v>32000</v>
      </c>
      <c r="N1052">
        <v>4.56</v>
      </c>
      <c r="O1052">
        <v>116000</v>
      </c>
      <c r="P1052" t="inlineStr">
        <is>
          <t>66cff280dd9b9700011a390a</t>
        </is>
      </c>
      <c r="Q1052"/>
      <c r="R1052" t="inlineStr">
        <is>
          <t>14周</t>
        </is>
      </c>
      <c r="S1052" t="inlineStr">
        <is>
          <t>0.26</t>
        </is>
      </c>
      <c r="T1052" t="inlineStr">
        <is>
          <t>服饰穿搭</t>
        </is>
      </c>
      <c r="U1052" t="inlineStr">
        <is>
          <t>女装</t>
        </is>
      </c>
      <c r="V1052" s="3">
        <v>46112.78107638889</v>
      </c>
      <c r="W1052" t="inlineStr">
        <is>
          <t>2026-Q1</t>
        </is>
      </c>
    </row>
    <row r="1053" ht="25.5" customHeight="1">
      <c r="A1053" t="inlineStr">
        <is>
          <t>美式复古字母印花假两件长袖T恤女春新款显瘦宽松设计感小众上衣</t>
        </is>
      </c>
      <c r="B1053" t="inlineStr">
        <is>
          <t>recveNXG9tdrtQ.jpg</t>
        </is>
      </c>
      <c r="C1053" s="2" t="str">
        <f>=HYPERLINK("https://xhslink.com/m/2sfvw77YB3L", "https://xhslink.com/m/2sfvw77YB3L")</f>
        <v>https://xhslink.com/m/2sfvw77YB3L</v>
      </c>
      <c r="D1053"/>
      <c r="E1053">
        <v>1937</v>
      </c>
      <c r="F1053">
        <v>69.9</v>
      </c>
      <c r="G1053"/>
      <c r="H1053">
        <v>300</v>
      </c>
      <c r="I1053" t="inlineStr">
        <is>
          <t>长袖上衣</t>
        </is>
      </c>
      <c r="J1053" t="inlineStr">
        <is>
          <t>0.15</t>
        </is>
      </c>
      <c r="K1053"/>
      <c r="L1053" t="inlineStr">
        <is>
          <t>宁澄服装的店</t>
        </is>
      </c>
      <c r="M1053">
        <v>5222</v>
      </c>
      <c r="N1053">
        <v>4.73</v>
      </c>
      <c r="O1053">
        <v>40000</v>
      </c>
      <c r="P1053" t="inlineStr">
        <is>
          <t>696611be1d3786000145c801</t>
        </is>
      </c>
      <c r="Q1053" t="inlineStr">
        <is>
          <t>🚫重复</t>
        </is>
      </c>
      <c r="R1053" t="inlineStr">
        <is>
          <t>14周</t>
        </is>
      </c>
      <c r="S1053" t="inlineStr">
        <is>
          <t>0.37</t>
        </is>
      </c>
      <c r="T1053" t="inlineStr">
        <is>
          <t>服饰穿搭</t>
        </is>
      </c>
      <c r="U1053" t="inlineStr">
        <is>
          <t>女装</t>
        </is>
      </c>
      <c r="V1053" s="3">
        <v>46112.78107638889</v>
      </c>
      <c r="W1053" t="inlineStr">
        <is>
          <t>2026-Q1</t>
        </is>
      </c>
    </row>
    <row r="1054" ht="25.5" customHeight="1">
      <c r="A1054" t="inlineStr">
        <is>
          <t>秋季新款 打底衫半高领长袖t恤女纯色百搭修身显瘦女洋气上衣</t>
        </is>
      </c>
      <c r="B1054" t="inlineStr">
        <is>
          <t>recveNXG9tz49w.jpg</t>
        </is>
      </c>
      <c r="C1054" s="2" t="str">
        <f>=HYPERLINK("https://xhslink.com/m/6qZhRyTODr4", "https://xhslink.com/m/6qZhRyTODr4")</f>
        <v>https://xhslink.com/m/6qZhRyTODr4</v>
      </c>
      <c r="D1054"/>
      <c r="E1054">
        <v>345000</v>
      </c>
      <c r="F1054">
        <v>49.9</v>
      </c>
      <c r="G1054">
        <v>39.9</v>
      </c>
      <c r="H1054">
        <v>300</v>
      </c>
      <c r="I1054" t="inlineStr">
        <is>
          <t>长袖上衣</t>
        </is>
      </c>
      <c r="J1054" t="inlineStr">
        <is>
          <t>0.00</t>
        </is>
      </c>
      <c r="K1054" t="inlineStr">
        <is>
          <t>🔥低粉爆款</t>
        </is>
      </c>
      <c r="L1054" t="inlineStr">
        <is>
          <t>大姑娘瑶瑶的店</t>
        </is>
      </c>
      <c r="M1054">
        <v>52000</v>
      </c>
      <c r="N1054">
        <v>4.7</v>
      </c>
      <c r="O1054">
        <v>638000</v>
      </c>
      <c r="P1054" t="inlineStr">
        <is>
          <t>651f8110e392d40001e1df7b</t>
        </is>
      </c>
      <c r="Q1054"/>
      <c r="R1054" t="inlineStr">
        <is>
          <t>14周</t>
        </is>
      </c>
      <c r="S1054" t="inlineStr">
        <is>
          <t>6.63</t>
        </is>
      </c>
      <c r="T1054" t="inlineStr">
        <is>
          <t>服饰穿搭</t>
        </is>
      </c>
      <c r="U1054" t="inlineStr">
        <is>
          <t>女装</t>
        </is>
      </c>
      <c r="V1054" s="3">
        <v>46112.78107638889</v>
      </c>
      <c r="W1054" t="inlineStr">
        <is>
          <t>2026-Q1</t>
        </is>
      </c>
    </row>
    <row r="1055" ht="25.5" customHeight="1">
      <c r="A1055" t="inlineStr">
        <is>
          <t>适合所有女生个子的冲锋衣 · 三合一可拆卸内胆防水三防夹克外套</t>
        </is>
      </c>
      <c r="B1055" t="inlineStr">
        <is>
          <t>recveNXG9t9KJ4.jpg</t>
        </is>
      </c>
      <c r="C1055" s="2" t="str">
        <f>=HYPERLINK("https://xhslink.com/m/AgK4SRLZkP0", "https://xhslink.com/m/AgK4SRLZkP0")</f>
        <v>https://xhslink.com/m/AgK4SRLZkP0</v>
      </c>
      <c r="D1055"/>
      <c r="E1055">
        <v>157000</v>
      </c>
      <c r="F1055">
        <v>178</v>
      </c>
      <c r="G1055">
        <v>156.64</v>
      </c>
      <c r="H1055">
        <v>300</v>
      </c>
      <c r="I1055" t="inlineStr">
        <is>
          <t>外套</t>
        </is>
      </c>
      <c r="J1055" t="inlineStr">
        <is>
          <t>0.00</t>
        </is>
      </c>
      <c r="K1055" t="inlineStr">
        <is>
          <t>🔥低粉爆款</t>
        </is>
      </c>
      <c r="L1055" t="inlineStr">
        <is>
          <t>棠小小的店</t>
        </is>
      </c>
      <c r="M1055">
        <v>11000</v>
      </c>
      <c r="N1055">
        <v>4.61</v>
      </c>
      <c r="O1055">
        <v>159000</v>
      </c>
      <c r="P1055" t="inlineStr">
        <is>
          <t>69284107ccb9e0000101afc8</t>
        </is>
      </c>
      <c r="Q1055"/>
      <c r="R1055" t="inlineStr">
        <is>
          <t>14周</t>
        </is>
      </c>
      <c r="S1055" t="inlineStr">
        <is>
          <t>14.27</t>
        </is>
      </c>
      <c r="T1055" t="inlineStr">
        <is>
          <t>服饰穿搭</t>
        </is>
      </c>
      <c r="U1055" t="inlineStr">
        <is>
          <t>女装</t>
        </is>
      </c>
      <c r="V1055" s="3">
        <v>46112.78107638889</v>
      </c>
      <c r="W1055" t="inlineStr">
        <is>
          <t>2026-Q1</t>
        </is>
      </c>
    </row>
    <row r="1056" ht="25.5" customHeight="1">
      <c r="A1056" t="inlineStr">
        <is>
          <t>复古polo领牛仔外套衬衫女春秋修身显瘦高级感气质长袖上衣复古擦</t>
        </is>
      </c>
      <c r="B1056" t="inlineStr">
        <is>
          <t>recveNXG9tGGke.jpg</t>
        </is>
      </c>
      <c r="C1056" s="2" t="str">
        <f>=HYPERLINK("https://xhslink.com/m/AsPHDB209w3", "https://xhslink.com/m/AsPHDB209w3")</f>
        <v>https://xhslink.com/m/AsPHDB209w3</v>
      </c>
      <c r="D1056"/>
      <c r="E1056">
        <v>949</v>
      </c>
      <c r="F1056">
        <v>99</v>
      </c>
      <c r="G1056"/>
      <c r="H1056">
        <v>300</v>
      </c>
      <c r="I1056" t="inlineStr">
        <is>
          <t>外套</t>
        </is>
      </c>
      <c r="J1056" t="inlineStr">
        <is>
          <t>0.32</t>
        </is>
      </c>
      <c r="K1056"/>
      <c r="L1056" t="inlineStr">
        <is>
          <t>小小小叻的店</t>
        </is>
      </c>
      <c r="M1056">
        <v>13000</v>
      </c>
      <c r="N1056">
        <v>4.54</v>
      </c>
      <c r="O1056">
        <v>60000</v>
      </c>
      <c r="P1056" t="inlineStr">
        <is>
          <t>678a3900f4d6570001667a50</t>
        </is>
      </c>
      <c r="Q1056" t="inlineStr">
        <is>
          <t>🚫重复</t>
        </is>
      </c>
      <c r="R1056" t="inlineStr">
        <is>
          <t>14周</t>
        </is>
      </c>
      <c r="S1056" t="inlineStr">
        <is>
          <t>0.07</t>
        </is>
      </c>
      <c r="T1056" t="inlineStr">
        <is>
          <t>服饰穿搭</t>
        </is>
      </c>
      <c r="U1056" t="inlineStr">
        <is>
          <t>女装</t>
        </is>
      </c>
      <c r="V1056" s="3">
        <v>46112.78107638889</v>
      </c>
      <c r="W1056" t="inlineStr">
        <is>
          <t>2026-Q1</t>
        </is>
      </c>
    </row>
    <row r="1057" ht="25.5" customHeight="1">
      <c r="A1057" t="inlineStr">
        <is>
          <t>新升级！重磅440克！男女情侣秋冬加厚奥粒绒华夫格连帽春夏卫衣</t>
        </is>
      </c>
      <c r="B1057" t="inlineStr">
        <is>
          <t>recveNXG9tZMgE.jpg</t>
        </is>
      </c>
      <c r="C1057" s="2" t="str">
        <f>=HYPERLINK("https://xhslink.com/m/1oU0AByc2n6", "https://xhslink.com/m/1oU0AByc2n6")</f>
        <v>https://xhslink.com/m/1oU0AByc2n6</v>
      </c>
      <c r="D1057"/>
      <c r="E1057">
        <v>1442</v>
      </c>
      <c r="F1057">
        <v>109</v>
      </c>
      <c r="G1057">
        <v>89</v>
      </c>
      <c r="H1057">
        <v>300</v>
      </c>
      <c r="I1057" t="inlineStr">
        <is>
          <t>卫衣</t>
        </is>
      </c>
      <c r="J1057" t="inlineStr">
        <is>
          <t>0.21</t>
        </is>
      </c>
      <c r="K1057"/>
      <c r="L1057" t="inlineStr">
        <is>
          <t>小因的店</t>
        </is>
      </c>
      <c r="M1057">
        <v>6497</v>
      </c>
      <c r="N1057">
        <v>4.69</v>
      </c>
      <c r="O1057">
        <v>33000</v>
      </c>
      <c r="P1057" t="inlineStr">
        <is>
          <t>698154c8880da20001ea22e4</t>
        </is>
      </c>
      <c r="Q1057"/>
      <c r="R1057" t="inlineStr">
        <is>
          <t>14周</t>
        </is>
      </c>
      <c r="S1057" t="inlineStr">
        <is>
          <t>0.22</t>
        </is>
      </c>
      <c r="T1057" t="inlineStr">
        <is>
          <t>服饰穿搭</t>
        </is>
      </c>
      <c r="U1057" t="inlineStr">
        <is>
          <t>女装</t>
        </is>
      </c>
      <c r="V1057" s="3">
        <v>46112.78107638889</v>
      </c>
      <c r="W1057" t="inlineStr">
        <is>
          <t>2026-Q1</t>
        </is>
      </c>
    </row>
    <row r="1058" ht="25.5" customHeight="1">
      <c r="A1058" t="inlineStr">
        <is>
          <t>通勤托特包 大容量 软皮包包 复古百搭单肩包</t>
        </is>
      </c>
      <c r="B1058" t="inlineStr">
        <is>
          <t>recveNXG9t0Cyg.jpg</t>
        </is>
      </c>
      <c r="C1058" s="2" t="str">
        <f>=HYPERLINK("https://xhslink.com/m/7QZvGxcMOQx", "https://xhslink.com/m/7QZvGxcMOQx")</f>
        <v>https://xhslink.com/m/7QZvGxcMOQx</v>
      </c>
      <c r="D1058"/>
      <c r="E1058">
        <v>21000</v>
      </c>
      <c r="F1058">
        <v>29.9</v>
      </c>
      <c r="G1058">
        <v>19.9</v>
      </c>
      <c r="H1058">
        <v>300</v>
      </c>
      <c r="I1058" t="inlineStr">
        <is>
          <t>包包</t>
        </is>
      </c>
      <c r="J1058" t="inlineStr">
        <is>
          <t>0.01</t>
        </is>
      </c>
      <c r="K1058" t="inlineStr">
        <is>
          <t>🔥低粉爆款</t>
        </is>
      </c>
      <c r="L1058" t="inlineStr">
        <is>
          <t>Ciaaaa_的店</t>
        </is>
      </c>
      <c r="M1058">
        <v>2594</v>
      </c>
      <c r="N1058">
        <v>4.6</v>
      </c>
      <c r="O1058">
        <v>109000</v>
      </c>
      <c r="P1058" t="inlineStr">
        <is>
          <t>68ad1420ae2af100019d6b41</t>
        </is>
      </c>
      <c r="Q1058" t="inlineStr">
        <is>
          <t>🚫重复</t>
        </is>
      </c>
      <c r="R1058" t="inlineStr">
        <is>
          <t>14周</t>
        </is>
      </c>
      <c r="S1058" t="inlineStr">
        <is>
          <t>8.10</t>
        </is>
      </c>
      <c r="T1058" t="inlineStr">
        <is>
          <t>服饰穿搭</t>
        </is>
      </c>
      <c r="U1058" t="inlineStr">
        <is>
          <t>鞋靴箱包</t>
        </is>
      </c>
      <c r="V1058" s="3">
        <v>46112.78107638889</v>
      </c>
      <c r="W1058" t="inlineStr">
        <is>
          <t>2026-Q1</t>
        </is>
      </c>
    </row>
    <row r="1059" ht="25.5" customHeight="1">
      <c r="A1059" t="inlineStr">
        <is>
          <t>刺绣狗狗骆驼灰棕麂皮绒单肩包韩系刺绣手提包通勤包包敞口包</t>
        </is>
      </c>
      <c r="B1059" t="inlineStr">
        <is>
          <t>recveNXG9tGLft.jpg</t>
        </is>
      </c>
      <c r="C1059" s="2" t="str">
        <f>=HYPERLINK("https://xhslink.com/m/Afwcdfd6eF1", "https://xhslink.com/m/Afwcdfd6eF1")</f>
        <v>https://xhslink.com/m/Afwcdfd6eF1</v>
      </c>
      <c r="D1059"/>
      <c r="E1059">
        <v>9227</v>
      </c>
      <c r="F1059">
        <v>26.9</v>
      </c>
      <c r="G1059">
        <v>16.9</v>
      </c>
      <c r="H1059">
        <v>300</v>
      </c>
      <c r="I1059" t="inlineStr">
        <is>
          <t>包包</t>
        </is>
      </c>
      <c r="J1059" t="inlineStr">
        <is>
          <t>0.03</t>
        </is>
      </c>
      <c r="K1059"/>
      <c r="L1059" t="inlineStr">
        <is>
          <t>无敌崽崽捏的店</t>
        </is>
      </c>
      <c r="M1059">
        <v>29000</v>
      </c>
      <c r="N1059">
        <v>4.23</v>
      </c>
      <c r="O1059">
        <v>150000</v>
      </c>
      <c r="P1059" t="inlineStr">
        <is>
          <t>693d698f33f9b30001990496</t>
        </is>
      </c>
      <c r="Q1059"/>
      <c r="R1059" t="inlineStr">
        <is>
          <t>14周</t>
        </is>
      </c>
      <c r="S1059" t="inlineStr">
        <is>
          <t>0.32</t>
        </is>
      </c>
      <c r="T1059" t="inlineStr">
        <is>
          <t>服饰穿搭</t>
        </is>
      </c>
      <c r="U1059" t="inlineStr">
        <is>
          <t>鞋靴箱包</t>
        </is>
      </c>
      <c r="V1059" s="3">
        <v>46112.78107638889</v>
      </c>
      <c r="W1059" t="inlineStr">
        <is>
          <t>2026-Q1</t>
        </is>
      </c>
    </row>
    <row r="1060" ht="25.5" customHeight="1">
      <c r="A1060" t="inlineStr">
        <is>
          <t>稻草人 · 26新品时尚百搭大容量通勤托特包上课蝴蝶单肩斜挎包测</t>
        </is>
      </c>
      <c r="B1060" t="inlineStr">
        <is>
          <t>recveNXG9tXF4I.jpg</t>
        </is>
      </c>
      <c r="C1060" s="2" t="str">
        <f>=HYPERLINK("https://xhslink.com/m/9nNrHSyOo77", "https://xhslink.com/m/9nNrHSyOo77")</f>
        <v>https://xhslink.com/m/9nNrHSyOo77</v>
      </c>
      <c r="D1060"/>
      <c r="E1060">
        <v>1367</v>
      </c>
      <c r="F1060">
        <v>169.9</v>
      </c>
      <c r="G1060"/>
      <c r="H1060">
        <v>300</v>
      </c>
      <c r="I1060" t="inlineStr">
        <is>
          <t>包包</t>
        </is>
      </c>
      <c r="J1060" t="inlineStr">
        <is>
          <t>0.22</t>
        </is>
      </c>
      <c r="K1060"/>
      <c r="L1060" t="inlineStr">
        <is>
          <t>稻草人旗舰店</t>
        </is>
      </c>
      <c r="M1060">
        <v>2015</v>
      </c>
      <c r="N1060">
        <v>4.11</v>
      </c>
      <c r="O1060">
        <v>54000</v>
      </c>
      <c r="P1060" t="inlineStr">
        <is>
          <t>69a77603f1fe0f00153f73c8</t>
        </is>
      </c>
      <c r="Q1060" t="inlineStr">
        <is>
          <t>🚫重复</t>
        </is>
      </c>
      <c r="R1060" t="inlineStr">
        <is>
          <t>14周</t>
        </is>
      </c>
      <c r="S1060" t="inlineStr">
        <is>
          <t>0.68</t>
        </is>
      </c>
      <c r="T1060" t="inlineStr">
        <is>
          <t>服饰穿搭</t>
        </is>
      </c>
      <c r="U1060" t="inlineStr">
        <is>
          <t>鞋靴箱包</t>
        </is>
      </c>
      <c r="V1060" s="3">
        <v>46112.78107638889</v>
      </c>
      <c r="W1060" t="inlineStr">
        <is>
          <t>2026-Q1</t>
        </is>
      </c>
    </row>
    <row r="1061" ht="25.5" customHeight="1">
      <c r="A1061" t="inlineStr">
        <is>
          <t>西瓜少女撞色蝴蝶美背训练健身文胸固定胸垫运动内衣</t>
        </is>
      </c>
      <c r="B1061" t="inlineStr">
        <is>
          <t>recveNXG9tSRQx.jpg</t>
        </is>
      </c>
      <c r="C1061" s="2" t="str">
        <f>=HYPERLINK("https://xhslink.com/m/7oXI6fnJoje", "https://xhslink.com/m/7oXI6fnJoje")</f>
        <v>https://xhslink.com/m/7oXI6fnJoje</v>
      </c>
      <c r="D1061"/>
      <c r="E1061">
        <v>7624</v>
      </c>
      <c r="F1061">
        <v>72.9</v>
      </c>
      <c r="G1061">
        <v>59.9</v>
      </c>
      <c r="H1061">
        <v>300</v>
      </c>
      <c r="I1061" t="inlineStr">
        <is>
          <t>运动内衣</t>
        </is>
      </c>
      <c r="J1061" t="inlineStr">
        <is>
          <t>0.04</t>
        </is>
      </c>
      <c r="K1061"/>
      <c r="L1061" t="inlineStr">
        <is>
          <t>🍉西瓜瑜伽少女的店</t>
        </is>
      </c>
      <c r="M1061">
        <v>3890</v>
      </c>
      <c r="N1061">
        <v>4.6</v>
      </c>
      <c r="O1061">
        <v>33000</v>
      </c>
      <c r="P1061" t="inlineStr">
        <is>
          <t>68c6215655f59b0001f95233</t>
        </is>
      </c>
      <c r="Q1061" t="inlineStr">
        <is>
          <t>🚫重复</t>
        </is>
      </c>
      <c r="R1061" t="inlineStr">
        <is>
          <t>14周</t>
        </is>
      </c>
      <c r="S1061" t="inlineStr">
        <is>
          <t>1.96</t>
        </is>
      </c>
      <c r="T1061" t="inlineStr">
        <is>
          <t>运动潮玩</t>
        </is>
      </c>
      <c r="U1061" t="inlineStr">
        <is>
          <t>运动户外装备</t>
        </is>
      </c>
      <c r="V1061" s="3">
        <v>46112.78107638889</v>
      </c>
      <c r="W1061" t="inlineStr">
        <is>
          <t>2026-Q1</t>
        </is>
      </c>
    </row>
    <row r="1062" ht="25.5" customHeight="1">
      <c r="A1062" t="inlineStr">
        <is>
          <t>可扩容短途旅行包女大容量出差登机行李包轻便健身斜挎手提包男</t>
        </is>
      </c>
      <c r="B1062" t="inlineStr">
        <is>
          <t>recveNXG9tdXkJ.jpg</t>
        </is>
      </c>
      <c r="C1062" s="2" t="str">
        <f>=HYPERLINK("https://xhslink.com/m/30srreC8nSY", "https://xhslink.com/m/30srreC8nSY")</f>
        <v>https://xhslink.com/m/30srreC8nSY</v>
      </c>
      <c r="D1062"/>
      <c r="E1062">
        <v>11000</v>
      </c>
      <c r="F1062">
        <v>64.8</v>
      </c>
      <c r="G1062">
        <v>59.8</v>
      </c>
      <c r="H1062">
        <v>300</v>
      </c>
      <c r="I1062" t="inlineStr">
        <is>
          <t>运动包</t>
        </is>
      </c>
      <c r="J1062" t="inlineStr">
        <is>
          <t>0.03</t>
        </is>
      </c>
      <c r="K1062" t="inlineStr">
        <is>
          <t>🔥低粉爆款</t>
        </is>
      </c>
      <c r="L1062" t="inlineStr">
        <is>
          <t>Mu沐沐的店</t>
        </is>
      </c>
      <c r="M1062">
        <v>3571</v>
      </c>
      <c r="N1062">
        <v>4.55</v>
      </c>
      <c r="O1062">
        <v>47000</v>
      </c>
      <c r="P1062" t="inlineStr">
        <is>
          <t>688e24e1eab793000177019b</t>
        </is>
      </c>
      <c r="Q1062" t="inlineStr">
        <is>
          <t>🚫重复</t>
        </is>
      </c>
      <c r="R1062" t="inlineStr">
        <is>
          <t>14周</t>
        </is>
      </c>
      <c r="S1062" t="inlineStr">
        <is>
          <t>3.08</t>
        </is>
      </c>
      <c r="T1062" t="inlineStr">
        <is>
          <t>运动潮玩</t>
        </is>
      </c>
      <c r="U1062" t="inlineStr">
        <is>
          <t>旅行出行</t>
        </is>
      </c>
      <c r="V1062" s="3">
        <v>46112.78107638889</v>
      </c>
      <c r="W1062" t="inlineStr">
        <is>
          <t>2026-Q1</t>
        </is>
      </c>
    </row>
    <row r="1063" ht="25.5" customHeight="1">
      <c r="A1063" t="inlineStr">
        <is>
          <t>盒界 · 即食贝贝南瓜免煮速食健身低脂代餐早餐粗粮轻食解馋抗饿开袋即食</t>
        </is>
      </c>
      <c r="B1063" t="inlineStr">
        <is>
          <t>recveNXG9thurO.jpg</t>
        </is>
      </c>
      <c r="C1063" s="2" t="str">
        <f>=HYPERLINK("https://xhslink.com/m/AsaWBpjMHVx", "https://xhslink.com/m/AsaWBpjMHVx")</f>
        <v>https://xhslink.com/m/AsaWBpjMHVx</v>
      </c>
      <c r="D1063"/>
      <c r="E1063">
        <v>35000</v>
      </c>
      <c r="F1063">
        <v>29.9</v>
      </c>
      <c r="G1063">
        <v>19.9</v>
      </c>
      <c r="H1063">
        <v>300</v>
      </c>
      <c r="I1063" t="inlineStr">
        <is>
          <t>减肥食物</t>
        </is>
      </c>
      <c r="J1063" t="inlineStr">
        <is>
          <t>0.01</t>
        </is>
      </c>
      <c r="K1063" t="inlineStr">
        <is>
          <t>🔥低粉爆款</t>
        </is>
      </c>
      <c r="L1063" t="inlineStr">
        <is>
          <t>盒界甄选的店</t>
        </is>
      </c>
      <c r="M1063">
        <v>6806</v>
      </c>
      <c r="N1063">
        <v>4.43</v>
      </c>
      <c r="O1063">
        <v>155000</v>
      </c>
      <c r="P1063" t="inlineStr">
        <is>
          <t>68c3d49720de3e0001110b95</t>
        </is>
      </c>
      <c r="Q1063" t="inlineStr">
        <is>
          <t>🚫重复</t>
        </is>
      </c>
      <c r="R1063" t="inlineStr">
        <is>
          <t>14周</t>
        </is>
      </c>
      <c r="S1063" t="inlineStr">
        <is>
          <t>5.14</t>
        </is>
      </c>
      <c r="T1063" t="inlineStr">
        <is>
          <t>美食滋补</t>
        </is>
      </c>
      <c r="U1063" t="inlineStr">
        <is>
          <t>休闲零食</t>
        </is>
      </c>
      <c r="V1063" s="3">
        <v>46112.78107638889</v>
      </c>
      <c r="W1063" t="inlineStr">
        <is>
          <t>2026-Q1</t>
        </is>
      </c>
    </row>
    <row r="1064" ht="25.5" customHeight="1">
      <c r="A1064" t="inlineStr">
        <is>
          <t>低脂鸡肉薄皮肉燕小馄饨轻食健身鸡胸肉扁食云吞早餐半成品低卡</t>
        </is>
      </c>
      <c r="B1064" t="inlineStr">
        <is>
          <t>recveNXG9toaF9.jpg</t>
        </is>
      </c>
      <c r="C1064" s="2" t="str">
        <f>=HYPERLINK("https://xhslink.com/m/7dXl6wosOwS", "https://xhslink.com/m/7dXl6wosOwS")</f>
        <v>https://xhslink.com/m/7dXl6wosOwS</v>
      </c>
      <c r="D1064"/>
      <c r="E1064">
        <v>25000</v>
      </c>
      <c r="F1064">
        <v>39.9</v>
      </c>
      <c r="G1064"/>
      <c r="H1064">
        <v>300</v>
      </c>
      <c r="I1064" t="inlineStr">
        <is>
          <t>减肥食物</t>
        </is>
      </c>
      <c r="J1064" t="inlineStr">
        <is>
          <t>0.01</t>
        </is>
      </c>
      <c r="K1064" t="inlineStr">
        <is>
          <t>🔥低粉爆款</t>
        </is>
      </c>
      <c r="L1064" t="inlineStr">
        <is>
          <t>开心饼干（低卡轻食版）的店</t>
        </is>
      </c>
      <c r="M1064">
        <v>1365</v>
      </c>
      <c r="N1064">
        <v>4.57</v>
      </c>
      <c r="O1064">
        <v>25000</v>
      </c>
      <c r="P1064" t="inlineStr">
        <is>
          <t>67c6d8394a59360001a24fef</t>
        </is>
      </c>
      <c r="Q1064" t="inlineStr">
        <is>
          <t>🚫重复</t>
        </is>
      </c>
      <c r="R1064" t="inlineStr">
        <is>
          <t>14周</t>
        </is>
      </c>
      <c r="S1064" t="inlineStr">
        <is>
          <t>18.32</t>
        </is>
      </c>
      <c r="T1064" t="inlineStr">
        <is>
          <t>美食滋补</t>
        </is>
      </c>
      <c r="U1064" t="inlineStr">
        <is>
          <t>休闲零食</t>
        </is>
      </c>
      <c r="V1064" s="3">
        <v>46112.78107638889</v>
      </c>
      <c r="W1064" t="inlineStr">
        <is>
          <t>2026-Q1</t>
        </is>
      </c>
    </row>
    <row r="1065" ht="25.5" customHeight="1">
      <c r="A1065" t="inlineStr">
        <is>
          <t>加点滋味 · 乌冬面碳水饱腹轻主食100g</t>
        </is>
      </c>
      <c r="B1065" t="inlineStr">
        <is>
          <t>recveNXG9tmrXg.jpg</t>
        </is>
      </c>
      <c r="C1065" s="2" t="str">
        <f>=HYPERLINK("https://xhslink.com/m/25Is4Se9ir4", "https://xhslink.com/m/25Is4Se9ir4")</f>
        <v>https://xhslink.com/m/25Is4Se9ir4</v>
      </c>
      <c r="D1065"/>
      <c r="E1065">
        <v>18000</v>
      </c>
      <c r="F1065">
        <v>19.9</v>
      </c>
      <c r="G1065"/>
      <c r="H1065">
        <v>300</v>
      </c>
      <c r="I1065" t="inlineStr">
        <is>
          <t>减脂主食</t>
        </is>
      </c>
      <c r="J1065" t="inlineStr">
        <is>
          <t>0.02</t>
        </is>
      </c>
      <c r="K1065"/>
      <c r="L1065" t="inlineStr">
        <is>
          <t>加点滋味旗舰店</t>
        </is>
      </c>
      <c r="M1065">
        <v>24000</v>
      </c>
      <c r="N1065">
        <v>4.62</v>
      </c>
      <c r="O1065">
        <v>386000</v>
      </c>
      <c r="P1065" t="inlineStr">
        <is>
          <t>682ec6f2d5fe8c00011dfb11</t>
        </is>
      </c>
      <c r="Q1065" t="inlineStr">
        <is>
          <t>🚫重复</t>
        </is>
      </c>
      <c r="R1065" t="inlineStr">
        <is>
          <t>14周</t>
        </is>
      </c>
      <c r="S1065" t="inlineStr">
        <is>
          <t>0.75</t>
        </is>
      </c>
      <c r="T1065" t="inlineStr">
        <is>
          <t>美食滋补</t>
        </is>
      </c>
      <c r="U1065" t="inlineStr">
        <is>
          <t>休闲零食</t>
        </is>
      </c>
      <c r="V1065" s="3">
        <v>46112.78107638889</v>
      </c>
      <c r="W1065" t="inlineStr">
        <is>
          <t>2026-Q1</t>
        </is>
      </c>
    </row>
    <row r="1066" ht="25.5" customHeight="1">
      <c r="A1066" t="inlineStr">
        <is>
          <t>吾漾 · 洗发皂固体洗发水天然洗头香皂控油蓬松小方块</t>
        </is>
      </c>
      <c r="B1066" t="inlineStr">
        <is>
          <t>recveTJWJNINTs.jpg</t>
        </is>
      </c>
      <c r="C1066" s="2" t="str">
        <f>=HYPERLINK("https://xhslink.com/m/7jYbTYPgdq9", "https://xhslink.com/m/7jYbTYPgdq9")</f>
        <v>https://xhslink.com/m/7jYbTYPgdq9</v>
      </c>
      <c r="D1066"/>
      <c r="E1066">
        <v>25000</v>
      </c>
      <c r="F1066">
        <v>88</v>
      </c>
      <c r="G1066">
        <v>68</v>
      </c>
      <c r="H1066">
        <v>300</v>
      </c>
      <c r="I1066" t="inlineStr">
        <is>
          <t>洗头皂</t>
        </is>
      </c>
      <c r="J1066" t="inlineStr">
        <is>
          <t>0.01</t>
        </is>
      </c>
      <c r="K1066" t="inlineStr">
        <is>
          <t>🔥低粉爆款</t>
        </is>
      </c>
      <c r="L1066" t="inlineStr">
        <is>
          <t>吾漾Aquelab的店</t>
        </is>
      </c>
      <c r="M1066">
        <v>6849</v>
      </c>
      <c r="N1066">
        <v>4.62</v>
      </c>
      <c r="O1066">
        <v>44000</v>
      </c>
      <c r="P1066" t="inlineStr">
        <is>
          <t>67e12b8a98b4be00015f4ea2</t>
        </is>
      </c>
      <c r="Q1066" t="inlineStr">
        <is>
          <t>🚫重复</t>
        </is>
      </c>
      <c r="R1066" t="inlineStr">
        <is>
          <t>14周</t>
        </is>
      </c>
      <c r="S1066" t="inlineStr">
        <is>
          <t>3.65</t>
        </is>
      </c>
      <c r="T1066" t="inlineStr">
        <is>
          <t>美妆个护</t>
        </is>
      </c>
      <c r="U1066" t="inlineStr">
        <is>
          <t>个人护理</t>
        </is>
      </c>
      <c r="V1066" s="3">
        <v>46112.78107638889</v>
      </c>
      <c r="W1066" t="inlineStr">
        <is>
          <t>2026-Q1</t>
        </is>
      </c>
    </row>
    <row r="1067" ht="25.5" customHeight="1">
      <c r="A1067" t="inlineStr">
        <is>
          <t>安踏 · 云感软底舒适跑步鞋女子夏季轻质透气运动鞋缓震跳绳鞋922525537</t>
        </is>
      </c>
      <c r="B1067" t="inlineStr">
        <is>
          <t>recveTJWJNzGqg.jpg</t>
        </is>
      </c>
      <c r="C1067" s="2" t="str">
        <f>=HYPERLINK("https://xhslink.com/m/1OiPypssfsv", "https://xhslink.com/m/1OiPypssfsv")</f>
        <v>https://xhslink.com/m/1OiPypssfsv</v>
      </c>
      <c r="D1067"/>
      <c r="E1067">
        <v>1462</v>
      </c>
      <c r="F1067">
        <v>399</v>
      </c>
      <c r="G1067">
        <v>186</v>
      </c>
      <c r="H1067">
        <v>300</v>
      </c>
      <c r="I1067" t="inlineStr">
        <is>
          <t>运动鞋</t>
        </is>
      </c>
      <c r="J1067" t="inlineStr">
        <is>
          <t>0.21</t>
        </is>
      </c>
      <c r="K1067"/>
      <c r="L1067" t="inlineStr">
        <is>
          <t>安踏旗舰店</t>
        </is>
      </c>
      <c r="M1067">
        <v>242000</v>
      </c>
      <c r="N1067">
        <v>4.61</v>
      </c>
      <c r="O1067">
        <v>154000</v>
      </c>
      <c r="P1067" t="inlineStr">
        <is>
          <t>67e3d3d4b6240c0015307980</t>
        </is>
      </c>
      <c r="Q1067" t="inlineStr">
        <is>
          <t>🚫重复</t>
        </is>
      </c>
      <c r="R1067" t="inlineStr">
        <is>
          <t>14周</t>
        </is>
      </c>
      <c r="S1067" t="inlineStr">
        <is>
          <t>0.01</t>
        </is>
      </c>
      <c r="T1067" t="inlineStr">
        <is>
          <t>运动潮玩</t>
        </is>
      </c>
      <c r="U1067" t="inlineStr">
        <is>
          <t>运动户外装备</t>
        </is>
      </c>
      <c r="V1067" s="3">
        <v>46112.78107638889</v>
      </c>
      <c r="W1067" t="inlineStr">
        <is>
          <t>2026-Q1</t>
        </is>
      </c>
    </row>
    <row r="1068" ht="25.5" customHeight="1">
      <c r="A1068" t="inlineStr">
        <is>
          <t>COMODA·「早日退休」明星同款·复古水洗软顶棒球帽男女可调节</t>
        </is>
      </c>
      <c r="B1068" t="inlineStr">
        <is>
          <t>recveTJWJNtSTx.jpg</t>
        </is>
      </c>
      <c r="C1068" s="2" t="str">
        <f>=HYPERLINK("https://xhslink.com/m/8vf5mhvcRIK", "https://xhslink.com/m/8vf5mhvcRIK")</f>
        <v>https://xhslink.com/m/8vf5mhvcRIK</v>
      </c>
      <c r="D1068"/>
      <c r="E1068">
        <v>34000</v>
      </c>
      <c r="F1068">
        <v>160</v>
      </c>
      <c r="G1068"/>
      <c r="H1068">
        <v>300</v>
      </c>
      <c r="I1068" t="inlineStr">
        <is>
          <t>棒球帽</t>
        </is>
      </c>
      <c r="J1068" t="inlineStr">
        <is>
          <t>0.01</t>
        </is>
      </c>
      <c r="K1068"/>
      <c r="L1068" t="inlineStr">
        <is>
          <t>COMODA的店</t>
        </is>
      </c>
      <c r="M1068">
        <v>18000</v>
      </c>
      <c r="N1068">
        <v>4.63</v>
      </c>
      <c r="O1068">
        <v>87000</v>
      </c>
      <c r="P1068" t="inlineStr">
        <is>
          <t>675a9c86faaaf300015f815f</t>
        </is>
      </c>
      <c r="Q1068" t="inlineStr">
        <is>
          <t>🚫重复</t>
        </is>
      </c>
      <c r="R1068" t="inlineStr">
        <is>
          <t>14周</t>
        </is>
      </c>
      <c r="S1068" t="inlineStr">
        <is>
          <t>1.89</t>
        </is>
      </c>
      <c r="T1068" t="inlineStr">
        <is>
          <t>服饰穿搭</t>
        </is>
      </c>
      <c r="U1068" t="inlineStr">
        <is>
          <t>鞋靴箱包</t>
        </is>
      </c>
      <c r="V1068" s="3">
        <v>46112.78107638889</v>
      </c>
      <c r="W1068" t="inlineStr">
        <is>
          <t>2026-Q1</t>
        </is>
      </c>
    </row>
    <row r="1069" ht="25.5" customHeight="1">
      <c r="A1069" t="inlineStr">
        <is>
          <t>轻薄显脸小字母鸭舌女帽软顶大头围加深百搭做旧棒球帽遮阳帽子男</t>
        </is>
      </c>
      <c r="B1069" t="inlineStr">
        <is>
          <t>recveTJWJNf5CM.jpg</t>
        </is>
      </c>
      <c r="C1069" s="2" t="str">
        <f>=HYPERLINK("https://xhslink.com/m/4rzKUpgwSI2", "https://xhslink.com/m/4rzKUpgwSI2")</f>
        <v>https://xhslink.com/m/4rzKUpgwSI2</v>
      </c>
      <c r="D1069"/>
      <c r="E1069">
        <v>33000</v>
      </c>
      <c r="F1069">
        <v>32.5</v>
      </c>
      <c r="G1069">
        <v>30.5</v>
      </c>
      <c r="H1069">
        <v>300</v>
      </c>
      <c r="I1069" t="inlineStr">
        <is>
          <t>帽子</t>
        </is>
      </c>
      <c r="J1069" t="inlineStr">
        <is>
          <t>0.01</t>
        </is>
      </c>
      <c r="K1069"/>
      <c r="L1069" t="inlineStr">
        <is>
          <t>帽大户帽行的店</t>
        </is>
      </c>
      <c r="M1069">
        <v>24000</v>
      </c>
      <c r="N1069">
        <v>4.61</v>
      </c>
      <c r="O1069">
        <v>93000</v>
      </c>
      <c r="P1069" t="inlineStr">
        <is>
          <t>66875cf849c6f40001b8199f</t>
        </is>
      </c>
      <c r="Q1069" t="inlineStr">
        <is>
          <t>🚫重复</t>
        </is>
      </c>
      <c r="R1069" t="inlineStr">
        <is>
          <t>14周</t>
        </is>
      </c>
      <c r="S1069" t="inlineStr">
        <is>
          <t>1.38</t>
        </is>
      </c>
      <c r="T1069" t="inlineStr">
        <is>
          <t>服饰穿搭</t>
        </is>
      </c>
      <c r="U1069" t="inlineStr">
        <is>
          <t>配饰</t>
        </is>
      </c>
      <c r="V1069" s="3">
        <v>46112.78107638889</v>
      </c>
      <c r="W1069" t="inlineStr">
        <is>
          <t>2026-Q1</t>
        </is>
      </c>
    </row>
    <row r="1070" ht="25.5" customHeight="1">
      <c r="A1070" t="inlineStr">
        <is>
          <t>8月30日更新天然彩宝戒指</t>
        </is>
      </c>
      <c r="B1070" t="inlineStr">
        <is>
          <t>recveTJWJNjhtf.jpg</t>
        </is>
      </c>
      <c r="C1070" s="2" t="str">
        <f>=HYPERLINK("https://xhslink.com/m/1siDDjFXwPz", "https://xhslink.com/m/1siDDjFXwPz")</f>
        <v>https://xhslink.com/m/1siDDjFXwPz</v>
      </c>
      <c r="D1070"/>
      <c r="E1070">
        <v>12000</v>
      </c>
      <c r="F1070">
        <v>20</v>
      </c>
      <c r="G1070">
        <v>19</v>
      </c>
      <c r="H1070">
        <v>300</v>
      </c>
      <c r="I1070" t="inlineStr">
        <is>
          <t>戒指</t>
        </is>
      </c>
      <c r="J1070" t="inlineStr">
        <is>
          <t>0.03</t>
        </is>
      </c>
      <c r="K1070"/>
      <c r="L1070" t="inlineStr">
        <is>
          <t>萧雨珠宝小铺的店</t>
        </is>
      </c>
      <c r="M1070">
        <v>83000</v>
      </c>
      <c r="N1070">
        <v>4.4</v>
      </c>
      <c r="O1070">
        <v>116000</v>
      </c>
      <c r="P1070" t="inlineStr">
        <is>
          <t>66d1c1f4658cf1000117efcc</t>
        </is>
      </c>
      <c r="Q1070"/>
      <c r="R1070" t="inlineStr">
        <is>
          <t>14周</t>
        </is>
      </c>
      <c r="S1070" t="inlineStr">
        <is>
          <t>0.14</t>
        </is>
      </c>
      <c r="T1070" t="inlineStr">
        <is>
          <t>服饰穿搭</t>
        </is>
      </c>
      <c r="U1070" t="inlineStr">
        <is>
          <t>配饰</t>
        </is>
      </c>
      <c r="V1070" s="3">
        <v>46112.78107638889</v>
      </c>
      <c r="W1070" t="inlineStr">
        <is>
          <t>2026-Q1</t>
        </is>
      </c>
    </row>
    <row r="1071" ht="25.5" customHeight="1">
      <c r="A1071" t="inlineStr">
        <is>
          <t>化妆品收纳桌面置物架化妆台抽屉式多层多功能收纳架</t>
        </is>
      </c>
      <c r="B1071" t="inlineStr">
        <is>
          <t>recveTJWJNo5Ps.jpg</t>
        </is>
      </c>
      <c r="C1071" s="2" t="str">
        <f>=HYPERLINK("https://xhslink.com/m/10d3ttPMxdg", "https://xhslink.com/m/10d3ttPMxdg")</f>
        <v>https://xhslink.com/m/10d3ttPMxdg</v>
      </c>
      <c r="D1071"/>
      <c r="E1071">
        <v>40000</v>
      </c>
      <c r="F1071">
        <v>39.9</v>
      </c>
      <c r="G1071">
        <v>29.9</v>
      </c>
      <c r="H1071">
        <v>300</v>
      </c>
      <c r="I1071" t="inlineStr">
        <is>
          <t>收纳置物架</t>
        </is>
      </c>
      <c r="J1071" t="inlineStr">
        <is>
          <t>0.01</t>
        </is>
      </c>
      <c r="K1071" t="inlineStr">
        <is>
          <t>🔥低粉爆款</t>
        </is>
      </c>
      <c r="L1071" t="inlineStr">
        <is>
          <t>金子总会发光百货的店</t>
        </is>
      </c>
      <c r="M1071">
        <v>6613</v>
      </c>
      <c r="N1071">
        <v>4.45</v>
      </c>
      <c r="O1071">
        <v>130000</v>
      </c>
      <c r="P1071" t="inlineStr">
        <is>
          <t>64e2ec763c96cf0001f855f3</t>
        </is>
      </c>
      <c r="Q1071" t="inlineStr">
        <is>
          <t>🚫重复</t>
        </is>
      </c>
      <c r="R1071" t="inlineStr">
        <is>
          <t>14周</t>
        </is>
      </c>
      <c r="S1071" t="inlineStr">
        <is>
          <t>6.05</t>
        </is>
      </c>
      <c r="T1071" t="inlineStr">
        <is>
          <t>家居生活</t>
        </is>
      </c>
      <c r="U1071" t="inlineStr">
        <is>
          <t>家居日用</t>
        </is>
      </c>
      <c r="V1071" s="3">
        <v>46112.78107638889</v>
      </c>
      <c r="W1071" t="inlineStr">
        <is>
          <t>2026-Q1</t>
        </is>
      </c>
    </row>
    <row r="1072" ht="25.5" customHeight="1">
      <c r="A1072" t="inlineStr">
        <is>
          <t>栀禾*多巴胺美式高腰宽松直筒阔腿裤拖地牛仔裤</t>
        </is>
      </c>
      <c r="B1072" t="inlineStr">
        <is>
          <t>recveTJWJNmpVJ.jpg</t>
        </is>
      </c>
      <c r="C1072" s="2" t="str">
        <f>=HYPERLINK("https://xhslink.com/m/AIvAwoIpqo6", "https://xhslink.com/m/AIvAwoIpqo6")</f>
        <v>https://xhslink.com/m/AIvAwoIpqo6</v>
      </c>
      <c r="D1072"/>
      <c r="E1072">
        <v>7974</v>
      </c>
      <c r="F1072">
        <v>92</v>
      </c>
      <c r="G1072">
        <v>89</v>
      </c>
      <c r="H1072">
        <v>300</v>
      </c>
      <c r="I1072" t="inlineStr">
        <is>
          <t>裤子</t>
        </is>
      </c>
      <c r="J1072" t="inlineStr">
        <is>
          <t>0.04</t>
        </is>
      </c>
      <c r="K1072"/>
      <c r="L1072" t="inlineStr">
        <is>
          <t>栀禾服饰的店</t>
        </is>
      </c>
      <c r="M1072">
        <v>11000</v>
      </c>
      <c r="N1072">
        <v>4.64</v>
      </c>
      <c r="O1072">
        <v>56000</v>
      </c>
      <c r="P1072" t="inlineStr">
        <is>
          <t>689ae5e6d3dd4d00011316ef</t>
        </is>
      </c>
      <c r="Q1072" t="inlineStr">
        <is>
          <t>🚫重复</t>
        </is>
      </c>
      <c r="R1072" t="inlineStr">
        <is>
          <t>14周</t>
        </is>
      </c>
      <c r="S1072" t="inlineStr">
        <is>
          <t>0.72</t>
        </is>
      </c>
      <c r="T1072" t="inlineStr">
        <is>
          <t>服饰穿搭</t>
        </is>
      </c>
      <c r="U1072" t="inlineStr">
        <is>
          <t>女装</t>
        </is>
      </c>
      <c r="V1072" s="3">
        <v>46112.78107638889</v>
      </c>
      <c r="W1072" t="inlineStr">
        <is>
          <t>2026-Q1</t>
        </is>
      </c>
    </row>
    <row r="1073" ht="25.5" customHeight="1">
      <c r="A1073" t="inlineStr">
        <is>
          <t>【亏本冲销量29.9包邮】春夏高级感奶皮醋酸绒褶皱慵懒风山本裤</t>
        </is>
      </c>
      <c r="B1073" t="inlineStr">
        <is>
          <t>recveTJWJNXqh5.jpg</t>
        </is>
      </c>
      <c r="C1073" s="2" t="str">
        <f>=HYPERLINK("https://xhslink.com/m/7Z8VLyxJbuH", "https://xhslink.com/m/7Z8VLyxJbuH")</f>
        <v>https://xhslink.com/m/7Z8VLyxJbuH</v>
      </c>
      <c r="D1073"/>
      <c r="E1073">
        <v>40000</v>
      </c>
      <c r="F1073">
        <v>79.9</v>
      </c>
      <c r="G1073">
        <v>29.9</v>
      </c>
      <c r="H1073">
        <v>300</v>
      </c>
      <c r="I1073" t="inlineStr">
        <is>
          <t>裤子</t>
        </is>
      </c>
      <c r="J1073" t="inlineStr">
        <is>
          <t>0.01</t>
        </is>
      </c>
      <c r="K1073"/>
      <c r="L1073" t="inlineStr">
        <is>
          <t>小橘子爱喝酒的店</t>
        </is>
      </c>
      <c r="M1073">
        <v>929000</v>
      </c>
      <c r="N1073">
        <v>4.66</v>
      </c>
      <c r="O1073">
        <v>992000</v>
      </c>
      <c r="P1073" t="inlineStr">
        <is>
          <t>67aad7a2e79e8d0001e0d689</t>
        </is>
      </c>
      <c r="Q1073" t="inlineStr">
        <is>
          <t>🚫重复</t>
        </is>
      </c>
      <c r="R1073" t="inlineStr">
        <is>
          <t>14周</t>
        </is>
      </c>
      <c r="S1073" t="inlineStr">
        <is>
          <t>0.04</t>
        </is>
      </c>
      <c r="T1073" t="inlineStr">
        <is>
          <t>服饰穿搭</t>
        </is>
      </c>
      <c r="U1073" t="inlineStr">
        <is>
          <t>女装</t>
        </is>
      </c>
      <c r="V1073" s="3">
        <v>46112.78107638889</v>
      </c>
      <c r="W1073" t="inlineStr">
        <is>
          <t>2026-Q1</t>
        </is>
      </c>
    </row>
    <row r="1074" ht="25.5" customHeight="1">
      <c r="A1074" t="inlineStr">
        <is>
          <t>潇淑雅 · 宽松直筒瑜伽裤薄款鲨鱼裤26新款高腰显瘦休闲阔腿裤子春夏推荐女</t>
        </is>
      </c>
      <c r="B1074" t="inlineStr">
        <is>
          <t>recveTJWJNc9ZJ.jpg</t>
        </is>
      </c>
      <c r="C1074" s="2" t="str">
        <f>=HYPERLINK("https://xhslink.com/m/ArsI4gIvvju", "https://xhslink.com/m/ArsI4gIvvju")</f>
        <v>https://xhslink.com/m/ArsI4gIvvju</v>
      </c>
      <c r="D1074"/>
      <c r="E1074">
        <v>28000</v>
      </c>
      <c r="F1074">
        <v>89.9</v>
      </c>
      <c r="G1074">
        <v>69.9</v>
      </c>
      <c r="H1074">
        <v>300</v>
      </c>
      <c r="I1074" t="inlineStr">
        <is>
          <t>裤子</t>
        </is>
      </c>
      <c r="J1074" t="inlineStr">
        <is>
          <t>0.01</t>
        </is>
      </c>
      <c r="K1074"/>
      <c r="L1074" t="inlineStr">
        <is>
          <t>潇淑雅旗舰店</t>
        </is>
      </c>
      <c r="M1074">
        <v>10000</v>
      </c>
      <c r="N1074">
        <v>4.6</v>
      </c>
      <c r="O1074">
        <v>140000</v>
      </c>
      <c r="P1074" t="inlineStr">
        <is>
          <t>68da497dc165480015278aae</t>
        </is>
      </c>
      <c r="Q1074" t="inlineStr">
        <is>
          <t>🚫重复</t>
        </is>
      </c>
      <c r="R1074" t="inlineStr">
        <is>
          <t>14周</t>
        </is>
      </c>
      <c r="S1074" t="inlineStr">
        <is>
          <t>2.80</t>
        </is>
      </c>
      <c r="T1074" t="inlineStr">
        <is>
          <t>服饰穿搭</t>
        </is>
      </c>
      <c r="U1074" t="inlineStr">
        <is>
          <t>女装</t>
        </is>
      </c>
      <c r="V1074" s="3">
        <v>46112.78107638889</v>
      </c>
      <c r="W1074" t="inlineStr">
        <is>
          <t>2026-Q1</t>
        </is>
      </c>
    </row>
    <row r="1075" ht="25.5" customHeight="1">
      <c r="A1075" t="inlineStr">
        <is>
          <t>知伞 · 【复古碎花木纹手柄晴雨伞】黑胶手动晴雨两用遮阳伞防晒防紫外线 · 【长柄16骨 实木弯柄】漫野(直径105cm)</t>
        </is>
      </c>
      <c r="B1075" t="inlineStr">
        <is>
          <t>recveTJWJNqvjV.jpg</t>
        </is>
      </c>
      <c r="C1075" s="2" t="str">
        <f>=HYPERLINK("https://www.xiaohongshu.com/goods-detail/6917faadc57d9c00019fb2c1", "https://www.xiaohongshu.com/goods-detail/6917faadc57d9c00019fb2c1")</f>
        <v>https://www.xiaohongshu.com/goods-detail/6917faadc57d9c00019fb2c1</v>
      </c>
      <c r="D1075"/>
      <c r="E1075">
        <v>15000</v>
      </c>
      <c r="F1075">
        <v>55.8</v>
      </c>
      <c r="G1075">
        <v>45.8</v>
      </c>
      <c r="H1075">
        <v>300</v>
      </c>
      <c r="I1075" t="inlineStr">
        <is>
          <t>伞</t>
        </is>
      </c>
      <c r="J1075" t="inlineStr">
        <is>
          <t>0.02</t>
        </is>
      </c>
      <c r="K1075" t="inlineStr">
        <is>
          <t>🔥低粉爆款</t>
        </is>
      </c>
      <c r="L1075" t="inlineStr">
        <is>
          <t>知伞-烟雨的店</t>
        </is>
      </c>
      <c r="M1075">
        <v>1751</v>
      </c>
      <c r="N1075">
        <v>4.55</v>
      </c>
      <c r="O1075">
        <v>19000</v>
      </c>
      <c r="P1075" t="inlineStr">
        <is>
          <t>6917faadc57d9c00019fb2c1</t>
        </is>
      </c>
      <c r="Q1075" t="inlineStr">
        <is>
          <t>🚫重复</t>
        </is>
      </c>
      <c r="R1075" t="inlineStr">
        <is>
          <t>14周</t>
        </is>
      </c>
      <c r="S1075" t="inlineStr">
        <is>
          <t>8.57</t>
        </is>
      </c>
      <c r="T1075" t="inlineStr">
        <is>
          <t>家居生活</t>
        </is>
      </c>
      <c r="U1075" t="inlineStr">
        <is>
          <t>家居日用</t>
        </is>
      </c>
      <c r="V1075" s="3">
        <v>46112.78107638889</v>
      </c>
      <c r="W1075" t="inlineStr">
        <is>
          <t>2026-Q1</t>
        </is>
      </c>
    </row>
    <row r="1076" ht="25.5" customHeight="1">
      <c r="A1076" t="inlineStr">
        <is>
          <t>济州岛海洋系列香薰蜡烛送女生闺蜜生日毕业教师节礼物结婚伴手礼 · 浅绿大海礼盒装 咨询享优惠（送礼袋 火柴 可代写贺卡）</t>
        </is>
      </c>
      <c r="B1076" t="inlineStr">
        <is>
          <t>recveTJWJN7tnK.jpg</t>
        </is>
      </c>
      <c r="C1076" s="2" t="str">
        <f>=HYPERLINK("https://www.xiaohongshu.com/goods-detail/67c43468eef1820001481272", "https://www.xiaohongshu.com/goods-detail/67c43468eef1820001481272")</f>
        <v>https://www.xiaohongshu.com/goods-detail/67c43468eef1820001481272</v>
      </c>
      <c r="D1076"/>
      <c r="E1076">
        <v>28000</v>
      </c>
      <c r="F1076"/>
      <c r="G1076">
        <v>25.8</v>
      </c>
      <c r="H1076">
        <v>300</v>
      </c>
      <c r="I1076" t="inlineStr">
        <is>
          <t>礼物</t>
        </is>
      </c>
      <c r="J1076" t="inlineStr">
        <is>
          <t>0.01</t>
        </is>
      </c>
      <c r="K1076" t="inlineStr">
        <is>
          <t>🔥低粉爆款</t>
        </is>
      </c>
      <c r="L1076" t="inlineStr">
        <is>
          <t>海岛星空的店</t>
        </is>
      </c>
      <c r="M1076">
        <v>3841</v>
      </c>
      <c r="N1076">
        <v>4.73</v>
      </c>
      <c r="O1076">
        <v>37000</v>
      </c>
      <c r="P1076" t="inlineStr">
        <is>
          <t>67c43468eef1820001481272</t>
        </is>
      </c>
      <c r="Q1076"/>
      <c r="R1076" t="inlineStr">
        <is>
          <t>14周</t>
        </is>
      </c>
      <c r="S1076" t="inlineStr">
        <is>
          <t>7.29</t>
        </is>
      </c>
      <c r="T1076" t="inlineStr">
        <is>
          <t>家居生活</t>
        </is>
      </c>
      <c r="U1076" t="inlineStr">
        <is>
          <t>家居日用</t>
        </is>
      </c>
      <c r="V1076" s="3">
        <v>46112.78107638889</v>
      </c>
      <c r="W1076" t="inlineStr">
        <is>
          <t>2026-Q1</t>
        </is>
      </c>
    </row>
    <row r="1077" ht="25.5" customHeight="1">
      <c r="A1077" t="inlineStr">
        <is>
          <t>HYUNDAI · 韩国生日礼物 五合一自动卷发棒礼盒不伤发送女友闺蜜纪念日礼物 · 【🩷四合一】28/32/直发梳/气垫梳+定制礼盒礼袋 48小时发货</t>
        </is>
      </c>
      <c r="B1077" t="inlineStr">
        <is>
          <t>recveTJWJN8EKn.jpg</t>
        </is>
      </c>
      <c r="C1077" s="2" t="str">
        <f>=HYPERLINK("https://www.xiaohongshu.com/goods-detail/68243ce52788f40001bfabeb", "https://www.xiaohongshu.com/goods-detail/68243ce52788f40001bfabeb")</f>
        <v>https://www.xiaohongshu.com/goods-detail/68243ce52788f40001bfabeb</v>
      </c>
      <c r="D1077"/>
      <c r="E1077">
        <v>18000</v>
      </c>
      <c r="F1077">
        <v>289</v>
      </c>
      <c r="G1077">
        <v>129</v>
      </c>
      <c r="H1077">
        <v>300</v>
      </c>
      <c r="I1077" t="inlineStr">
        <is>
          <t>礼物</t>
        </is>
      </c>
      <c r="J1077" t="inlineStr">
        <is>
          <t>0.02</t>
        </is>
      </c>
      <c r="K1077"/>
      <c r="L1077" t="inlineStr">
        <is>
          <t>HYUNDAI生活电器旗舰店</t>
        </is>
      </c>
      <c r="M1077">
        <v>26000</v>
      </c>
      <c r="N1077">
        <v>4.59</v>
      </c>
      <c r="O1077">
        <v>129000</v>
      </c>
      <c r="P1077" t="inlineStr">
        <is>
          <t>68243ce52788f40001bfabeb</t>
        </is>
      </c>
      <c r="Q1077" t="inlineStr">
        <is>
          <t>🚫重复</t>
        </is>
      </c>
      <c r="R1077" t="inlineStr">
        <is>
          <t>14周</t>
        </is>
      </c>
      <c r="S1077" t="inlineStr">
        <is>
          <t>0.69</t>
        </is>
      </c>
      <c r="T1077" t="inlineStr">
        <is>
          <t>美妆个护</t>
        </is>
      </c>
      <c r="U1077" t="inlineStr">
        <is>
          <t>护肤彩妆</t>
        </is>
      </c>
      <c r="V1077" s="3">
        <v>46112.78107638889</v>
      </c>
      <c r="W1077" t="inlineStr">
        <is>
          <t>2026-Q1</t>
        </is>
      </c>
    </row>
    <row r="1078" ht="25.5" customHeight="1">
      <c r="A1078" t="inlineStr">
        <is>
          <t>韩国纯手工珍珠花朵发夹女2026新款高级发饰抓夹鲨鱼夹发抓</t>
        </is>
      </c>
      <c r="B1078" t="inlineStr">
        <is>
          <t>recveTJWJNAZhF.jpg</t>
        </is>
      </c>
      <c r="C1078" s="2" t="str">
        <f>=HYPERLINK("https://xhslink.com/m/9iSj5jkvvAU", "https://xhslink.com/m/9iSj5jkvvAU")</f>
        <v>https://xhslink.com/m/9iSj5jkvvAU</v>
      </c>
      <c r="D1078"/>
      <c r="E1078">
        <v>1439</v>
      </c>
      <c r="F1078">
        <v>36.88</v>
      </c>
      <c r="G1078">
        <v>26.88</v>
      </c>
      <c r="H1078">
        <v>300</v>
      </c>
      <c r="I1078" t="inlineStr">
        <is>
          <t>抓夹</t>
        </is>
      </c>
      <c r="J1078" t="inlineStr">
        <is>
          <t>0.21</t>
        </is>
      </c>
      <c r="K1078"/>
      <c r="L1078" t="inlineStr">
        <is>
          <t>小脑瓜的店</t>
        </is>
      </c>
      <c r="M1078">
        <v>46000</v>
      </c>
      <c r="N1078">
        <v>4.64</v>
      </c>
      <c r="O1078">
        <v>356000</v>
      </c>
      <c r="P1078" t="inlineStr">
        <is>
          <t>69aff0d19b4aae0001c6078a</t>
        </is>
      </c>
      <c r="Q1078" t="inlineStr">
        <is>
          <t>🚫重复</t>
        </is>
      </c>
      <c r="R1078" t="inlineStr">
        <is>
          <t>14周</t>
        </is>
      </c>
      <c r="S1078" t="inlineStr">
        <is>
          <t>0.03</t>
        </is>
      </c>
      <c r="T1078" t="inlineStr">
        <is>
          <t>服饰穿搭</t>
        </is>
      </c>
      <c r="U1078" t="inlineStr">
        <is>
          <t>配饰</t>
        </is>
      </c>
      <c r="V1078" s="3">
        <v>46112.78107638889</v>
      </c>
      <c r="W1078" t="inlineStr">
        <is>
          <t>2026-Q1</t>
        </is>
      </c>
    </row>
    <row r="1079" ht="25.5" customHeight="1">
      <c r="A1079" t="inlineStr">
        <is>
          <t>海俪恩 · 【萌宠小狗】日抛10片 三明治工艺水润大直径水润美瞳隐形眼镜</t>
        </is>
      </c>
      <c r="B1079" t="inlineStr">
        <is>
          <t>recveTJWJNZoLH.jpg</t>
        </is>
      </c>
      <c r="C1079" s="2" t="str">
        <f>=HYPERLINK("https://xhslink.com/m/2HyrX9SD5Fw", "https://xhslink.com/m/2HyrX9SD5Fw")</f>
        <v>https://xhslink.com/m/2HyrX9SD5Fw</v>
      </c>
      <c r="D1079"/>
      <c r="E1079">
        <v>14000</v>
      </c>
      <c r="F1079">
        <v>79</v>
      </c>
      <c r="G1079">
        <v>49</v>
      </c>
      <c r="H1079">
        <v>300</v>
      </c>
      <c r="I1079" t="inlineStr">
        <is>
          <t>美瞳</t>
        </is>
      </c>
      <c r="J1079" t="inlineStr">
        <is>
          <t>0.02</t>
        </is>
      </c>
      <c r="K1079"/>
      <c r="L1079" t="inlineStr">
        <is>
          <t>海俪恩旗舰店</t>
        </is>
      </c>
      <c r="M1079">
        <v>122000</v>
      </c>
      <c r="N1079">
        <v>4.54</v>
      </c>
      <c r="O1079">
        <v>242000</v>
      </c>
      <c r="P1079" t="inlineStr">
        <is>
          <t>67516b13d79d3300012a5d44</t>
        </is>
      </c>
      <c r="Q1079"/>
      <c r="R1079" t="inlineStr">
        <is>
          <t>14周</t>
        </is>
      </c>
      <c r="S1079" t="inlineStr">
        <is>
          <t>0.11</t>
        </is>
      </c>
      <c r="T1079" t="inlineStr">
        <is>
          <t>美妆个护</t>
        </is>
      </c>
      <c r="U1079" t="inlineStr">
        <is>
          <t>护肤彩妆</t>
        </is>
      </c>
      <c r="V1079" s="3">
        <v>46112.78107638889</v>
      </c>
      <c r="W1079" t="inlineStr">
        <is>
          <t>2026-Q1</t>
        </is>
      </c>
    </row>
    <row r="1080" ht="25.5" customHeight="1">
      <c r="A1080" t="inlineStr">
        <is>
          <t>【前30000单立减30】BM风春夏新品定制棉质素调慵懒宽松内搭背心</t>
        </is>
      </c>
      <c r="B1080" t="inlineStr">
        <is>
          <t>recvf2aASaJB32.jpg</t>
        </is>
      </c>
      <c r="C1080" s="2" t="str">
        <f>=HYPERLINK("https://xhslink.com/m/54wUNs0cAix", "https://xhslink.com/m/54wUNs0cAix")</f>
        <v>https://xhslink.com/m/54wUNs0cAix</v>
      </c>
      <c r="D1080"/>
      <c r="E1080">
        <v>35000</v>
      </c>
      <c r="F1080">
        <v>59.9</v>
      </c>
      <c r="G1080">
        <v>29.9</v>
      </c>
      <c r="H1080">
        <v>300</v>
      </c>
      <c r="I1080" t="inlineStr">
        <is>
          <t>背心吊带</t>
        </is>
      </c>
      <c r="J1080" t="inlineStr">
        <is>
          <t>0.01</t>
        </is>
      </c>
      <c r="K1080"/>
      <c r="L1080" t="inlineStr">
        <is>
          <t>小野栀栀的店</t>
        </is>
      </c>
      <c r="M1080">
        <v>25000</v>
      </c>
      <c r="N1080">
        <v>4.57</v>
      </c>
      <c r="O1080">
        <v>493000</v>
      </c>
      <c r="P1080" t="inlineStr">
        <is>
          <t>67af1f29a2e72600151b2fb1</t>
        </is>
      </c>
      <c r="Q1080" t="inlineStr">
        <is>
          <t>🚫重复</t>
        </is>
      </c>
      <c r="R1080" t="inlineStr">
        <is>
          <t>14周</t>
        </is>
      </c>
      <c r="S1080" t="inlineStr">
        <is>
          <t>1.40</t>
        </is>
      </c>
      <c r="T1080" t="inlineStr">
        <is>
          <t>服饰穿搭</t>
        </is>
      </c>
      <c r="U1080" t="inlineStr">
        <is>
          <t>女装</t>
        </is>
      </c>
      <c r="V1080" s="3">
        <v>46112.78107638889</v>
      </c>
      <c r="W1080" t="inlineStr">
        <is>
          <t>2026-Q1</t>
        </is>
      </c>
    </row>
    <row r="1081" ht="25.5" customHeight="1">
      <c r="A1081" t="inlineStr">
        <is>
          <t>【前5000名立减20】春夏云感纯欲垂垂裤慵懒风百搭直筒瑜伽休闲裤</t>
        </is>
      </c>
      <c r="B1081" t="inlineStr">
        <is>
          <t>recvf2aASahdiA.jpg</t>
        </is>
      </c>
      <c r="C1081" s="2" t="str">
        <f>=HYPERLINK("https://xhslink.com/m/5VX8YAly617", "https://xhslink.com/m/5VX8YAly617")</f>
        <v>https://xhslink.com/m/5VX8YAly617</v>
      </c>
      <c r="D1081"/>
      <c r="E1081">
        <v>11000</v>
      </c>
      <c r="F1081">
        <v>79.9</v>
      </c>
      <c r="G1081">
        <v>59.9</v>
      </c>
      <c r="H1081">
        <v>300</v>
      </c>
      <c r="I1081" t="inlineStr">
        <is>
          <t>运动裤</t>
        </is>
      </c>
      <c r="J1081" t="inlineStr">
        <is>
          <t>0.03</t>
        </is>
      </c>
      <c r="K1081" t="inlineStr">
        <is>
          <t>🔥低粉爆款</t>
        </is>
      </c>
      <c r="L1081" t="inlineStr">
        <is>
          <t>笑起来卡粉的小丁的店</t>
        </is>
      </c>
      <c r="M1081">
        <v>1041</v>
      </c>
      <c r="N1081">
        <v>4.43</v>
      </c>
      <c r="O1081">
        <v>24000</v>
      </c>
      <c r="P1081" t="inlineStr">
        <is>
          <t>68296d2c4ba3f00001521fa1</t>
        </is>
      </c>
      <c r="Q1081"/>
      <c r="R1081" t="inlineStr">
        <is>
          <t>14周</t>
        </is>
      </c>
      <c r="S1081" t="inlineStr">
        <is>
          <t>10.57</t>
        </is>
      </c>
      <c r="T1081" t="inlineStr">
        <is>
          <t>服饰穿搭</t>
        </is>
      </c>
      <c r="U1081" t="inlineStr">
        <is>
          <t>女装</t>
        </is>
      </c>
      <c r="V1081" s="3">
        <v>46112.78107638889</v>
      </c>
      <c r="W1081" t="inlineStr">
        <is>
          <t>2026-Q1</t>
        </is>
      </c>
    </row>
    <row r="1082" ht="25.5" customHeight="1">
      <c r="A1082" t="inlineStr">
        <is>
          <t>【儿保推荐6月+】 蒙氏早教启蒙忙碌书撕不烂安静书撕撕书故事书</t>
        </is>
      </c>
      <c r="B1082" t="inlineStr">
        <is>
          <t>recvf2aASak9wd.jpg</t>
        </is>
      </c>
      <c r="C1082" s="2" t="str">
        <f>=HYPERLINK("https://xhslink.com/m/722GRl194sC", "https://xhslink.com/m/722GRl194sC")</f>
        <v>https://xhslink.com/m/722GRl194sC</v>
      </c>
      <c r="D1082"/>
      <c r="E1082">
        <v>18000</v>
      </c>
      <c r="F1082">
        <v>79.9</v>
      </c>
      <c r="G1082">
        <v>63.9</v>
      </c>
      <c r="H1082">
        <v>300</v>
      </c>
      <c r="I1082" t="inlineStr">
        <is>
          <t>益智玩具</t>
        </is>
      </c>
      <c r="J1082" t="inlineStr">
        <is>
          <t>0.02</t>
        </is>
      </c>
      <c r="K1082" t="inlineStr">
        <is>
          <t>🔥低粉爆款</t>
        </is>
      </c>
      <c r="L1082" t="inlineStr">
        <is>
          <t>满满崽崽的妈咪的店</t>
        </is>
      </c>
      <c r="M1082">
        <v>1672</v>
      </c>
      <c r="N1082">
        <v>4.69</v>
      </c>
      <c r="O1082">
        <v>38000</v>
      </c>
      <c r="P1082" t="inlineStr">
        <is>
          <t>69513708dd18440001fc77d2</t>
        </is>
      </c>
      <c r="Q1082" t="inlineStr">
        <is>
          <t>🚫重复</t>
        </is>
      </c>
      <c r="R1082" t="inlineStr">
        <is>
          <t>14周</t>
        </is>
      </c>
      <c r="S1082" t="inlineStr">
        <is>
          <t>10.77</t>
        </is>
      </c>
      <c r="T1082" t="inlineStr">
        <is>
          <t>母婴亲子</t>
        </is>
      </c>
      <c r="U1082" t="inlineStr">
        <is>
          <t>玩具早教</t>
        </is>
      </c>
      <c r="V1082" s="3">
        <v>46112.78107638889</v>
      </c>
      <c r="W1082" t="inlineStr">
        <is>
          <t>2026-Q1</t>
        </is>
      </c>
    </row>
    <row r="1083" ht="25.5" customHeight="1">
      <c r="A1083" t="inlineStr">
        <is>
          <t>天空岛4.0钻石泪臻耀琉光造景贴纸闪闪趣味解压玩具diy创意贴画</t>
        </is>
      </c>
      <c r="B1083" t="inlineStr">
        <is>
          <t>recvf2aASa4fZ4.jpg</t>
        </is>
      </c>
      <c r="C1083" s="2" t="str">
        <f>=HYPERLINK("https://xhslink.com/m/3vpXX7CziFS", "https://xhslink.com/m/3vpXX7CziFS")</f>
        <v>https://xhslink.com/m/3vpXX7CziFS</v>
      </c>
      <c r="D1083"/>
      <c r="E1083">
        <v>34000</v>
      </c>
      <c r="F1083">
        <v>24.9</v>
      </c>
      <c r="G1083"/>
      <c r="H1083">
        <v>300</v>
      </c>
      <c r="I1083" t="inlineStr">
        <is>
          <t>益智玩具</t>
        </is>
      </c>
      <c r="J1083" t="inlineStr">
        <is>
          <t>0.01</t>
        </is>
      </c>
      <c r="K1083"/>
      <c r="L1083" t="inlineStr">
        <is>
          <t>天空岛文创的店</t>
        </is>
      </c>
      <c r="M1083">
        <v>67000</v>
      </c>
      <c r="N1083">
        <v>4.88</v>
      </c>
      <c r="O1083">
        <v>240000</v>
      </c>
      <c r="P1083" t="inlineStr">
        <is>
          <t>68c24ffdbd7606000116d9c1</t>
        </is>
      </c>
      <c r="Q1083" t="inlineStr">
        <is>
          <t>🚫重复</t>
        </is>
      </c>
      <c r="R1083" t="inlineStr">
        <is>
          <t>14周</t>
        </is>
      </c>
      <c r="S1083" t="inlineStr">
        <is>
          <t>0.51</t>
        </is>
      </c>
      <c r="T1083" t="inlineStr">
        <is>
          <t>母婴亲子</t>
        </is>
      </c>
      <c r="U1083" t="inlineStr">
        <is>
          <t>玩具早教</t>
        </is>
      </c>
      <c r="V1083" s="3">
        <v>46112.78107638889</v>
      </c>
      <c r="W1083" t="inlineStr">
        <is>
          <t>2026-Q1</t>
        </is>
      </c>
    </row>
    <row r="1084" ht="25.5" customHeight="1">
      <c r="A1084" t="inlineStr">
        <is>
          <t>【包脚款】100%有机棉纯棉婴儿爬服四季连脚印花双拉链包</t>
        </is>
      </c>
      <c r="B1084" t="inlineStr">
        <is>
          <t>recvf2aASakrb9.jpg</t>
        </is>
      </c>
      <c r="C1084" s="2" t="str">
        <f>=HYPERLINK("https://xhslink.com/m/9vLO0uIl8oR", "https://xhslink.com/m/9vLO0uIl8oR")</f>
        <v>https://xhslink.com/m/9vLO0uIl8oR</v>
      </c>
      <c r="D1084"/>
      <c r="E1084">
        <v>3378</v>
      </c>
      <c r="F1084">
        <v>39.9</v>
      </c>
      <c r="G1084"/>
      <c r="H1084">
        <v>300</v>
      </c>
      <c r="I1084" t="inlineStr">
        <is>
          <t>婴儿穿搭</t>
        </is>
      </c>
      <c r="J1084" t="inlineStr">
        <is>
          <t>0.09</t>
        </is>
      </c>
      <c r="K1084"/>
      <c r="L1084" t="inlineStr">
        <is>
          <t>熙宝婴童外贸服饰的店</t>
        </is>
      </c>
      <c r="M1084">
        <v>1681</v>
      </c>
      <c r="N1084">
        <v>4.6</v>
      </c>
      <c r="O1084">
        <v>4130</v>
      </c>
      <c r="P1084" t="inlineStr">
        <is>
          <t>696de600306dc50001d30313</t>
        </is>
      </c>
      <c r="Q1084"/>
      <c r="R1084" t="inlineStr">
        <is>
          <t>14周</t>
        </is>
      </c>
      <c r="S1084" t="inlineStr">
        <is>
          <t>2.01</t>
        </is>
      </c>
      <c r="T1084" t="inlineStr">
        <is>
          <t>母婴亲子</t>
        </is>
      </c>
      <c r="U1084" t="inlineStr">
        <is>
          <t>婴幼用品</t>
        </is>
      </c>
      <c r="V1084" s="3">
        <v>46112.78107638889</v>
      </c>
      <c r="W1084" t="inlineStr">
        <is>
          <t>2026-Q1</t>
        </is>
      </c>
    </row>
    <row r="1085" ht="25.5" customHeight="1">
      <c r="A1085" t="inlineStr">
        <is>
          <t>自留！这件好韩～翻领打底衫polo针织衫v领毛衣女秋冬喇叭袖上衣</t>
        </is>
      </c>
      <c r="B1085" t="inlineStr">
        <is>
          <t>recvf5pAkINzPu.jpg</t>
        </is>
      </c>
      <c r="C1085" s="2" t="str">
        <f>=HYPERLINK("https://xhslink.com/m/PpLBzkce8n", "https://xhslink.com/m/PpLBzkce8n")</f>
        <v>https://xhslink.com/m/PpLBzkce8n</v>
      </c>
      <c r="D1085"/>
      <c r="E1085">
        <v>26000</v>
      </c>
      <c r="F1085">
        <v>39.9</v>
      </c>
      <c r="G1085"/>
      <c r="H1085">
        <v>300</v>
      </c>
      <c r="I1085" t="inlineStr">
        <is>
          <t>打底衫</t>
        </is>
      </c>
      <c r="J1085" t="inlineStr">
        <is>
          <t>0.01</t>
        </is>
      </c>
      <c r="K1085"/>
      <c r="L1085" t="inlineStr">
        <is>
          <t>海鸥服装厂的店</t>
        </is>
      </c>
      <c r="M1085">
        <v>78000</v>
      </c>
      <c r="N1085">
        <v>4.46</v>
      </c>
      <c r="O1085">
        <v>1019000</v>
      </c>
      <c r="P1085" t="inlineStr">
        <is>
          <t>6931b73bce3eb500016bade0</t>
        </is>
      </c>
      <c r="Q1085" t="inlineStr">
        <is>
          <t>🚫重复</t>
        </is>
      </c>
      <c r="R1085" t="inlineStr">
        <is>
          <t>14周</t>
        </is>
      </c>
      <c r="S1085" t="inlineStr">
        <is>
          <t>0.33</t>
        </is>
      </c>
      <c r="T1085" t="inlineStr">
        <is>
          <t>服饰穿搭</t>
        </is>
      </c>
      <c r="U1085" t="inlineStr">
        <is>
          <t>女装</t>
        </is>
      </c>
      <c r="V1085" s="3">
        <v>46112.78107638889</v>
      </c>
      <c r="W1085" t="inlineStr">
        <is>
          <t>2026-Q1</t>
        </is>
      </c>
    </row>
    <row r="1086" ht="25.5" customHeight="1">
      <c r="A1086" t="inlineStr">
        <is>
          <t>升级版宽腰头糯米裤2026春夏新款宽松直筒裤</t>
        </is>
      </c>
      <c r="B1086" t="inlineStr">
        <is>
          <t>recvf5pAkIgwJR.jpg</t>
        </is>
      </c>
      <c r="C1086" s="2" t="str">
        <f>=HYPERLINK("https://xhslink.com/m/90gs7qcfIsJ", "https://xhslink.com/m/90gs7qcfIsJ")</f>
        <v>https://xhslink.com/m/90gs7qcfIsJ</v>
      </c>
      <c r="D1086"/>
      <c r="E1086">
        <v>62000</v>
      </c>
      <c r="F1086">
        <v>69.9</v>
      </c>
      <c r="G1086">
        <v>39.9</v>
      </c>
      <c r="H1086">
        <v>300</v>
      </c>
      <c r="I1086" t="inlineStr">
        <is>
          <t>休闲裤</t>
        </is>
      </c>
      <c r="J1086" t="inlineStr">
        <is>
          <t>0.00</t>
        </is>
      </c>
      <c r="K1086" t="inlineStr">
        <is>
          <t>🔥低粉爆款</t>
        </is>
      </c>
      <c r="L1086" t="inlineStr">
        <is>
          <t>舟北北服饰的店</t>
        </is>
      </c>
      <c r="M1086">
        <v>16000</v>
      </c>
      <c r="N1086">
        <v>4.46</v>
      </c>
      <c r="O1086">
        <v>329000</v>
      </c>
      <c r="P1086" t="inlineStr">
        <is>
          <t>689ed1d5c165480015102f2a</t>
        </is>
      </c>
      <c r="Q1086" t="inlineStr">
        <is>
          <t>🚫重复</t>
        </is>
      </c>
      <c r="R1086" t="inlineStr">
        <is>
          <t>14周</t>
        </is>
      </c>
      <c r="S1086" t="inlineStr">
        <is>
          <t>3.88</t>
        </is>
      </c>
      <c r="T1086" t="inlineStr">
        <is>
          <t>服饰穿搭</t>
        </is>
      </c>
      <c r="U1086" t="inlineStr">
        <is>
          <t>女装</t>
        </is>
      </c>
      <c r="V1086" s="3">
        <v>46112.78107638889</v>
      </c>
      <c r="W1086" t="inlineStr">
        <is>
          <t>2026-Q1</t>
        </is>
      </c>
    </row>
    <row r="1087" ht="25.5" customHeight="1">
      <c r="A1087" t="inlineStr">
        <is>
          <t>【24支纯汉麻】X-1783夏季透气100汉麻裤女百搭宽松显瘦休闲</t>
        </is>
      </c>
      <c r="B1087" t="inlineStr">
        <is>
          <t>recvf5pAkIMJja.jpg</t>
        </is>
      </c>
      <c r="C1087" s="2" t="str">
        <f>=HYPERLINK("https://xhslink.com/m/60FOthbDgrn", "https://xhslink.com/m/60FOthbDgrn")</f>
        <v>https://xhslink.com/m/60FOthbDgrn</v>
      </c>
      <c r="D1087"/>
      <c r="E1087">
        <v>4581</v>
      </c>
      <c r="F1087">
        <v>129.99</v>
      </c>
      <c r="G1087"/>
      <c r="H1087">
        <v>300</v>
      </c>
      <c r="I1087" t="inlineStr">
        <is>
          <t>休闲裤</t>
        </is>
      </c>
      <c r="J1087" t="inlineStr">
        <is>
          <t>0.07</t>
        </is>
      </c>
      <c r="K1087" t="inlineStr">
        <is>
          <t>🔥低粉爆款</t>
        </is>
      </c>
      <c r="L1087" t="inlineStr">
        <is>
          <t>若若美外贸3店的店</t>
        </is>
      </c>
      <c r="M1087">
        <v>418</v>
      </c>
      <c r="N1087">
        <v>4.52</v>
      </c>
      <c r="O1087">
        <v>22000</v>
      </c>
      <c r="P1087" t="inlineStr">
        <is>
          <t>6986d29278d8d500013dbfdd</t>
        </is>
      </c>
      <c r="Q1087"/>
      <c r="R1087" t="inlineStr">
        <is>
          <t>14周</t>
        </is>
      </c>
      <c r="S1087" t="inlineStr">
        <is>
          <t>10.96</t>
        </is>
      </c>
      <c r="T1087" t="inlineStr">
        <is>
          <t>服饰穿搭</t>
        </is>
      </c>
      <c r="U1087" t="inlineStr">
        <is>
          <t>女装</t>
        </is>
      </c>
      <c r="V1087" s="3">
        <v>46112.78107638889</v>
      </c>
      <c r="W1087" t="inlineStr">
        <is>
          <t>2026-Q1</t>
        </is>
      </c>
    </row>
    <row r="1088" ht="25.5" customHeight="1">
      <c r="A1088" t="inlineStr">
        <is>
          <t>Soft元厂工艺莫代尔砂洗空气层版型质感一致</t>
        </is>
      </c>
      <c r="B1088" t="inlineStr">
        <is>
          <t>recvf5pAkIq6wf.jpg</t>
        </is>
      </c>
      <c r="C1088" s="2" t="str">
        <f>=HYPERLINK("https://xhslink.com/m/8Dyax4vz3SA", "https://xhslink.com/m/8Dyax4vz3SA")</f>
        <v>https://xhslink.com/m/8Dyax4vz3SA</v>
      </c>
      <c r="D1088"/>
      <c r="E1088">
        <v>12000</v>
      </c>
      <c r="F1088">
        <v>288</v>
      </c>
      <c r="G1088">
        <v>233</v>
      </c>
      <c r="H1088">
        <v>300</v>
      </c>
      <c r="I1088" t="inlineStr">
        <is>
          <t>休闲裤</t>
        </is>
      </c>
      <c r="J1088" t="inlineStr">
        <is>
          <t>0.03</t>
        </is>
      </c>
      <c r="K1088" t="inlineStr">
        <is>
          <t>🔥低粉爆款</t>
        </is>
      </c>
      <c r="L1088" t="inlineStr">
        <is>
          <t>Jennie寺寺的店</t>
        </is>
      </c>
      <c r="M1088">
        <v>722</v>
      </c>
      <c r="N1088">
        <v>4.75</v>
      </c>
      <c r="O1088">
        <v>17000</v>
      </c>
      <c r="P1088" t="inlineStr">
        <is>
          <t>68d10e94ba5a83001579a831</t>
        </is>
      </c>
      <c r="Q1088"/>
      <c r="R1088" t="inlineStr">
        <is>
          <t>14周</t>
        </is>
      </c>
      <c r="S1088" t="inlineStr">
        <is>
          <t>16.62</t>
        </is>
      </c>
      <c r="T1088" t="inlineStr">
        <is>
          <t>服饰穿搭</t>
        </is>
      </c>
      <c r="U1088" t="inlineStr">
        <is>
          <t>女装</t>
        </is>
      </c>
      <c r="V1088" s="3">
        <v>46112.78107638889</v>
      </c>
      <c r="W1088" t="inlineStr">
        <is>
          <t>2026-Q1</t>
        </is>
      </c>
    </row>
    <row r="1089" ht="25.5" customHeight="1">
      <c r="A1089" t="inlineStr">
        <is>
          <t>升级版宽腰头糯米裤2026春夏新款宽松直筒裤</t>
        </is>
      </c>
      <c r="B1089" t="inlineStr">
        <is>
          <t>recvf5pAkIx7J8.jpg</t>
        </is>
      </c>
      <c r="C1089" s="2" t="str">
        <f>=HYPERLINK("https://xhslink.com/m/6Seh1pmAbpF", "https://xhslink.com/m/6Seh1pmAbpF")</f>
        <v>https://xhslink.com/m/6Seh1pmAbpF</v>
      </c>
      <c r="D1089"/>
      <c r="E1089">
        <v>62000</v>
      </c>
      <c r="F1089">
        <v>69.9</v>
      </c>
      <c r="G1089">
        <v>39.9</v>
      </c>
      <c r="H1089">
        <v>300</v>
      </c>
      <c r="I1089" t="inlineStr">
        <is>
          <t>直筒裤</t>
        </is>
      </c>
      <c r="J1089" t="inlineStr">
        <is>
          <t>0.00</t>
        </is>
      </c>
      <c r="K1089" t="inlineStr">
        <is>
          <t>🔥低粉爆款</t>
        </is>
      </c>
      <c r="L1089" t="inlineStr">
        <is>
          <t>舟北北服饰的店</t>
        </is>
      </c>
      <c r="M1089">
        <v>16000</v>
      </c>
      <c r="N1089">
        <v>4.46</v>
      </c>
      <c r="O1089">
        <v>329000</v>
      </c>
      <c r="P1089" t="inlineStr">
        <is>
          <t>689ed1d5c165480015102f3a</t>
        </is>
      </c>
      <c r="Q1089" t="inlineStr">
        <is>
          <t>🚫重复</t>
        </is>
      </c>
      <c r="R1089" t="inlineStr">
        <is>
          <t>14周</t>
        </is>
      </c>
      <c r="S1089" t="inlineStr">
        <is>
          <t>3.88</t>
        </is>
      </c>
      <c r="T1089" t="inlineStr">
        <is>
          <t>服饰穿搭</t>
        </is>
      </c>
      <c r="U1089" t="inlineStr">
        <is>
          <t>女装</t>
        </is>
      </c>
      <c r="V1089" s="3">
        <v>46112.78107638889</v>
      </c>
      <c r="W1089" t="inlineStr">
        <is>
          <t>2026-Q1</t>
        </is>
      </c>
    </row>
    <row r="1090" ht="25.5" customHeight="1">
      <c r="A1090" t="inlineStr">
        <is>
          <t>【芋了个芋】2026年春季新款美式泥黄蓝阔腿直筒牛仔裤女宽松拖地</t>
        </is>
      </c>
      <c r="B1090" t="inlineStr">
        <is>
          <t>recvf5pAkIeJws.jpg</t>
        </is>
      </c>
      <c r="C1090" s="2" t="str">
        <f>=HYPERLINK("https://xhslink.com/m/AxJ6ZjsKT8S", "https://xhslink.com/m/AxJ6ZjsKT8S")</f>
        <v>https://xhslink.com/m/AxJ6ZjsKT8S</v>
      </c>
      <c r="D1090"/>
      <c r="E1090">
        <v>17000</v>
      </c>
      <c r="F1090">
        <v>109.99</v>
      </c>
      <c r="G1090">
        <v>99.99</v>
      </c>
      <c r="H1090">
        <v>300</v>
      </c>
      <c r="I1090" t="inlineStr">
        <is>
          <t>直筒裤</t>
        </is>
      </c>
      <c r="J1090" t="inlineStr">
        <is>
          <t>0.02</t>
        </is>
      </c>
      <c r="K1090"/>
      <c r="L1090" t="inlineStr">
        <is>
          <t>芋了个芋的店</t>
        </is>
      </c>
      <c r="M1090">
        <v>19000</v>
      </c>
      <c r="N1090">
        <v>4.57</v>
      </c>
      <c r="O1090">
        <v>122000</v>
      </c>
      <c r="P1090" t="inlineStr">
        <is>
          <t>67b97da1f6588900010acc9f</t>
        </is>
      </c>
      <c r="Q1090" t="inlineStr">
        <is>
          <t>🚫重复</t>
        </is>
      </c>
      <c r="R1090" t="inlineStr">
        <is>
          <t>14周</t>
        </is>
      </c>
      <c r="S1090" t="inlineStr">
        <is>
          <t>0.89</t>
        </is>
      </c>
      <c r="T1090" t="inlineStr">
        <is>
          <t>服饰穿搭</t>
        </is>
      </c>
      <c r="U1090" t="inlineStr">
        <is>
          <t>女装</t>
        </is>
      </c>
      <c r="V1090" s="3">
        <v>46112.78107638889</v>
      </c>
      <c r="W1090" t="inlineStr">
        <is>
          <t>2026-Q1</t>
        </is>
      </c>
    </row>
    <row r="1091" ht="25.5" customHeight="1">
      <c r="A1091" t="inlineStr">
        <is>
          <t>【通勤·烟管裤】小直筒显瘦九分牛仔裤女高腰弹力梨形遮胯显瘦</t>
        </is>
      </c>
      <c r="B1091" t="inlineStr">
        <is>
          <t>recvf5pAkIo05N.jpg</t>
        </is>
      </c>
      <c r="C1091" s="2" t="str">
        <f>=HYPERLINK("https://xhslink.com/m/5M0KWlutbYe", "https://xhslink.com/m/5M0KWlutbYe")</f>
        <v>https://xhslink.com/m/5M0KWlutbYe</v>
      </c>
      <c r="D1091"/>
      <c r="E1091">
        <v>15000</v>
      </c>
      <c r="F1091">
        <v>169.9</v>
      </c>
      <c r="G1091">
        <v>149.51</v>
      </c>
      <c r="H1091">
        <v>300</v>
      </c>
      <c r="I1091" t="inlineStr">
        <is>
          <t>直筒裤</t>
        </is>
      </c>
      <c r="J1091" t="inlineStr">
        <is>
          <t>0.02</t>
        </is>
      </c>
      <c r="K1091"/>
      <c r="L1091" t="inlineStr">
        <is>
          <t>ChouMei品质女裤的店</t>
        </is>
      </c>
      <c r="M1091">
        <v>44000</v>
      </c>
      <c r="N1091">
        <v>4.58</v>
      </c>
      <c r="O1091">
        <v>169000</v>
      </c>
      <c r="P1091" t="inlineStr">
        <is>
          <t>69b79d4de95b340001af3d63</t>
        </is>
      </c>
      <c r="Q1091" t="inlineStr">
        <is>
          <t>🚫重复</t>
        </is>
      </c>
      <c r="R1091" t="inlineStr">
        <is>
          <t>14周</t>
        </is>
      </c>
      <c r="S1091" t="inlineStr">
        <is>
          <t>0.34</t>
        </is>
      </c>
      <c r="T1091" t="inlineStr">
        <is>
          <t>服饰穿搭</t>
        </is>
      </c>
      <c r="U1091" t="inlineStr">
        <is>
          <t>女装</t>
        </is>
      </c>
      <c r="V1091" s="3">
        <v>46112.78107638889</v>
      </c>
      <c r="W1091" t="inlineStr">
        <is>
          <t>2026-Q1</t>
        </is>
      </c>
    </row>
    <row r="1092" ht="25.5" customHeight="1">
      <c r="A1092" t="inlineStr">
        <is>
          <t>Orange mood · 【猫眼】Orange金秋猫眼甲油胶2025年新款爆闪指甲油胶玻璃珠</t>
        </is>
      </c>
      <c r="B1092" t="inlineStr">
        <is>
          <t>recvf5pAkISAjY.jpg</t>
        </is>
      </c>
      <c r="C1092" s="2" t="str">
        <f>=HYPERLINK("https://xhslink.com/m/73llHKzynz", "https://xhslink.com/m/73llHKzynz")</f>
        <v>https://xhslink.com/m/73llHKzynz</v>
      </c>
      <c r="D1092"/>
      <c r="E1092">
        <v>57000</v>
      </c>
      <c r="F1092">
        <v>22</v>
      </c>
      <c r="G1092"/>
      <c r="H1092">
        <v>300</v>
      </c>
      <c r="I1092" t="inlineStr">
        <is>
          <t>美甲美睫</t>
        </is>
      </c>
      <c r="J1092" t="inlineStr">
        <is>
          <t>0.01</t>
        </is>
      </c>
      <c r="K1092"/>
      <c r="L1092" t="inlineStr">
        <is>
          <t>Orange Mood甲油胶的店</t>
        </is>
      </c>
      <c r="M1092">
        <v>41000</v>
      </c>
      <c r="N1092">
        <v>4.61</v>
      </c>
      <c r="O1092">
        <v>113000</v>
      </c>
      <c r="P1092" t="inlineStr">
        <is>
          <t>677f9d2df82524000132db6b</t>
        </is>
      </c>
      <c r="Q1092"/>
      <c r="R1092" t="inlineStr">
        <is>
          <t>14周</t>
        </is>
      </c>
      <c r="S1092" t="inlineStr">
        <is>
          <t>1.39</t>
        </is>
      </c>
      <c r="T1092" t="inlineStr">
        <is>
          <t>美妆个护</t>
        </is>
      </c>
      <c r="U1092" t="inlineStr">
        <is>
          <t>护肤彩妆</t>
        </is>
      </c>
      <c r="V1092" s="3">
        <v>46112.78107638889</v>
      </c>
      <c r="W1092" t="inlineStr">
        <is>
          <t>2026-Q1</t>
        </is>
      </c>
    </row>
    <row r="1093" ht="25.5" customHeight="1">
      <c r="A1093" t="inlineStr">
        <is>
          <t>夏季新款小蛮腰抽皱显瘦正肩T恤小众短袖修身上衣</t>
        </is>
      </c>
      <c r="B1093" t="inlineStr">
        <is>
          <t>recvf5pAkI9gES.jpg</t>
        </is>
      </c>
      <c r="C1093" s="2" t="str">
        <f>=HYPERLINK("https://xhslink.com/m/3Fid89iDW6E", "https://xhslink.com/m/3Fid89iDW6E")</f>
        <v>https://xhslink.com/m/3Fid89iDW6E</v>
      </c>
      <c r="D1093"/>
      <c r="E1093">
        <v>16000</v>
      </c>
      <c r="F1093">
        <v>39.9</v>
      </c>
      <c r="G1093"/>
      <c r="H1093">
        <v>300</v>
      </c>
      <c r="I1093" t="inlineStr">
        <is>
          <t>短袖</t>
        </is>
      </c>
      <c r="J1093" t="inlineStr">
        <is>
          <t>0.02</t>
        </is>
      </c>
      <c r="K1093"/>
      <c r="L1093" t="inlineStr">
        <is>
          <t>大耳朵藏不住的店</t>
        </is>
      </c>
      <c r="M1093">
        <v>7073</v>
      </c>
      <c r="N1093">
        <v>4.64</v>
      </c>
      <c r="O1093">
        <v>297000</v>
      </c>
      <c r="P1093" t="inlineStr">
        <is>
          <t>682b0129c3bab90001505cda</t>
        </is>
      </c>
      <c r="Q1093" t="inlineStr">
        <is>
          <t>🚫重复</t>
        </is>
      </c>
      <c r="R1093" t="inlineStr">
        <is>
          <t>14周</t>
        </is>
      </c>
      <c r="S1093" t="inlineStr">
        <is>
          <t>2.26</t>
        </is>
      </c>
      <c r="T1093" t="inlineStr">
        <is>
          <t>服饰穿搭</t>
        </is>
      </c>
      <c r="U1093" t="inlineStr">
        <is>
          <t>女装</t>
        </is>
      </c>
      <c r="V1093" s="3">
        <v>46112.78107638889</v>
      </c>
      <c r="W1093" t="inlineStr">
        <is>
          <t>2026-Q1</t>
        </is>
      </c>
    </row>
    <row r="1094" ht="25.5" customHeight="1">
      <c r="A1094" t="inlineStr">
        <is>
          <t>各种身材友好丨我心中永远第一的运动神裤羽毛球长裤跑步健身女生</t>
        </is>
      </c>
      <c r="B1094" t="inlineStr">
        <is>
          <t>recvf5pAkIN2DV.jpg</t>
        </is>
      </c>
      <c r="C1094" s="2" t="str">
        <f>=HYPERLINK("https://xhslink.com/m/ARbojxcEXBm", "https://xhslink.com/m/ARbojxcEXBm")</f>
        <v>https://xhslink.com/m/ARbojxcEXBm</v>
      </c>
      <c r="D1094"/>
      <c r="E1094">
        <v>65000</v>
      </c>
      <c r="F1094">
        <v>108</v>
      </c>
      <c r="G1094">
        <v>78</v>
      </c>
      <c r="H1094">
        <v>300</v>
      </c>
      <c r="I1094" t="inlineStr">
        <is>
          <t>运动裤</t>
        </is>
      </c>
      <c r="J1094" t="inlineStr">
        <is>
          <t>0.00</t>
        </is>
      </c>
      <c r="K1094" t="inlineStr">
        <is>
          <t>🔥低粉爆款</t>
        </is>
      </c>
      <c r="L1094" t="inlineStr">
        <is>
          <t>滚滚滚滚球的店</t>
        </is>
      </c>
      <c r="M1094">
        <v>1487</v>
      </c>
      <c r="N1094">
        <v>4.63</v>
      </c>
      <c r="O1094">
        <v>90000</v>
      </c>
      <c r="P1094" t="inlineStr">
        <is>
          <t>6842c6cb6d1910000159d542</t>
        </is>
      </c>
      <c r="Q1094"/>
      <c r="R1094" t="inlineStr">
        <is>
          <t>14周</t>
        </is>
      </c>
      <c r="S1094" t="inlineStr">
        <is>
          <t>43.71</t>
        </is>
      </c>
      <c r="T1094" t="inlineStr">
        <is>
          <t>运动潮玩</t>
        </is>
      </c>
      <c r="U1094" t="inlineStr">
        <is>
          <t>运动户外装备</t>
        </is>
      </c>
      <c r="V1094" s="3">
        <v>46112.78107638889</v>
      </c>
      <c r="W1094" t="inlineStr">
        <is>
          <t>2026-Q1</t>
        </is>
      </c>
    </row>
    <row r="1095" ht="25.5" customHeight="1">
      <c r="A1095" t="inlineStr">
        <is>
          <t>MINSANJIN · 【全额运补】常规/加绒 户外美式工装三防机能宽松冲锋裤休闲裤</t>
        </is>
      </c>
      <c r="B1095" t="inlineStr">
        <is>
          <t>recvf5pAkI1YC1.jpg</t>
        </is>
      </c>
      <c r="C1095" s="2" t="str">
        <f>=HYPERLINK("https://xhslink.com/m/Uu8ZQS56ey", "https://xhslink.com/m/Uu8ZQS56ey")</f>
        <v>https://xhslink.com/m/Uu8ZQS56ey</v>
      </c>
      <c r="D1095"/>
      <c r="E1095">
        <v>6833</v>
      </c>
      <c r="F1095">
        <v>59</v>
      </c>
      <c r="G1095"/>
      <c r="H1095">
        <v>300</v>
      </c>
      <c r="I1095" t="inlineStr">
        <is>
          <t>运动裤</t>
        </is>
      </c>
      <c r="J1095" t="inlineStr">
        <is>
          <t>0.04</t>
        </is>
      </c>
      <c r="K1095" t="inlineStr">
        <is>
          <t>🔥低粉爆款</t>
        </is>
      </c>
      <c r="L1095" t="inlineStr">
        <is>
          <t>MIN SAN JIN山系的店</t>
        </is>
      </c>
      <c r="M1095">
        <v>112</v>
      </c>
      <c r="N1095">
        <v>4.47</v>
      </c>
      <c r="O1095">
        <v>31000</v>
      </c>
      <c r="P1095" t="inlineStr">
        <is>
          <t>6984652ffb672a001525e84d</t>
        </is>
      </c>
      <c r="Q1095" t="inlineStr">
        <is>
          <t>🚫重复</t>
        </is>
      </c>
      <c r="R1095" t="inlineStr">
        <is>
          <t>14周</t>
        </is>
      </c>
      <c r="S1095" t="inlineStr">
        <is>
          <t>61.01</t>
        </is>
      </c>
      <c r="T1095" t="inlineStr">
        <is>
          <t>服饰穿搭</t>
        </is>
      </c>
      <c r="U1095" t="inlineStr">
        <is>
          <t>女装</t>
        </is>
      </c>
      <c r="V1095" s="3">
        <v>46112.78107638889</v>
      </c>
      <c r="W1095" t="inlineStr">
        <is>
          <t>2026-Q1</t>
        </is>
      </c>
    </row>
    <row r="1096" ht="25.5" customHeight="1">
      <c r="A1096" t="inlineStr">
        <is>
          <t>成品景德镇陶瓷花束礼物女生日礼物送闺蜜女朋友高级感三八妇女节</t>
        </is>
      </c>
      <c r="B1096" t="inlineStr">
        <is>
          <t>recvf5pAkIkTR3.jpg</t>
        </is>
      </c>
      <c r="C1096" s="2" t="str">
        <f>=HYPERLINK("https://xhslink.com/m/5riMkeqr6tF", "https://xhslink.com/m/5riMkeqr6tF")</f>
        <v>https://xhslink.com/m/5riMkeqr6tF</v>
      </c>
      <c r="D1096"/>
      <c r="E1096">
        <v>5590</v>
      </c>
      <c r="F1096">
        <v>59.9</v>
      </c>
      <c r="G1096"/>
      <c r="H1096">
        <v>300</v>
      </c>
      <c r="I1096" t="inlineStr">
        <is>
          <t>陶瓷</t>
        </is>
      </c>
      <c r="J1096" t="inlineStr">
        <is>
          <t>0.05</t>
        </is>
      </c>
      <c r="K1096"/>
      <c r="L1096" t="inlineStr">
        <is>
          <t>月亮上的邮差的店</t>
        </is>
      </c>
      <c r="M1096">
        <v>4359</v>
      </c>
      <c r="N1096">
        <v>4.7</v>
      </c>
      <c r="O1096">
        <v>66000</v>
      </c>
      <c r="P1096" t="inlineStr">
        <is>
          <t>6924207bdbfbf5000108b962</t>
        </is>
      </c>
      <c r="Q1096" t="inlineStr">
        <is>
          <t>🚫重复</t>
        </is>
      </c>
      <c r="R1096" t="inlineStr">
        <is>
          <t>14周</t>
        </is>
      </c>
      <c r="S1096" t="inlineStr">
        <is>
          <t>1.28</t>
        </is>
      </c>
      <c r="T1096" t="inlineStr">
        <is>
          <t>家居生活</t>
        </is>
      </c>
      <c r="U1096" t="inlineStr">
        <is>
          <t>厨房餐饮</t>
        </is>
      </c>
      <c r="V1096" s="3">
        <v>46112.78107638889</v>
      </c>
      <c r="W1096" t="inlineStr">
        <is>
          <t>2026-Q1</t>
        </is>
      </c>
    </row>
    <row r="1097" ht="25.5" customHeight="1">
      <c r="A1097" t="inlineStr">
        <is>
          <t>顺丰包邮 纯釉下彩 定制小众手工陶瓷生日日历盘 *15-20天内发货*</t>
        </is>
      </c>
      <c r="B1097" t="inlineStr">
        <is>
          <t>recvf5pAkIZlcM.jpg</t>
        </is>
      </c>
      <c r="C1097" s="2" t="str">
        <f>=HYPERLINK("https://xhslink.com/m/1LY53qxXnFi", "https://xhslink.com/m/1LY53qxXnFi")</f>
        <v>https://xhslink.com/m/1LY53qxXnFi</v>
      </c>
      <c r="D1097"/>
      <c r="E1097">
        <v>37000</v>
      </c>
      <c r="F1097">
        <v>149</v>
      </c>
      <c r="G1097"/>
      <c r="H1097">
        <v>300</v>
      </c>
      <c r="I1097" t="inlineStr">
        <is>
          <t>陶瓷</t>
        </is>
      </c>
      <c r="J1097" t="inlineStr">
        <is>
          <t>0.01</t>
        </is>
      </c>
      <c r="K1097"/>
      <c r="L1097" t="inlineStr">
        <is>
          <t>CongMu从沐陶瓷工作室的店</t>
        </is>
      </c>
      <c r="M1097">
        <v>39000</v>
      </c>
      <c r="N1097">
        <v>4.75</v>
      </c>
      <c r="O1097">
        <v>64000</v>
      </c>
      <c r="P1097" t="inlineStr">
        <is>
          <t>65f10c2eab9fce00014d68ea</t>
        </is>
      </c>
      <c r="Q1097"/>
      <c r="R1097" t="inlineStr">
        <is>
          <t>14周</t>
        </is>
      </c>
      <c r="S1097" t="inlineStr">
        <is>
          <t>0.95</t>
        </is>
      </c>
      <c r="T1097" t="inlineStr">
        <is>
          <t>家居生活</t>
        </is>
      </c>
      <c r="U1097" t="inlineStr">
        <is>
          <t>厨房餐饮</t>
        </is>
      </c>
      <c r="V1097" s="3">
        <v>46112.78107638889</v>
      </c>
      <c r="W1097" t="inlineStr">
        <is>
          <t>2026-Q1</t>
        </is>
      </c>
    </row>
    <row r="1098" ht="25.5" customHeight="1">
      <c r="A1098" t="inlineStr">
        <is>
          <t>【儿保推荐6月+】 蒙氏早教启蒙忙碌书撕不烂安静书撕撕书故事书</t>
        </is>
      </c>
      <c r="B1098" t="inlineStr">
        <is>
          <t>recvfenb18s0ze.jpg</t>
        </is>
      </c>
      <c r="C1098" s="2" t="str">
        <f>=HYPERLINK("https://xhslink.com/m/4HMEeSOpFoS", "https://xhslink.com/m/4HMEeSOpFoS")</f>
        <v>https://xhslink.com/m/4HMEeSOpFoS</v>
      </c>
      <c r="D1098"/>
      <c r="E1098">
        <v>18000</v>
      </c>
      <c r="F1098">
        <v>69.9</v>
      </c>
      <c r="G1098">
        <v>48.9</v>
      </c>
      <c r="H1098">
        <v>300</v>
      </c>
      <c r="I1098" t="inlineStr">
        <is>
          <t>益智玩具</t>
        </is>
      </c>
      <c r="J1098" t="inlineStr">
        <is>
          <t>0.02</t>
        </is>
      </c>
      <c r="K1098" t="inlineStr">
        <is>
          <t>🔥低粉爆款</t>
        </is>
      </c>
      <c r="L1098" t="inlineStr">
        <is>
          <t>满满崽崽的妈咪的店</t>
        </is>
      </c>
      <c r="M1098">
        <v>1680</v>
      </c>
      <c r="N1098">
        <v>4.69</v>
      </c>
      <c r="O1098">
        <v>38000</v>
      </c>
      <c r="P1098" t="inlineStr">
        <is>
          <t>69513708dd18440001fc77cf</t>
        </is>
      </c>
      <c r="Q1098" t="inlineStr">
        <is>
          <t>🚫重复</t>
        </is>
      </c>
      <c r="R1098" t="inlineStr">
        <is>
          <t>14周</t>
        </is>
      </c>
      <c r="S1098" t="inlineStr">
        <is>
          <t>10.71</t>
        </is>
      </c>
      <c r="T1098" t="inlineStr">
        <is>
          <t>母婴亲子</t>
        </is>
      </c>
      <c r="U1098" t="inlineStr">
        <is>
          <t>玩具早教</t>
        </is>
      </c>
      <c r="V1098" s="3">
        <v>46112.78107638889</v>
      </c>
      <c r="W1098" t="inlineStr">
        <is>
          <t>2026-Q1</t>
        </is>
      </c>
    </row>
    <row r="1099" ht="25.5" customHeight="1">
      <c r="A1099" t="inlineStr">
        <is>
          <t>无火香薰家用香熏高级酒店精油卧室卫生间客厅持久留香摆件除味女</t>
        </is>
      </c>
      <c r="B1099" t="inlineStr">
        <is>
          <t>recvfenb18SHN3.jpg</t>
        </is>
      </c>
      <c r="C1099" s="2" t="str">
        <f>=HYPERLINK("https://xhslink.com/m/36JqnBwOsMC", "https://xhslink.com/m/36JqnBwOsMC")</f>
        <v>https://xhslink.com/m/36JqnBwOsMC</v>
      </c>
      <c r="D1099"/>
      <c r="E1099">
        <v>40000</v>
      </c>
      <c r="F1099">
        <v>128</v>
      </c>
      <c r="G1099">
        <v>72</v>
      </c>
      <c r="H1099">
        <v>300</v>
      </c>
      <c r="I1099" t="inlineStr">
        <is>
          <t>家居装饰</t>
        </is>
      </c>
      <c r="J1099" t="inlineStr">
        <is>
          <t>0.01</t>
        </is>
      </c>
      <c r="K1099" t="inlineStr">
        <is>
          <t>🔥低粉爆款</t>
        </is>
      </c>
      <c r="L1099" t="inlineStr">
        <is>
          <t>Quivenic奇闻纪的店</t>
        </is>
      </c>
      <c r="M1099">
        <v>5502</v>
      </c>
      <c r="N1099">
        <v>4.59</v>
      </c>
      <c r="O1099">
        <v>116000</v>
      </c>
      <c r="P1099" t="inlineStr">
        <is>
          <t>69465043110a7f0001433532</t>
        </is>
      </c>
      <c r="Q1099" t="inlineStr">
        <is>
          <t>🚫重复</t>
        </is>
      </c>
      <c r="R1099" t="inlineStr">
        <is>
          <t>14周</t>
        </is>
      </c>
      <c r="S1099" t="inlineStr">
        <is>
          <t>7.27</t>
        </is>
      </c>
      <c r="T1099" t="inlineStr">
        <is>
          <t>家居生活</t>
        </is>
      </c>
      <c r="U1099" t="inlineStr">
        <is>
          <t>家居日用</t>
        </is>
      </c>
      <c r="V1099" s="3">
        <v>46112.78107638889</v>
      </c>
      <c r="W1099" t="inlineStr">
        <is>
          <t>2026-Q1</t>
        </is>
      </c>
    </row>
    <row r="1100" ht="25.5" customHeight="1">
      <c r="A1100" t="inlineStr">
        <is>
          <t>休闲百搭德训鞋女软底舒适小白鞋新款时尚校园风低帮平底通勤板鞋</t>
        </is>
      </c>
      <c r="B1100" t="inlineStr">
        <is>
          <t>recvfenb185p3u.jpg</t>
        </is>
      </c>
      <c r="C1100" s="2" t="str">
        <f>=HYPERLINK("https://xhslink.com/m/9x3BpVfyVS5", "https://xhslink.com/m/9x3BpVfyVS5")</f>
        <v>https://xhslink.com/m/9x3BpVfyVS5</v>
      </c>
      <c r="D1100"/>
      <c r="E1100">
        <v>1489</v>
      </c>
      <c r="F1100">
        <v>98</v>
      </c>
      <c r="G1100">
        <v>68</v>
      </c>
      <c r="H1100">
        <v>300</v>
      </c>
      <c r="I1100" t="inlineStr">
        <is>
          <t>德训鞋</t>
        </is>
      </c>
      <c r="J1100" t="inlineStr">
        <is>
          <t>0.20</t>
        </is>
      </c>
      <c r="K1100"/>
      <c r="L1100" t="inlineStr">
        <is>
          <t>王依依YiYi的店</t>
        </is>
      </c>
      <c r="M1100">
        <v>514</v>
      </c>
      <c r="N1100">
        <v>4.67</v>
      </c>
      <c r="O1100">
        <v>4422</v>
      </c>
      <c r="P1100" t="inlineStr">
        <is>
          <t>68cd467139f90c00011c7110</t>
        </is>
      </c>
      <c r="Q1100" t="inlineStr">
        <is>
          <t>🚫重复</t>
        </is>
      </c>
      <c r="R1100" t="inlineStr">
        <is>
          <t>14周</t>
        </is>
      </c>
      <c r="S1100" t="inlineStr">
        <is>
          <t>2.90</t>
        </is>
      </c>
      <c r="T1100" t="inlineStr">
        <is>
          <t>服饰穿搭</t>
        </is>
      </c>
      <c r="U1100" t="inlineStr">
        <is>
          <t>鞋靴箱包</t>
        </is>
      </c>
      <c r="V1100" s="3">
        <v>46112.78107638889</v>
      </c>
      <c r="W1100" t="inlineStr">
        <is>
          <t>2026-Q1</t>
        </is>
      </c>
    </row>
    <row r="1101" ht="25.5" customHeight="1">
      <c r="A1101" t="inlineStr">
        <is>
          <t>瑞秘 · 【不闷脚】头层牛皮德训鞋女休闲阿甘板鞋暴走软底健身通勤男鞋</t>
        </is>
      </c>
      <c r="B1101" t="inlineStr">
        <is>
          <t>recvfenb18T8Tr.jpg</t>
        </is>
      </c>
      <c r="C1101" s="2" t="str">
        <f>=HYPERLINK("https://xhslink.com/m/2lLUpiYh84a", "https://xhslink.com/m/2lLUpiYh84a")</f>
        <v>https://xhslink.com/m/2lLUpiYh84a</v>
      </c>
      <c r="D1101"/>
      <c r="E1101">
        <v>33000</v>
      </c>
      <c r="F1101">
        <v>223.4</v>
      </c>
      <c r="G1101">
        <v>189.89</v>
      </c>
      <c r="H1101">
        <v>300</v>
      </c>
      <c r="I1101" t="inlineStr">
        <is>
          <t>德训鞋</t>
        </is>
      </c>
      <c r="J1101" t="inlineStr">
        <is>
          <t>0.01</t>
        </is>
      </c>
      <c r="K1101"/>
      <c r="L1101" t="inlineStr">
        <is>
          <t>MR. QIUER潮品的店</t>
        </is>
      </c>
      <c r="M1101">
        <v>37000</v>
      </c>
      <c r="N1101">
        <v>4.69</v>
      </c>
      <c r="O1101">
        <v>79000</v>
      </c>
      <c r="P1101" t="inlineStr">
        <is>
          <t>63fd4f3f12100100016ceda0</t>
        </is>
      </c>
      <c r="Q1101" t="inlineStr">
        <is>
          <t>🚫重复</t>
        </is>
      </c>
      <c r="R1101" t="inlineStr">
        <is>
          <t>14周</t>
        </is>
      </c>
      <c r="S1101" t="inlineStr">
        <is>
          <t>0.89</t>
        </is>
      </c>
      <c r="T1101" t="inlineStr">
        <is>
          <t>服饰穿搭</t>
        </is>
      </c>
      <c r="U1101" t="inlineStr">
        <is>
          <t>男装</t>
        </is>
      </c>
      <c r="V1101" s="3">
        <v>46112.78107638889</v>
      </c>
      <c r="W1101" t="inlineStr">
        <is>
          <t>2026-Q1</t>
        </is>
      </c>
    </row>
    <row r="1102" ht="25.5" customHeight="1">
      <c r="A1102" t="inlineStr">
        <is>
          <t>【小众情侣睡衣】100%棉早春纯棉磨毛睡衣家居服</t>
        </is>
      </c>
      <c r="B1102" t="inlineStr">
        <is>
          <t>recvfenb18XUKH.jpg</t>
        </is>
      </c>
      <c r="C1102" s="2" t="str">
        <f>=HYPERLINK("https://xhslink.com/m/Amauz1PhcJ0", "https://xhslink.com/m/Amauz1PhcJ0")</f>
        <v>https://xhslink.com/m/Amauz1PhcJ0</v>
      </c>
      <c r="D1102"/>
      <c r="E1102">
        <v>112000</v>
      </c>
      <c r="F1102">
        <v>99</v>
      </c>
      <c r="G1102"/>
      <c r="H1102">
        <v>300</v>
      </c>
      <c r="I1102" t="inlineStr">
        <is>
          <t>浴室用品</t>
        </is>
      </c>
      <c r="J1102" t="inlineStr">
        <is>
          <t>0.00</t>
        </is>
      </c>
      <c r="K1102"/>
      <c r="L1102" t="inlineStr">
        <is>
          <t>八月雨的店</t>
        </is>
      </c>
      <c r="M1102">
        <v>126000</v>
      </c>
      <c r="N1102">
        <v>4.57</v>
      </c>
      <c r="O1102">
        <v>157000</v>
      </c>
      <c r="P1102" t="inlineStr">
        <is>
          <t>66cedcc787b9bc00010f07ea</t>
        </is>
      </c>
      <c r="Q1102" t="inlineStr">
        <is>
          <t>🚫重复</t>
        </is>
      </c>
      <c r="R1102" t="inlineStr">
        <is>
          <t>14周</t>
        </is>
      </c>
      <c r="S1102" t="inlineStr">
        <is>
          <t>0.89</t>
        </is>
      </c>
      <c r="T1102" t="inlineStr">
        <is>
          <t>家居生活</t>
        </is>
      </c>
      <c r="U1102" t="inlineStr">
        <is>
          <t>家居日用</t>
        </is>
      </c>
      <c r="V1102" s="3">
        <v>46112.78107638889</v>
      </c>
      <c r="W1102" t="inlineStr">
        <is>
          <t>2026-Q1</t>
        </is>
      </c>
    </row>
    <row r="1103" ht="25.5" customHeight="1">
      <c r="A1103" t="inlineStr">
        <is>
          <t>[非直播时也可买]满75包邮 加购物车满75统一结账即包邮</t>
        </is>
      </c>
      <c r="B1103" t="inlineStr">
        <is>
          <t>recvfenb18l11x.jpg</t>
        </is>
      </c>
      <c r="C1103" s="2" t="str">
        <f>=HYPERLINK("https://xhslink.com/m/AkhYvUbgrCI", "https://xhslink.com/m/AkhYvUbgrCI")</f>
        <v>https://xhslink.com/m/AkhYvUbgrCI</v>
      </c>
      <c r="D1103"/>
      <c r="E1103">
        <v>36000</v>
      </c>
      <c r="F1103">
        <v>10</v>
      </c>
      <c r="G1103"/>
      <c r="H1103">
        <v>300</v>
      </c>
      <c r="I1103" t="inlineStr">
        <is>
          <t>饼干膨化</t>
        </is>
      </c>
      <c r="J1103" t="inlineStr">
        <is>
          <t>0.01</t>
        </is>
      </c>
      <c r="K1103"/>
      <c r="L1103" t="inlineStr">
        <is>
          <t>1817临期零食1号店的店</t>
        </is>
      </c>
      <c r="M1103">
        <v>15000</v>
      </c>
      <c r="N1103">
        <v>4.34</v>
      </c>
      <c r="O1103">
        <v>52000</v>
      </c>
      <c r="P1103" t="inlineStr">
        <is>
          <t>688e07e88fe3470001030e62</t>
        </is>
      </c>
      <c r="Q1103" t="inlineStr">
        <is>
          <t>🚫重复</t>
        </is>
      </c>
      <c r="R1103" t="inlineStr">
        <is>
          <t>14周</t>
        </is>
      </c>
      <c r="S1103" t="inlineStr">
        <is>
          <t>2.40</t>
        </is>
      </c>
      <c r="T1103" t="inlineStr">
        <is>
          <t>美食滋补</t>
        </is>
      </c>
      <c r="U1103" t="inlineStr">
        <is>
          <t>休闲零食</t>
        </is>
      </c>
      <c r="V1103" s="3">
        <v>46112.78107638889</v>
      </c>
      <c r="W1103" t="inlineStr">
        <is>
          <t>2026-Q1</t>
        </is>
      </c>
    </row>
    <row r="1104" ht="25.5" customHeight="1">
      <c r="A1104" t="inlineStr">
        <is>
          <t>韩国进口海太奶酪压缩芝士饼干饱腹代餐早餐能量棒代餐饱腹</t>
        </is>
      </c>
      <c r="B1104" t="inlineStr">
        <is>
          <t>recvfenb18oNJ7.jpg</t>
        </is>
      </c>
      <c r="C1104" s="2" t="str">
        <f>=HYPERLINK("https://xhslink.com/m/A1SIOWoxvIn", "https://xhslink.com/m/A1SIOWoxvIn")</f>
        <v>https://xhslink.com/m/A1SIOWoxvIn</v>
      </c>
      <c r="D1104"/>
      <c r="E1104">
        <v>45000</v>
      </c>
      <c r="F1104">
        <v>32.9</v>
      </c>
      <c r="G1104">
        <v>12.9</v>
      </c>
      <c r="H1104">
        <v>300</v>
      </c>
      <c r="I1104" t="inlineStr">
        <is>
          <t>饼干膨化</t>
        </is>
      </c>
      <c r="J1104" t="inlineStr">
        <is>
          <t>0.01</t>
        </is>
      </c>
      <c r="K1104"/>
      <c r="L1104" t="inlineStr">
        <is>
          <t>拉面口袋的店</t>
        </is>
      </c>
      <c r="M1104">
        <v>163000</v>
      </c>
      <c r="N1104">
        <v>4.52</v>
      </c>
      <c r="O1104">
        <v>417000</v>
      </c>
      <c r="P1104" t="inlineStr">
        <is>
          <t>67f4fa6438d4700001146b63</t>
        </is>
      </c>
      <c r="Q1104" t="inlineStr">
        <is>
          <t>🚫重复</t>
        </is>
      </c>
      <c r="R1104" t="inlineStr">
        <is>
          <t>14周</t>
        </is>
      </c>
      <c r="S1104" t="inlineStr">
        <is>
          <t>0.28</t>
        </is>
      </c>
      <c r="T1104" t="inlineStr">
        <is>
          <t>美食滋补</t>
        </is>
      </c>
      <c r="U1104" t="inlineStr">
        <is>
          <t>休闲零食</t>
        </is>
      </c>
      <c r="V1104" s="3">
        <v>46112.78107638889</v>
      </c>
      <c r="W1104" t="inlineStr">
        <is>
          <t>2026-Q1</t>
        </is>
      </c>
    </row>
    <row r="1105" ht="25.5" customHeight="1">
      <c r="A1105" t="inlineStr">
        <is>
          <t>yikoii 养雌茶 助力内在平衡｜女性友好 边喝边嚼（限时特价）</t>
        </is>
      </c>
      <c r="B1105" t="inlineStr">
        <is>
          <t>recvfenb182KdN.jpg</t>
        </is>
      </c>
      <c r="C1105" s="2" t="str">
        <f>=HYPERLINK("https://xhslink.com/m/AfAIMRPwqbQ", "https://xhslink.com/m/AfAIMRPwqbQ")</f>
        <v>https://xhslink.com/m/AfAIMRPwqbQ</v>
      </c>
      <c r="D1105"/>
      <c r="E1105">
        <v>36000</v>
      </c>
      <c r="F1105">
        <v>49.9</v>
      </c>
      <c r="G1105">
        <v>19.9</v>
      </c>
      <c r="H1105">
        <v>300</v>
      </c>
      <c r="I1105" t="inlineStr">
        <is>
          <t>养生茶</t>
        </is>
      </c>
      <c r="J1105" t="inlineStr">
        <is>
          <t>0.01</t>
        </is>
      </c>
      <c r="K1105" t="inlineStr">
        <is>
          <t>🔥低粉爆款</t>
        </is>
      </c>
      <c r="L1105" t="inlineStr">
        <is>
          <t>Yikoii tea 一口茶的店</t>
        </is>
      </c>
      <c r="M1105">
        <v>2017</v>
      </c>
      <c r="N1105">
        <v>4.5</v>
      </c>
      <c r="O1105">
        <v>64000</v>
      </c>
      <c r="P1105" t="inlineStr">
        <is>
          <t>68e9f213f8d1f000018688b8</t>
        </is>
      </c>
      <c r="Q1105"/>
      <c r="R1105" t="inlineStr">
        <is>
          <t>14周</t>
        </is>
      </c>
      <c r="S1105" t="inlineStr">
        <is>
          <t>17.85</t>
        </is>
      </c>
      <c r="T1105" t="inlineStr">
        <is>
          <t>美食滋补</t>
        </is>
      </c>
      <c r="U1105" t="inlineStr">
        <is>
          <t>酒水冲饮</t>
        </is>
      </c>
      <c r="V1105" s="3">
        <v>46112.78107638889</v>
      </c>
      <c r="W1105" t="inlineStr">
        <is>
          <t>2026-Q1</t>
        </is>
      </c>
    </row>
    <row r="1106" ht="25.5" customHeight="1">
      <c r="A1106" t="inlineStr">
        <is>
          <t>【到手4包】魔芋凉面开袋即食免煮方便食品凉拌低脂宵夜零食</t>
        </is>
      </c>
      <c r="B1106" t="inlineStr">
        <is>
          <t>recvfenb18Spup.jpg</t>
        </is>
      </c>
      <c r="C1106" s="2" t="str">
        <f>=HYPERLINK("https://xhslink.com/m/8KKnPFeIsA3", "https://xhslink.com/m/8KKnPFeIsA3")</f>
        <v>https://xhslink.com/m/8KKnPFeIsA3</v>
      </c>
      <c r="D1106"/>
      <c r="E1106">
        <v>35000</v>
      </c>
      <c r="F1106">
        <v>12.9</v>
      </c>
      <c r="G1106"/>
      <c r="H1106">
        <v>300</v>
      </c>
      <c r="I1106" t="inlineStr">
        <is>
          <t>低脂零食</t>
        </is>
      </c>
      <c r="J1106" t="inlineStr">
        <is>
          <t>0.01</t>
        </is>
      </c>
      <c r="K1106" t="inlineStr">
        <is>
          <t>🔥低粉爆款</t>
        </is>
      </c>
      <c r="L1106" t="inlineStr">
        <is>
          <t>安晓安低卡轻饮食的店</t>
        </is>
      </c>
      <c r="M1106">
        <v>1136</v>
      </c>
      <c r="N1106">
        <v>4.31</v>
      </c>
      <c r="O1106">
        <v>39000</v>
      </c>
      <c r="P1106" t="inlineStr">
        <is>
          <t>688313a6619a8900158e762e</t>
        </is>
      </c>
      <c r="Q1106" t="inlineStr">
        <is>
          <t>🚫重复</t>
        </is>
      </c>
      <c r="R1106" t="inlineStr">
        <is>
          <t>14周</t>
        </is>
      </c>
      <c r="S1106" t="inlineStr">
        <is>
          <t>30.81</t>
        </is>
      </c>
      <c r="T1106" t="inlineStr">
        <is>
          <t>美食滋补</t>
        </is>
      </c>
      <c r="U1106" t="inlineStr">
        <is>
          <t>休闲零食</t>
        </is>
      </c>
      <c r="V1106" s="3">
        <v>46112.78107638889</v>
      </c>
      <c r="W1106" t="inlineStr">
        <is>
          <t>2026-Q1</t>
        </is>
      </c>
    </row>
    <row r="1107" ht="25.5" customHeight="1">
      <c r="A1107" t="inlineStr">
        <is>
          <t>@热卖1w件！超好穿~韩系慵懒条纹斜肩T恤女秋季宽松百搭长袖上衣</t>
        </is>
      </c>
      <c r="B1107" t="inlineStr">
        <is>
          <t>recvfenb18ijYJ.jpg</t>
        </is>
      </c>
      <c r="C1107" s="2" t="str">
        <f>=HYPERLINK("https://xhslink.com/m/8ocAtmABSaM", "https://xhslink.com/m/8ocAtmABSaM")</f>
        <v>https://xhslink.com/m/8ocAtmABSaM</v>
      </c>
      <c r="D1107"/>
      <c r="E1107">
        <v>19000</v>
      </c>
      <c r="F1107">
        <v>45.9</v>
      </c>
      <c r="G1107"/>
      <c r="H1107">
        <v>300</v>
      </c>
      <c r="I1107" t="inlineStr">
        <is>
          <t>T恤</t>
        </is>
      </c>
      <c r="J1107" t="inlineStr">
        <is>
          <t>0.02</t>
        </is>
      </c>
      <c r="K1107"/>
      <c r="L1107" t="inlineStr">
        <is>
          <t>海鸥服装厂的店</t>
        </is>
      </c>
      <c r="M1107">
        <v>79000</v>
      </c>
      <c r="N1107">
        <v>4.47</v>
      </c>
      <c r="O1107">
        <v>1024000</v>
      </c>
      <c r="P1107" t="inlineStr">
        <is>
          <t>6838532a2e3a000001356ac7</t>
        </is>
      </c>
      <c r="Q1107" t="inlineStr">
        <is>
          <t>🚫重复</t>
        </is>
      </c>
      <c r="R1107" t="inlineStr">
        <is>
          <t>14周</t>
        </is>
      </c>
      <c r="S1107" t="inlineStr">
        <is>
          <t>0.24</t>
        </is>
      </c>
      <c r="T1107" t="inlineStr">
        <is>
          <t>服饰穿搭</t>
        </is>
      </c>
      <c r="U1107" t="inlineStr">
        <is>
          <t>女装</t>
        </is>
      </c>
      <c r="V1107" s="3">
        <v>46112.78107638889</v>
      </c>
      <c r="W1107" t="inlineStr">
        <is>
          <t>2026-Q1</t>
        </is>
      </c>
    </row>
    <row r="1108" ht="25.5" customHeight="1">
      <c r="A1108" t="inlineStr">
        <is>
          <t>正宗海南金钻凤梨！产地直发！现摘现发！香甜多汁！孕妇水果</t>
        </is>
      </c>
      <c r="B1108" t="inlineStr">
        <is>
          <t>recvfenb18qWR6.jpg</t>
        </is>
      </c>
      <c r="C1108" s="2" t="str">
        <f>=HYPERLINK("https://xhslink.com/m/AVyB4LMk34t", "https://xhslink.com/m/AVyB4LMk34t")</f>
        <v>https://xhslink.com/m/AVyB4LMk34t</v>
      </c>
      <c r="D1108"/>
      <c r="E1108">
        <v>1688000</v>
      </c>
      <c r="F1108">
        <v>22.8</v>
      </c>
      <c r="G1108">
        <v>15.8</v>
      </c>
      <c r="H1108">
        <v>300</v>
      </c>
      <c r="I1108" t="inlineStr">
        <is>
          <t>时令水果</t>
        </is>
      </c>
      <c r="J1108" t="inlineStr">
        <is>
          <t>0.00</t>
        </is>
      </c>
      <c r="K1108" t="inlineStr">
        <is>
          <t>🔥低粉爆款</t>
        </is>
      </c>
      <c r="L1108" t="inlineStr">
        <is>
          <t>烁烁百货商行的店</t>
        </is>
      </c>
      <c r="M1108">
        <v>2910</v>
      </c>
      <c r="N1108">
        <v>4.64</v>
      </c>
      <c r="O1108">
        <v>564000</v>
      </c>
      <c r="P1108" t="inlineStr">
        <is>
          <t>676c0693ada659000165e0f3</t>
        </is>
      </c>
      <c r="Q1108"/>
      <c r="R1108" t="inlineStr">
        <is>
          <t>14周</t>
        </is>
      </c>
      <c r="S1108" t="inlineStr">
        <is>
          <t>580.07</t>
        </is>
      </c>
      <c r="T1108" t="inlineStr">
        <is>
          <t>美食滋补</t>
        </is>
      </c>
      <c r="U1108" t="inlineStr">
        <is>
          <t>生鲜特产</t>
        </is>
      </c>
      <c r="V1108" s="3">
        <v>46112.78107638889</v>
      </c>
      <c r="W1108" t="inlineStr">
        <is>
          <t>2026-Q1</t>
        </is>
      </c>
    </row>
    <row r="1109" ht="25.5" customHeight="1">
      <c r="A1109" t="inlineStr">
        <is>
          <t>[捡漏款】澳洲进口谷饲原切牛上脑牛板腱边角料大小不一 独立包装</t>
        </is>
      </c>
      <c r="B1109" t="inlineStr">
        <is>
          <t>recvfenb18ngkw.jpg</t>
        </is>
      </c>
      <c r="C1109" s="2" t="str">
        <f>=HYPERLINK("https://xhslink.com/m/7f4TtbSufJH", "https://xhslink.com/m/7f4TtbSufJH")</f>
        <v>https://xhslink.com/m/7f4TtbSufJH</v>
      </c>
      <c r="D1109"/>
      <c r="E1109">
        <v>315</v>
      </c>
      <c r="F1109">
        <v>106</v>
      </c>
      <c r="G1109">
        <v>89</v>
      </c>
      <c r="H1109">
        <v>300</v>
      </c>
      <c r="I1109" t="inlineStr">
        <is>
          <t>牛肉零食</t>
        </is>
      </c>
      <c r="J1109" t="inlineStr">
        <is>
          <t>0.95</t>
        </is>
      </c>
      <c r="K1109" t="inlineStr">
        <is>
          <t>🔥低粉爆款</t>
        </is>
      </c>
      <c r="L1109" t="inlineStr">
        <is>
          <t>牛羊家宴的店</t>
        </is>
      </c>
      <c r="M1109">
        <v>101</v>
      </c>
      <c r="N1109">
        <v>4.62</v>
      </c>
      <c r="O1109">
        <v>444</v>
      </c>
      <c r="P1109" t="inlineStr">
        <is>
          <t>69ae60294a353400010bd1c5</t>
        </is>
      </c>
      <c r="Q1109" t="inlineStr">
        <is>
          <t>🚫重复</t>
        </is>
      </c>
      <c r="R1109" t="inlineStr">
        <is>
          <t>14周</t>
        </is>
      </c>
      <c r="S1109" t="inlineStr">
        <is>
          <t>3.12</t>
        </is>
      </c>
      <c r="T1109" t="inlineStr">
        <is>
          <t>美食滋补</t>
        </is>
      </c>
      <c r="U1109" t="inlineStr">
        <is>
          <t>休闲零食</t>
        </is>
      </c>
      <c r="V1109" s="3">
        <v>46112.78107638889</v>
      </c>
      <c r="W1109" t="inlineStr">
        <is>
          <t>2026-Q1</t>
        </is>
      </c>
    </row>
    <row r="1110" ht="25.5" customHeight="1">
      <c r="A1110" t="inlineStr">
        <is>
          <t>[捡漏款】澳洲进口谷饲原切牛上脑牛板腱边角料大小不一 独立包装</t>
        </is>
      </c>
      <c r="B1110" t="inlineStr">
        <is>
          <t>recvfenb18Af3f.jpg</t>
        </is>
      </c>
      <c r="C1110" s="2" t="str">
        <f>=HYPERLINK("https://xhslink.com/m/7uvhQOJQ5MC", "https://xhslink.com/m/7uvhQOJQ5MC")</f>
        <v>https://xhslink.com/m/7uvhQOJQ5MC</v>
      </c>
      <c r="D1110"/>
      <c r="E1110">
        <v>315</v>
      </c>
      <c r="F1110">
        <v>206</v>
      </c>
      <c r="G1110">
        <v>169</v>
      </c>
      <c r="H1110">
        <v>300</v>
      </c>
      <c r="I1110" t="inlineStr">
        <is>
          <t>肉禽</t>
        </is>
      </c>
      <c r="J1110" t="inlineStr">
        <is>
          <t>0.95</t>
        </is>
      </c>
      <c r="K1110" t="inlineStr">
        <is>
          <t>🔥低粉爆款</t>
        </is>
      </c>
      <c r="L1110" t="inlineStr">
        <is>
          <t>牛羊家宴的店</t>
        </is>
      </c>
      <c r="M1110">
        <v>101</v>
      </c>
      <c r="N1110">
        <v>4.62</v>
      </c>
      <c r="O1110">
        <v>444</v>
      </c>
      <c r="P1110" t="inlineStr">
        <is>
          <t>69ae60294a353400010bd1c8</t>
        </is>
      </c>
      <c r="Q1110" t="inlineStr">
        <is>
          <t>🚫重复</t>
        </is>
      </c>
      <c r="R1110" t="inlineStr">
        <is>
          <t>14周</t>
        </is>
      </c>
      <c r="S1110" t="inlineStr">
        <is>
          <t>3.12</t>
        </is>
      </c>
      <c r="T1110" t="inlineStr">
        <is>
          <t>美食滋补</t>
        </is>
      </c>
      <c r="U1110" t="inlineStr">
        <is>
          <t>生鲜特产</t>
        </is>
      </c>
      <c r="V1110" s="3">
        <v>46112.78107638889</v>
      </c>
      <c r="W1110" t="inlineStr">
        <is>
          <t>2026-Q1</t>
        </is>
      </c>
    </row>
    <row r="1111" ht="25.5" customHeight="1">
      <c r="A1111" t="inlineStr">
        <is>
          <t>七小七 · 山药养养小吐司高钙厚切宝宝面包升级a2奶配方儿童早餐</t>
        </is>
      </c>
      <c r="B1111" t="inlineStr">
        <is>
          <t>recvfenb18VFxC.jpg</t>
        </is>
      </c>
      <c r="C1111" s="2" t="str">
        <f>=HYPERLINK("https://xhslink.com/m/9yVYDlBZfSh", "https://xhslink.com/m/9yVYDlBZfSh")</f>
        <v>https://xhslink.com/m/9yVYDlBZfSh</v>
      </c>
      <c r="D1111"/>
      <c r="E1111">
        <v>127000</v>
      </c>
      <c r="F1111">
        <v>35.9</v>
      </c>
      <c r="G1111">
        <v>29.9</v>
      </c>
      <c r="H1111">
        <v>300</v>
      </c>
      <c r="I1111" t="inlineStr">
        <is>
          <t>儿童早餐</t>
        </is>
      </c>
      <c r="J1111" t="inlineStr">
        <is>
          <t>0.00</t>
        </is>
      </c>
      <c r="K1111"/>
      <c r="L1111" t="inlineStr">
        <is>
          <t>七小七旗舰店</t>
        </is>
      </c>
      <c r="M1111">
        <v>63000</v>
      </c>
      <c r="N1111">
        <v>4.29</v>
      </c>
      <c r="O1111">
        <v>265000</v>
      </c>
      <c r="P1111" t="inlineStr">
        <is>
          <t>69a1342a76da220001dabfc1</t>
        </is>
      </c>
      <c r="Q1111"/>
      <c r="R1111" t="inlineStr">
        <is>
          <t>14周</t>
        </is>
      </c>
      <c r="S1111" t="inlineStr">
        <is>
          <t>2.02</t>
        </is>
      </c>
      <c r="T1111" t="inlineStr">
        <is>
          <t>美食滋补</t>
        </is>
      </c>
      <c r="U1111" t="inlineStr">
        <is>
          <t>休闲零食</t>
        </is>
      </c>
      <c r="V1111" s="3">
        <v>46112.78107638889</v>
      </c>
      <c r="W1111" t="inlineStr">
        <is>
          <t>2026-Q1</t>
        </is>
      </c>
    </row>
    <row r="1112" ht="25.5" customHeight="1">
      <c r="A1112" t="inlineStr">
        <is>
          <t>咚吃 · 【新粉必入】3日轻卡餐9顿管理期自律轻食饱腹早中晚餐蛋白米营养</t>
        </is>
      </c>
      <c r="B1112" t="inlineStr">
        <is>
          <t>recvfjOYGLbrcV.jpg</t>
        </is>
      </c>
      <c r="C1112" s="2" t="str">
        <f>=HYPERLINK("https://xhslink.com/m/6K0OSerAqSp", "https://xhslink.com/m/6K0OSerAqSp")</f>
        <v>https://xhslink.com/m/6K0OSerAqSp</v>
      </c>
      <c r="D1112"/>
      <c r="E1112">
        <v>34000</v>
      </c>
      <c r="F1112">
        <v>249</v>
      </c>
      <c r="G1112">
        <v>169</v>
      </c>
      <c r="H1112">
        <v>300</v>
      </c>
      <c r="I1112" t="inlineStr">
        <is>
          <t>一人食</t>
        </is>
      </c>
      <c r="J1112" t="inlineStr">
        <is>
          <t>0.01</t>
        </is>
      </c>
      <c r="K1112"/>
      <c r="L1112" t="inlineStr">
        <is>
          <t>咚吃旗舰店</t>
        </is>
      </c>
      <c r="M1112">
        <v>50000</v>
      </c>
      <c r="N1112">
        <v>4.64</v>
      </c>
      <c r="O1112">
        <v>36000</v>
      </c>
      <c r="P1112" t="inlineStr">
        <is>
          <t>6459a863b3403f000127aa40</t>
        </is>
      </c>
      <c r="Q1112" t="inlineStr">
        <is>
          <t>🚫重复</t>
        </is>
      </c>
      <c r="R1112" t="inlineStr">
        <is>
          <t>14周</t>
        </is>
      </c>
      <c r="S1112" t="inlineStr">
        <is>
          <t>0.68</t>
        </is>
      </c>
      <c r="T1112" t="inlineStr">
        <is>
          <t>美食滋补</t>
        </is>
      </c>
      <c r="U1112" t="inlineStr">
        <is>
          <t>休闲零食</t>
        </is>
      </c>
      <c r="V1112" s="3">
        <v>46112.78107638889</v>
      </c>
      <c r="W1112" t="inlineStr">
        <is>
          <t>2026-Q1</t>
        </is>
      </c>
    </row>
    <row r="1113" ht="25.5" customHeight="1">
      <c r="A1113" t="inlineStr">
        <is>
          <t>［GV］气泡方糖深海澳母贝珠项链新婚伴手礼生日送闺蜜送女友</t>
        </is>
      </c>
      <c r="B1113" t="inlineStr">
        <is>
          <t>recvfjOYGLdUZM.jpg</t>
        </is>
      </c>
      <c r="C1113" s="2" t="str">
        <f>=HYPERLINK("https://xhslink.com/m/549ufGDnHqL", "https://xhslink.com/m/549ufGDnHqL")</f>
        <v>https://xhslink.com/m/549ufGDnHqL</v>
      </c>
      <c r="D1113"/>
      <c r="E1113">
        <v>10000</v>
      </c>
      <c r="F1113">
        <v>418</v>
      </c>
      <c r="G1113">
        <v>218</v>
      </c>
      <c r="H1113">
        <v>300</v>
      </c>
      <c r="I1113" t="inlineStr">
        <is>
          <t>项链</t>
        </is>
      </c>
      <c r="J1113" t="inlineStr">
        <is>
          <t>0.03</t>
        </is>
      </c>
      <c r="K1113" t="inlineStr">
        <is>
          <t>🔥低粉爆款</t>
        </is>
      </c>
      <c r="L1113" t="inlineStr">
        <is>
          <t>Gavella的店</t>
        </is>
      </c>
      <c r="M1113">
        <v>2376</v>
      </c>
      <c r="N1113">
        <v>4.5</v>
      </c>
      <c r="O1113">
        <v>13000</v>
      </c>
      <c r="P1113" t="inlineStr">
        <is>
          <t>69106e166da6380001722e66</t>
        </is>
      </c>
      <c r="Q1113"/>
      <c r="R1113" t="inlineStr">
        <is>
          <t>14周</t>
        </is>
      </c>
      <c r="S1113" t="inlineStr">
        <is>
          <t>4.21</t>
        </is>
      </c>
      <c r="T1113" t="inlineStr">
        <is>
          <t>服饰穿搭</t>
        </is>
      </c>
      <c r="U1113" t="inlineStr">
        <is>
          <t>配饰</t>
        </is>
      </c>
      <c r="V1113" s="3">
        <v>46112.78107638889</v>
      </c>
      <c r="W1113" t="inlineStr">
        <is>
          <t>2026-Q1</t>
        </is>
      </c>
    </row>
    <row r="1114" ht="25.5" customHeight="1">
      <c r="A1114" t="inlineStr">
        <is>
          <t>Sam·凯莉包2026夏季新款kiiikiii同款果冻包托特包单肩包</t>
        </is>
      </c>
      <c r="B1114" t="inlineStr">
        <is>
          <t>recvfjOYGLHe7t.jpg</t>
        </is>
      </c>
      <c r="C1114" s="2" t="str">
        <f>=HYPERLINK("https://xhslink.com/m/9c1sMMbfXck", "https://xhslink.com/m/9c1sMMbfXck")</f>
        <v>https://xhslink.com/m/9c1sMMbfXck</v>
      </c>
      <c r="D1114"/>
      <c r="E1114">
        <v>871</v>
      </c>
      <c r="F1114">
        <v>102.98</v>
      </c>
      <c r="G1114">
        <v>99</v>
      </c>
      <c r="H1114">
        <v>300</v>
      </c>
      <c r="I1114" t="inlineStr">
        <is>
          <t>包包</t>
        </is>
      </c>
      <c r="J1114" t="inlineStr">
        <is>
          <t>0.34</t>
        </is>
      </c>
      <c r="K1114"/>
      <c r="L1114" t="inlineStr">
        <is>
          <t>Sam折扣商城的店</t>
        </is>
      </c>
      <c r="M1114">
        <v>47000</v>
      </c>
      <c r="N1114">
        <v>4.45</v>
      </c>
      <c r="O1114">
        <v>73000</v>
      </c>
      <c r="P1114" t="inlineStr">
        <is>
          <t>69b2a30fe95b340001fe9b95</t>
        </is>
      </c>
      <c r="Q1114"/>
      <c r="R1114" t="inlineStr">
        <is>
          <t>14周</t>
        </is>
      </c>
      <c r="S1114" t="inlineStr">
        <is>
          <t>0.02</t>
        </is>
      </c>
      <c r="T1114" t="inlineStr">
        <is>
          <t>服饰穿搭</t>
        </is>
      </c>
      <c r="U1114" t="inlineStr">
        <is>
          <t>鞋靴箱包</t>
        </is>
      </c>
      <c r="V1114" s="3">
        <v>46112.78107638889</v>
      </c>
      <c r="W1114" t="inlineStr">
        <is>
          <t>2026-Q1</t>
        </is>
      </c>
    </row>
    <row r="1115" ht="25.5" customHeight="1">
      <c r="A1115" t="inlineStr">
        <is>
          <t>运动背心螺纹带胸垫瑜伽上衣透气健身服</t>
        </is>
      </c>
      <c r="B1115" t="inlineStr">
        <is>
          <t>recvfjOYGLXQfZ.jpg</t>
        </is>
      </c>
      <c r="C1115" s="2" t="str">
        <f>=HYPERLINK("https://xhslink.com/m/87RBjyvvj8r", "https://xhslink.com/m/87RBjyvvj8r")</f>
        <v>https://xhslink.com/m/87RBjyvvj8r</v>
      </c>
      <c r="D1115"/>
      <c r="E1115">
        <v>12000</v>
      </c>
      <c r="F1115">
        <v>89</v>
      </c>
      <c r="G1115"/>
      <c r="H1115">
        <v>300</v>
      </c>
      <c r="I1115" t="inlineStr">
        <is>
          <t>背心吊带</t>
        </is>
      </c>
      <c r="J1115" t="inlineStr">
        <is>
          <t>0.03</t>
        </is>
      </c>
      <c r="K1115" t="inlineStr">
        <is>
          <t>🔥低粉爆款</t>
        </is>
      </c>
      <c r="L1115" t="inlineStr">
        <is>
          <t>小橙子YO的店</t>
        </is>
      </c>
      <c r="M1115">
        <v>1892</v>
      </c>
      <c r="N1115">
        <v>4.55</v>
      </c>
      <c r="O1115">
        <v>21000</v>
      </c>
      <c r="P1115" t="inlineStr">
        <is>
          <t>669a84d59d3e660001f28eb5</t>
        </is>
      </c>
      <c r="Q1115" t="inlineStr">
        <is>
          <t>🚫重复</t>
        </is>
      </c>
      <c r="R1115" t="inlineStr">
        <is>
          <t>14周</t>
        </is>
      </c>
      <c r="S1115" t="inlineStr">
        <is>
          <t>6.34</t>
        </is>
      </c>
      <c r="T1115" t="inlineStr">
        <is>
          <t>运动潮玩</t>
        </is>
      </c>
      <c r="U1115" t="inlineStr">
        <is>
          <t>运动户外装备</t>
        </is>
      </c>
      <c r="V1115" s="3">
        <v>46112.78107638889</v>
      </c>
      <c r="W1115" t="inlineStr">
        <is>
          <t>2026-Q1</t>
        </is>
      </c>
    </row>
    <row r="1116" ht="25.5" customHeight="1">
      <c r="A1116" t="inlineStr">
        <is>
          <t>图拉斯 · 小贝壳充电宝3c认证可上飞机小巧便携移动电源2026新款适用苹果17</t>
        </is>
      </c>
      <c r="B1116" t="inlineStr">
        <is>
          <t>recvfjOYGLklr0.jpg</t>
        </is>
      </c>
      <c r="C1116" s="2" t="str">
        <f>=HYPERLINK("https://xhslink.com/m/9j6snOboCfg", "https://xhslink.com/m/9j6snOboCfg")</f>
        <v>https://xhslink.com/m/9j6snOboCfg</v>
      </c>
      <c r="D1116"/>
      <c r="E1116">
        <v>3247</v>
      </c>
      <c r="F1116">
        <v>528</v>
      </c>
      <c r="G1116">
        <v>363</v>
      </c>
      <c r="H1116">
        <v>300</v>
      </c>
      <c r="I1116" t="inlineStr">
        <is>
          <t>充电宝</t>
        </is>
      </c>
      <c r="J1116" t="inlineStr">
        <is>
          <t>0.09</t>
        </is>
      </c>
      <c r="K1116"/>
      <c r="L1116" t="inlineStr">
        <is>
          <t>图拉斯3C数码旗舰店</t>
        </is>
      </c>
      <c r="M1116">
        <v>87000</v>
      </c>
      <c r="N1116">
        <v>4.77</v>
      </c>
      <c r="O1116">
        <v>244000</v>
      </c>
      <c r="P1116" t="inlineStr">
        <is>
          <t>697cf61d1b200000016ed26b</t>
        </is>
      </c>
      <c r="Q1116"/>
      <c r="R1116" t="inlineStr">
        <is>
          <t>14周</t>
        </is>
      </c>
      <c r="S1116" t="inlineStr">
        <is>
          <t>0.04</t>
        </is>
      </c>
      <c r="T1116" t="inlineStr">
        <is>
          <t>数码家电</t>
        </is>
      </c>
      <c r="U1116" t="inlineStr">
        <is>
          <t>数码配件</t>
        </is>
      </c>
      <c r="V1116" s="3">
        <v>46112.78107638889</v>
      </c>
      <c r="W1116" t="inlineStr">
        <is>
          <t>2026-Q1</t>
        </is>
      </c>
    </row>
    <row r="1117" ht="25.5" customHeight="1">
      <c r="A1117" t="inlineStr">
        <is>
          <t>CH3N·FU.CKiPhone17promax/16手机壳防摔苹果15/14简约小众保护壳</t>
        </is>
      </c>
      <c r="B1117" t="inlineStr">
        <is>
          <t>recvfjOYGLWDaM.jpg</t>
        </is>
      </c>
      <c r="C1117" s="2" t="str">
        <f>=HYPERLINK("https://xhslink.com/m/2EtEADjED3F", "https://xhslink.com/m/2EtEADjED3F")</f>
        <v>https://xhslink.com/m/2EtEADjED3F</v>
      </c>
      <c r="D1117"/>
      <c r="E1117">
        <v>452</v>
      </c>
      <c r="F1117">
        <v>23.9</v>
      </c>
      <c r="G1117"/>
      <c r="H1117">
        <v>300</v>
      </c>
      <c r="I1117" t="inlineStr">
        <is>
          <t>手机壳</t>
        </is>
      </c>
      <c r="J1117" t="inlineStr">
        <is>
          <t>0.66</t>
        </is>
      </c>
      <c r="K1117"/>
      <c r="L1117" t="inlineStr">
        <is>
          <t>CH3N CASE的店</t>
        </is>
      </c>
      <c r="M1117">
        <v>3119</v>
      </c>
      <c r="N1117">
        <v>4.41</v>
      </c>
      <c r="O1117">
        <v>14000</v>
      </c>
      <c r="P1117" t="inlineStr">
        <is>
          <t>699b01f464479e00010c9071</t>
        </is>
      </c>
      <c r="Q1117"/>
      <c r="R1117" t="inlineStr">
        <is>
          <t>14周</t>
        </is>
      </c>
      <c r="S1117" t="inlineStr">
        <is>
          <t>0.14</t>
        </is>
      </c>
      <c r="T1117" t="inlineStr">
        <is>
          <t>数码家电</t>
        </is>
      </c>
      <c r="U1117" t="inlineStr">
        <is>
          <t>数码配件</t>
        </is>
      </c>
      <c r="V1117" s="3">
        <v>46112.78107638889</v>
      </c>
      <c r="W1117" t="inlineStr">
        <is>
          <t>2026-Q1</t>
        </is>
      </c>
    </row>
    <row r="1118" ht="25.5" customHeight="1">
      <c r="A1118" t="inlineStr">
        <is>
          <t>法式复古简约现代白色陶瓷花瓶客厅餐桌装饰瓶干花插花容器</t>
        </is>
      </c>
      <c r="B1118" t="inlineStr">
        <is>
          <t>recvfjOYGLbcYu.jpg</t>
        </is>
      </c>
      <c r="C1118" s="2" t="str">
        <f>=HYPERLINK("https://xhslink.com/m/uRTQ9uP3Uy", "https://xhslink.com/m/uRTQ9uP3Uy")</f>
        <v>https://xhslink.com/m/uRTQ9uP3Uy</v>
      </c>
      <c r="D1118"/>
      <c r="E1118">
        <v>6456</v>
      </c>
      <c r="F1118">
        <v>42</v>
      </c>
      <c r="G1118">
        <v>22</v>
      </c>
      <c r="H1118">
        <v>300</v>
      </c>
      <c r="I1118" t="inlineStr">
        <is>
          <t>书房</t>
        </is>
      </c>
      <c r="J1118" t="inlineStr">
        <is>
          <t>0.05</t>
        </is>
      </c>
      <c r="K1118" t="inlineStr">
        <is>
          <t>🔥低粉爆款</t>
        </is>
      </c>
      <c r="L1118" t="inlineStr">
        <is>
          <t>FORA HOME的店</t>
        </is>
      </c>
      <c r="M1118">
        <v>449</v>
      </c>
      <c r="N1118">
        <v>4.38</v>
      </c>
      <c r="O1118">
        <v>8085</v>
      </c>
      <c r="P1118" t="inlineStr">
        <is>
          <t>692f2a0101312b0001b75869</t>
        </is>
      </c>
      <c r="Q1118" t="inlineStr">
        <is>
          <t>🚫重复</t>
        </is>
      </c>
      <c r="R1118" t="inlineStr">
        <is>
          <t>14周</t>
        </is>
      </c>
      <c r="S1118" t="inlineStr">
        <is>
          <t>14.38</t>
        </is>
      </c>
      <c r="T1118" t="inlineStr">
        <is>
          <t>家居生活</t>
        </is>
      </c>
      <c r="U1118" t="inlineStr">
        <is>
          <t>家具家装</t>
        </is>
      </c>
      <c r="V1118" s="3">
        <v>46112.78107638889</v>
      </c>
      <c r="W1118" t="inlineStr">
        <is>
          <t>2026-Q1</t>
        </is>
      </c>
    </row>
    <row r="1119" ht="25.5" customHeight="1">
      <c r="A1119" t="inlineStr">
        <is>
          <t>Z · 『V腰显瘦神裤』/v腰喇叭裤/v腰牛仔裤 炒鸡显腰细显瘦 显腿长！</t>
        </is>
      </c>
      <c r="B1119" t="inlineStr">
        <is>
          <t>recvfqmIZLbmRl.jpg</t>
        </is>
      </c>
      <c r="C1119" s="2" t="str">
        <f>=HYPERLINK("https://xhslink.com/m/ANtNsQ9D8N4", "https://xhslink.com/m/ANtNsQ9D8N4")</f>
        <v>https://xhslink.com/m/ANtNsQ9D8N4</v>
      </c>
      <c r="D1119"/>
      <c r="E1119">
        <v>116000</v>
      </c>
      <c r="F1119">
        <v>149.9</v>
      </c>
      <c r="G1119"/>
      <c r="H1119">
        <v>300</v>
      </c>
      <c r="I1119" t="inlineStr">
        <is>
          <t>牛仔裤</t>
        </is>
      </c>
      <c r="J1119" t="inlineStr">
        <is>
          <t>0.00</t>
        </is>
      </c>
      <c r="K1119" t="inlineStr">
        <is>
          <t>🔥低粉爆款</t>
        </is>
      </c>
      <c r="L1119" t="inlineStr">
        <is>
          <t>Sunny‘女装店的店</t>
        </is>
      </c>
      <c r="M1119">
        <v>26000</v>
      </c>
      <c r="N1119">
        <v>4.52</v>
      </c>
      <c r="O1119">
        <v>145000</v>
      </c>
      <c r="P1119" t="inlineStr">
        <is>
          <t>68f779bff5d048000110274d</t>
        </is>
      </c>
      <c r="Q1119" t="inlineStr">
        <is>
          <t>🚫重复</t>
        </is>
      </c>
      <c r="R1119" t="inlineStr">
        <is>
          <t>14周</t>
        </is>
      </c>
      <c r="S1119" t="inlineStr">
        <is>
          <t>4.46</t>
        </is>
      </c>
      <c r="T1119" t="inlineStr">
        <is>
          <t>服饰穿搭</t>
        </is>
      </c>
      <c r="U1119" t="inlineStr">
        <is>
          <t>女装</t>
        </is>
      </c>
      <c r="V1119" s="3">
        <v>46112.78107638889</v>
      </c>
      <c r="W1119" t="inlineStr">
        <is>
          <t>2026-Q1</t>
        </is>
      </c>
    </row>
    <row r="1120" ht="25.5" customHeight="1">
      <c r="A1120" t="inlineStr">
        <is>
          <t>黑色时尚微喇牛仔裤女2024爆款不贴腿高腰显瘦窄版阔腿宽松拖地裤</t>
        </is>
      </c>
      <c r="B1120" t="inlineStr">
        <is>
          <t>recvfqmLqZ9Pak.jpg</t>
        </is>
      </c>
      <c r="C1120" s="2" t="str">
        <f>=HYPERLINK("https://xhslink.com/m/5L7HGTRRupv", "https://xhslink.com/m/5L7HGTRRupv")</f>
        <v>https://xhslink.com/m/5L7HGTRRupv</v>
      </c>
      <c r="D1120"/>
      <c r="E1120">
        <v>28000</v>
      </c>
      <c r="F1120">
        <v>119.9</v>
      </c>
      <c r="G1120">
        <v>89.9</v>
      </c>
      <c r="H1120">
        <v>300</v>
      </c>
      <c r="I1120" t="inlineStr">
        <is>
          <t>牛仔裤</t>
        </is>
      </c>
      <c r="J1120" t="inlineStr">
        <is>
          <t>0.01</t>
        </is>
      </c>
      <c r="K1120"/>
      <c r="L1120" t="inlineStr">
        <is>
          <t>财气紫阿的店</t>
        </is>
      </c>
      <c r="M1120">
        <v>21000</v>
      </c>
      <c r="N1120">
        <v>4.54</v>
      </c>
      <c r="O1120">
        <v>117000</v>
      </c>
      <c r="P1120" t="inlineStr">
        <is>
          <t>66f05a5329c54400012626c6</t>
        </is>
      </c>
      <c r="Q1120" t="inlineStr">
        <is>
          <t>🚫重复</t>
        </is>
      </c>
      <c r="R1120" t="inlineStr">
        <is>
          <t>14周</t>
        </is>
      </c>
      <c r="S1120" t="inlineStr">
        <is>
          <t>1.33</t>
        </is>
      </c>
      <c r="T1120" t="inlineStr">
        <is>
          <t>服饰穿搭</t>
        </is>
      </c>
      <c r="U1120" t="inlineStr">
        <is>
          <t>女装</t>
        </is>
      </c>
      <c r="V1120" s="3">
        <v>46112.78107638889</v>
      </c>
      <c r="W1120" t="inlineStr">
        <is>
          <t>2026-Q1</t>
        </is>
      </c>
    </row>
    <row r="1121" ht="25.5" customHeight="1">
      <c r="A1121" t="inlineStr">
        <is>
          <t>2026春季新款显瘦黑色窄版直筒牛仔裤女高腰显瘦简约百搭阔腿裤子</t>
        </is>
      </c>
      <c r="B1121" t="inlineStr">
        <is>
          <t>recvfqmLqZH4lw.jpg</t>
        </is>
      </c>
      <c r="C1121" s="2" t="str">
        <f>=HYPERLINK("https://xhslink.com/m/10AimQLxXW4", "https://xhslink.com/m/10AimQLxXW4")</f>
        <v>https://xhslink.com/m/10AimQLxXW4</v>
      </c>
      <c r="D1121"/>
      <c r="E1121">
        <v>71000</v>
      </c>
      <c r="F1121">
        <v>109.9</v>
      </c>
      <c r="G1121">
        <v>89.9</v>
      </c>
      <c r="H1121">
        <v>300</v>
      </c>
      <c r="I1121" t="inlineStr">
        <is>
          <t>牛仔裤</t>
        </is>
      </c>
      <c r="J1121" t="inlineStr">
        <is>
          <t>0.00</t>
        </is>
      </c>
      <c r="K1121" t="inlineStr">
        <is>
          <t>🔥低粉爆款</t>
        </is>
      </c>
      <c r="L1121" t="inlineStr">
        <is>
          <t>余一一私服的店</t>
        </is>
      </c>
      <c r="M1121">
        <v>8910</v>
      </c>
      <c r="N1121">
        <v>4.55</v>
      </c>
      <c r="O1121">
        <v>118000</v>
      </c>
      <c r="P1121" t="inlineStr">
        <is>
          <t>669f4716e3d2d900018ccaa3</t>
        </is>
      </c>
      <c r="Q1121" t="inlineStr">
        <is>
          <t>🚫重复</t>
        </is>
      </c>
      <c r="R1121" t="inlineStr">
        <is>
          <t>14周</t>
        </is>
      </c>
      <c r="S1121" t="inlineStr">
        <is>
          <t>7.97</t>
        </is>
      </c>
      <c r="T1121" t="inlineStr">
        <is>
          <t>服饰穿搭</t>
        </is>
      </c>
      <c r="U1121" t="inlineStr">
        <is>
          <t>女装</t>
        </is>
      </c>
      <c r="V1121" s="3">
        <v>46112.78107638889</v>
      </c>
      <c r="W1121" t="inlineStr">
        <is>
          <t>2026-Q1</t>
        </is>
      </c>
    </row>
    <row r="1122" ht="25.5" customHeight="1">
      <c r="A1122" t="inlineStr">
        <is>
          <t>阿芮叱·超温柔法式方扣圆头粗跟单鞋气质款</t>
        </is>
      </c>
      <c r="B1122" t="inlineStr">
        <is>
          <t>recvfqmLqZohaF.jpg</t>
        </is>
      </c>
      <c r="C1122" s="2" t="str">
        <f>=HYPERLINK("https://xhslink.com/m/5CEKiqCz6GG", "https://xhslink.com/m/5CEKiqCz6GG")</f>
        <v>https://xhslink.com/m/5CEKiqCz6GG</v>
      </c>
      <c r="D1122"/>
      <c r="E1122">
        <v>36000</v>
      </c>
      <c r="F1122">
        <v>200</v>
      </c>
      <c r="G1122">
        <v>149.9</v>
      </c>
      <c r="H1122">
        <v>300</v>
      </c>
      <c r="I1122" t="inlineStr">
        <is>
          <t>单鞋</t>
        </is>
      </c>
      <c r="J1122" t="inlineStr">
        <is>
          <t>0.01</t>
        </is>
      </c>
      <c r="K1122"/>
      <c r="L1122" t="inlineStr">
        <is>
          <t>阿芮叱的店</t>
        </is>
      </c>
      <c r="M1122">
        <v>35000</v>
      </c>
      <c r="N1122">
        <v>4.68</v>
      </c>
      <c r="O1122">
        <v>162000</v>
      </c>
      <c r="P1122" t="inlineStr">
        <is>
          <t>663de85519b7600001ed5241</t>
        </is>
      </c>
      <c r="Q1122" t="inlineStr">
        <is>
          <t>🚫重复</t>
        </is>
      </c>
      <c r="R1122" t="inlineStr">
        <is>
          <t>14周</t>
        </is>
      </c>
      <c r="S1122" t="inlineStr">
        <is>
          <t>1.03</t>
        </is>
      </c>
      <c r="T1122" t="inlineStr">
        <is>
          <t>服饰穿搭</t>
        </is>
      </c>
      <c r="U1122" t="inlineStr">
        <is>
          <t>鞋靴箱包</t>
        </is>
      </c>
      <c r="V1122" s="3">
        <v>46112.78107638889</v>
      </c>
      <c r="W1122" t="inlineStr">
        <is>
          <t>2026-Q1</t>
        </is>
      </c>
    </row>
    <row r="1123" ht="25.5" customHeight="1">
      <c r="A1123" t="inlineStr">
        <is>
          <t>且遇 2025春季新女士时尚休闲平底单鞋百搭蝴蝶结奶奶鞋一脚蹬女</t>
        </is>
      </c>
      <c r="B1123" t="inlineStr">
        <is>
          <t>recvfqmLqZJkLQ.jpg</t>
        </is>
      </c>
      <c r="C1123" s="2" t="str">
        <f>=HYPERLINK("https://xhslink.com/m/23PmFcxIZJo", "https://xhslink.com/m/23PmFcxIZJo")</f>
        <v>https://xhslink.com/m/23PmFcxIZJo</v>
      </c>
      <c r="D1123"/>
      <c r="E1123">
        <v>60000</v>
      </c>
      <c r="F1123">
        <v>39.9</v>
      </c>
      <c r="G1123"/>
      <c r="H1123">
        <v>300</v>
      </c>
      <c r="I1123" t="inlineStr">
        <is>
          <t>单鞋</t>
        </is>
      </c>
      <c r="J1123" t="inlineStr">
        <is>
          <t>0.01</t>
        </is>
      </c>
      <c r="K1123" t="inlineStr">
        <is>
          <t>🔥低粉爆款</t>
        </is>
      </c>
      <c r="L1123" t="inlineStr">
        <is>
          <t>鞋生会的店</t>
        </is>
      </c>
      <c r="M1123">
        <v>7931</v>
      </c>
      <c r="N1123">
        <v>4.63</v>
      </c>
      <c r="O1123">
        <v>88000</v>
      </c>
      <c r="P1123" t="inlineStr">
        <is>
          <t>65d37b6da16e60000108b19d</t>
        </is>
      </c>
      <c r="Q1123" t="inlineStr">
        <is>
          <t>🚫重复</t>
        </is>
      </c>
      <c r="R1123" t="inlineStr">
        <is>
          <t>14周</t>
        </is>
      </c>
      <c r="S1123" t="inlineStr">
        <is>
          <t>7.57</t>
        </is>
      </c>
      <c r="T1123" t="inlineStr">
        <is>
          <t>服饰穿搭</t>
        </is>
      </c>
      <c r="U1123" t="inlineStr">
        <is>
          <t>鞋靴箱包</t>
        </is>
      </c>
      <c r="V1123" s="3">
        <v>46112.78107638889</v>
      </c>
      <c r="W1123" t="inlineStr">
        <is>
          <t>2026-Q1</t>
        </is>
      </c>
    </row>
    <row r="1124" ht="25.5" customHeight="1">
      <c r="A1124" t="inlineStr">
        <is>
          <t>黄精桑葚膏 |  熬夜 | 头发 |九蒸九晒 . 250g</t>
        </is>
      </c>
      <c r="B1124" t="inlineStr">
        <is>
          <t>recvfqmLqZ4hb7.jpg</t>
        </is>
      </c>
      <c r="C1124" s="2" t="str">
        <f>=HYPERLINK("https://xhslink.com/m/9WkKzAQ5dWr", "https://xhslink.com/m/9WkKzAQ5dWr")</f>
        <v>https://xhslink.com/m/9WkKzAQ5dWr</v>
      </c>
      <c r="D1124"/>
      <c r="E1124">
        <v>30000</v>
      </c>
      <c r="F1124">
        <v>119</v>
      </c>
      <c r="G1124">
        <v>40</v>
      </c>
      <c r="H1124">
        <v>300</v>
      </c>
      <c r="I1124" t="inlineStr">
        <is>
          <t>气血滋补</t>
        </is>
      </c>
      <c r="J1124" t="inlineStr">
        <is>
          <t>0.01</t>
        </is>
      </c>
      <c r="K1124" t="inlineStr">
        <is>
          <t>🔥低粉爆款</t>
        </is>
      </c>
      <c r="L1124" t="inlineStr">
        <is>
          <t>姜医食养的店</t>
        </is>
      </c>
      <c r="M1124">
        <v>10000</v>
      </c>
      <c r="N1124">
        <v>4.7</v>
      </c>
      <c r="O1124">
        <v>185000</v>
      </c>
      <c r="P1124" t="inlineStr">
        <is>
          <t>66eba65129e69000017cd738</t>
        </is>
      </c>
      <c r="Q1124" t="inlineStr">
        <is>
          <t>🚫重复</t>
        </is>
      </c>
      <c r="R1124" t="inlineStr">
        <is>
          <t>14周</t>
        </is>
      </c>
      <c r="S1124" t="inlineStr">
        <is>
          <t>3.00</t>
        </is>
      </c>
      <c r="T1124" t="inlineStr">
        <is>
          <t>美食滋补</t>
        </is>
      </c>
      <c r="U1124" t="inlineStr">
        <is>
          <t>营养滋补</t>
        </is>
      </c>
      <c r="V1124" s="3">
        <v>46112.78107638889</v>
      </c>
      <c r="W1124" t="inlineStr">
        <is>
          <t>2026-Q1</t>
        </is>
      </c>
    </row>
    <row r="1125" ht="25.5" customHeight="1">
      <c r="A1125" t="inlineStr">
        <is>
          <t>氧默 · 黑麦全麦面包整箱吐司代餐饱腹无添蔗糖精粗粮主食脂健康早餐食品</t>
        </is>
      </c>
      <c r="B1125" t="inlineStr">
        <is>
          <t>recvfqmLqZETSa.jpg</t>
        </is>
      </c>
      <c r="C1125" s="2" t="str">
        <f>=HYPERLINK("https://xhslink.com/m/5aWQ6eAG8cH", "https://xhslink.com/m/5aWQ6eAG8cH")</f>
        <v>https://xhslink.com/m/5aWQ6eAG8cH</v>
      </c>
      <c r="D1125"/>
      <c r="E1125">
        <v>105000</v>
      </c>
      <c r="F1125">
        <v>9.9</v>
      </c>
      <c r="G1125"/>
      <c r="H1125">
        <v>300</v>
      </c>
      <c r="I1125" t="inlineStr">
        <is>
          <t>减肥零食</t>
        </is>
      </c>
      <c r="J1125" t="inlineStr">
        <is>
          <t>0.00</t>
        </is>
      </c>
      <c r="K1125" t="inlineStr">
        <is>
          <t>🔥低粉爆款</t>
        </is>
      </c>
      <c r="L1125" t="inlineStr">
        <is>
          <t>氧默旗舰店</t>
        </is>
      </c>
      <c r="M1125">
        <v>26000</v>
      </c>
      <c r="N1125">
        <v>4.57</v>
      </c>
      <c r="O1125">
        <v>262000</v>
      </c>
      <c r="P1125" t="inlineStr">
        <is>
          <t>63fbfa65774c400001762cdd</t>
        </is>
      </c>
      <c r="Q1125" t="inlineStr">
        <is>
          <t>🚫重复</t>
        </is>
      </c>
      <c r="R1125" t="inlineStr">
        <is>
          <t>14周</t>
        </is>
      </c>
      <c r="S1125" t="inlineStr">
        <is>
          <t>4.04</t>
        </is>
      </c>
      <c r="T1125" t="inlineStr">
        <is>
          <t>美食滋补</t>
        </is>
      </c>
      <c r="U1125" t="inlineStr">
        <is>
          <t>休闲零食</t>
        </is>
      </c>
      <c r="V1125" s="3">
        <v>46112.78107638889</v>
      </c>
      <c r="W1125" t="inlineStr">
        <is>
          <t>2026-Q1</t>
        </is>
      </c>
    </row>
    <row r="1126" ht="25.5" customHeight="1">
      <c r="A1126" t="inlineStr">
        <is>
          <t>【每天仅100单】私房纯手作系列碱水包 低卡饱腹早餐健身代餐</t>
        </is>
      </c>
      <c r="B1126" t="inlineStr">
        <is>
          <t>recvfqmLqZodn5.jpg</t>
        </is>
      </c>
      <c r="C1126" s="2" t="str">
        <f>=HYPERLINK("https://xhslink.com/m/2EsFLmxe2bW", "https://xhslink.com/m/2EsFLmxe2bW")</f>
        <v>https://xhslink.com/m/2EsFLmxe2bW</v>
      </c>
      <c r="D1126"/>
      <c r="E1126">
        <v>58000</v>
      </c>
      <c r="F1126">
        <v>20.8</v>
      </c>
      <c r="G1126">
        <v>9.9</v>
      </c>
      <c r="H1126">
        <v>300</v>
      </c>
      <c r="I1126" t="inlineStr">
        <is>
          <t>减肥零食</t>
        </is>
      </c>
      <c r="J1126" t="inlineStr">
        <is>
          <t>0.01</t>
        </is>
      </c>
      <c r="K1126" t="inlineStr">
        <is>
          <t>🔥低粉爆款</t>
        </is>
      </c>
      <c r="L1126" t="inlineStr">
        <is>
          <t>福满多手作面包的店</t>
        </is>
      </c>
      <c r="M1126">
        <v>6316</v>
      </c>
      <c r="N1126">
        <v>4.4</v>
      </c>
      <c r="O1126">
        <v>78000</v>
      </c>
      <c r="P1126" t="inlineStr">
        <is>
          <t>69476894f17edd0001c2a9e6</t>
        </is>
      </c>
      <c r="Q1126" t="inlineStr">
        <is>
          <t>🚫重复</t>
        </is>
      </c>
      <c r="R1126" t="inlineStr">
        <is>
          <t>14周</t>
        </is>
      </c>
      <c r="S1126" t="inlineStr">
        <is>
          <t>9.18</t>
        </is>
      </c>
      <c r="T1126" t="inlineStr">
        <is>
          <t>美食滋补</t>
        </is>
      </c>
      <c r="U1126" t="inlineStr">
        <is>
          <t>休闲零食</t>
        </is>
      </c>
      <c r="V1126" s="3">
        <v>46112.78107638889</v>
      </c>
      <c r="W1126" t="inlineStr">
        <is>
          <t>2026-Q1</t>
        </is>
      </c>
    </row>
    <row r="1127" ht="25.5" customHeight="1">
      <c r="A1127" t="inlineStr">
        <is>
          <t>【到手4包】魔芋凉面开袋即食免煮方便食品凉拌低脂宵夜零食</t>
        </is>
      </c>
      <c r="B1127" t="inlineStr">
        <is>
          <t>recvfqmLqZjhM4.jpg</t>
        </is>
      </c>
      <c r="C1127" s="2" t="str">
        <f>=HYPERLINK("https://xhslink.com/m/A4b2HAREPcF", "https://xhslink.com/m/A4b2HAREPcF")</f>
        <v>https://xhslink.com/m/A4b2HAREPcF</v>
      </c>
      <c r="D1127"/>
      <c r="E1127">
        <v>36000</v>
      </c>
      <c r="F1127">
        <v>23.9</v>
      </c>
      <c r="G1127"/>
      <c r="H1127">
        <v>300</v>
      </c>
      <c r="I1127" t="inlineStr">
        <is>
          <t>减肥零食</t>
        </is>
      </c>
      <c r="J1127" t="inlineStr">
        <is>
          <t>0.01</t>
        </is>
      </c>
      <c r="K1127" t="inlineStr">
        <is>
          <t>🔥低粉爆款</t>
        </is>
      </c>
      <c r="L1127" t="inlineStr">
        <is>
          <t>安晓安低卡轻饮食的店</t>
        </is>
      </c>
      <c r="M1127">
        <v>1151</v>
      </c>
      <c r="N1127">
        <v>4.33</v>
      </c>
      <c r="O1127">
        <v>40000</v>
      </c>
      <c r="P1127" t="inlineStr">
        <is>
          <t>688313a6897c1100158ae6e8</t>
        </is>
      </c>
      <c r="Q1127" t="inlineStr">
        <is>
          <t>🚫重复</t>
        </is>
      </c>
      <c r="R1127" t="inlineStr">
        <is>
          <t>14周</t>
        </is>
      </c>
      <c r="S1127" t="inlineStr">
        <is>
          <t>31.28</t>
        </is>
      </c>
      <c r="T1127" t="inlineStr">
        <is>
          <t>美食滋补</t>
        </is>
      </c>
      <c r="U1127" t="inlineStr">
        <is>
          <t>休闲零食</t>
        </is>
      </c>
      <c r="V1127" s="3">
        <v>46112.78107638889</v>
      </c>
      <c r="W1127" t="inlineStr">
        <is>
          <t>2026-Q1</t>
        </is>
      </c>
    </row>
    <row r="1128" ht="25.5" customHeight="1">
      <c r="A1128" t="inlineStr">
        <is>
          <t>红瑶蜜薯干无添加软糯烤地瓜干原味低脂代餐零食倒蒸红薯干带皮</t>
        </is>
      </c>
      <c r="B1128" t="inlineStr">
        <is>
          <t>recvfqmLqZyDxO.jpg</t>
        </is>
      </c>
      <c r="C1128" s="2" t="str">
        <f>=HYPERLINK("https://xhslink.com/m/5dqtHoIKNuN", "https://xhslink.com/m/5dqtHoIKNuN")</f>
        <v>https://xhslink.com/m/5dqtHoIKNuN</v>
      </c>
      <c r="D1128"/>
      <c r="E1128">
        <v>49000</v>
      </c>
      <c r="F1128">
        <v>22.9</v>
      </c>
      <c r="G1128">
        <v>13.9</v>
      </c>
      <c r="H1128">
        <v>300</v>
      </c>
      <c r="I1128" t="inlineStr">
        <is>
          <t>减肥零食</t>
        </is>
      </c>
      <c r="J1128" t="inlineStr">
        <is>
          <t>0.01</t>
        </is>
      </c>
      <c r="K1128" t="inlineStr">
        <is>
          <t>🔥低粉爆款</t>
        </is>
      </c>
      <c r="L1128" t="inlineStr">
        <is>
          <t>兴胜新农人的店</t>
        </is>
      </c>
      <c r="M1128">
        <v>1847</v>
      </c>
      <c r="N1128">
        <v>4.64</v>
      </c>
      <c r="O1128">
        <v>109000</v>
      </c>
      <c r="P1128" t="inlineStr">
        <is>
          <t>67dd1ec121ffb300012d7b90</t>
        </is>
      </c>
      <c r="Q1128" t="inlineStr">
        <is>
          <t>🚫重复</t>
        </is>
      </c>
      <c r="R1128" t="inlineStr">
        <is>
          <t>14周</t>
        </is>
      </c>
      <c r="S1128" t="inlineStr">
        <is>
          <t>26.53</t>
        </is>
      </c>
      <c r="T1128" t="inlineStr">
        <is>
          <t>美食滋补</t>
        </is>
      </c>
      <c r="U1128" t="inlineStr">
        <is>
          <t>休闲零食</t>
        </is>
      </c>
      <c r="V1128" s="3">
        <v>46112.78107638889</v>
      </c>
      <c r="W1128" t="inlineStr">
        <is>
          <t>2026-Q1</t>
        </is>
      </c>
    </row>
    <row r="1129" ht="25.5" customHeight="1">
      <c r="A1129" t="inlineStr">
        <is>
          <t>【小猪咪】原创治愈系桌面解压柔软好rua礼物斑点可爱猪咪</t>
        </is>
      </c>
      <c r="B1129" t="inlineStr">
        <is>
          <t>recvfqmLqZMrZi.jpg</t>
        </is>
      </c>
      <c r="C1129" s="2" t="str">
        <f>=HYPERLINK("https://xhslink.com/m/5y0xnesdHYL", "https://xhslink.com/m/5y0xnesdHYL")</f>
        <v>https://xhslink.com/m/5y0xnesdHYL</v>
      </c>
      <c r="D1129"/>
      <c r="E1129">
        <v>4471</v>
      </c>
      <c r="F1129">
        <v>33.9</v>
      </c>
      <c r="G1129"/>
      <c r="H1129">
        <v>300</v>
      </c>
      <c r="I1129" t="inlineStr">
        <is>
          <t>毛绒玩偶</t>
        </is>
      </c>
      <c r="J1129" t="inlineStr">
        <is>
          <t>0.07</t>
        </is>
      </c>
      <c r="K1129"/>
      <c r="L1129" t="inlineStr">
        <is>
          <t>辛安小角落的店</t>
        </is>
      </c>
      <c r="M1129">
        <v>124000</v>
      </c>
      <c r="N1129">
        <v>4.56</v>
      </c>
      <c r="O1129">
        <v>139000</v>
      </c>
      <c r="P1129" t="inlineStr">
        <is>
          <t>697c6470d5afea00012c077d</t>
        </is>
      </c>
      <c r="Q1129" t="inlineStr">
        <is>
          <t>🚫重复</t>
        </is>
      </c>
      <c r="R1129" t="inlineStr">
        <is>
          <t>14周</t>
        </is>
      </c>
      <c r="S1129" t="inlineStr">
        <is>
          <t>0.04</t>
        </is>
      </c>
      <c r="T1129" t="inlineStr">
        <is>
          <t>母婴亲子</t>
        </is>
      </c>
      <c r="U1129" t="inlineStr">
        <is>
          <t>玩具早教</t>
        </is>
      </c>
      <c r="V1129" s="3">
        <v>46112.78107638889</v>
      </c>
      <c r="W1129" t="inlineStr">
        <is>
          <t>2026-Q1</t>
        </is>
      </c>
    </row>
    <row r="1130" ht="25.5" customHeight="1">
      <c r="A1130" t="inlineStr">
        <is>
          <t>正版治愈系西高地玩偶睡觉抱毛绒玩具送女生闺蜜新年生日礼物</t>
        </is>
      </c>
      <c r="B1130" t="inlineStr">
        <is>
          <t>recvfqmLqZhj5M.jpg</t>
        </is>
      </c>
      <c r="C1130" s="2" t="str">
        <f>=HYPERLINK("https://xhslink.com/m/1cGZxJzAZ8q", "https://xhslink.com/m/1cGZxJzAZ8q")</f>
        <v>https://xhslink.com/m/1cGZxJzAZ8q</v>
      </c>
      <c r="D1130"/>
      <c r="E1130">
        <v>1253</v>
      </c>
      <c r="F1130">
        <v>25.8</v>
      </c>
      <c r="G1130"/>
      <c r="H1130">
        <v>300</v>
      </c>
      <c r="I1130" t="inlineStr">
        <is>
          <t>毛绒玩偶</t>
        </is>
      </c>
      <c r="J1130" t="inlineStr">
        <is>
          <t>0.24</t>
        </is>
      </c>
      <c r="K1130" t="inlineStr">
        <is>
          <t>🔥低粉爆款</t>
        </is>
      </c>
      <c r="L1130" t="inlineStr">
        <is>
          <t>DenbyDen的玩偶屋（每周上新版）的店</t>
        </is>
      </c>
      <c r="M1130">
        <v>358</v>
      </c>
      <c r="N1130">
        <v>4.63</v>
      </c>
      <c r="O1130">
        <v>1310</v>
      </c>
      <c r="P1130" t="inlineStr">
        <is>
          <t>69a536d96b5a830001d0c78c</t>
        </is>
      </c>
      <c r="Q1130" t="inlineStr">
        <is>
          <t>🚫重复</t>
        </is>
      </c>
      <c r="R1130" t="inlineStr">
        <is>
          <t>14周</t>
        </is>
      </c>
      <c r="S1130" t="inlineStr">
        <is>
          <t>3.50</t>
        </is>
      </c>
      <c r="T1130" t="inlineStr">
        <is>
          <t>母婴亲子</t>
        </is>
      </c>
      <c r="U1130" t="inlineStr">
        <is>
          <t>玩具早教</t>
        </is>
      </c>
      <c r="V1130" s="3">
        <v>46112.78107638889</v>
      </c>
      <c r="W1130" t="inlineStr">
        <is>
          <t>2026-Q1</t>
        </is>
      </c>
    </row>
    <row r="1131" ht="25.5" customHeight="1">
      <c r="A1131" t="inlineStr">
        <is>
          <t>超迷你小鼠｜超可爱市场</t>
        </is>
      </c>
      <c r="B1131" t="inlineStr">
        <is>
          <t>recvfqmLqZEUJM.jpg</t>
        </is>
      </c>
      <c r="C1131" s="2" t="str">
        <f>=HYPERLINK("https://xhslink.com/m/6gKmyFsoC0P", "https://xhslink.com/m/6gKmyFsoC0P")</f>
        <v>https://xhslink.com/m/6gKmyFsoC0P</v>
      </c>
      <c r="D1131"/>
      <c r="E1131">
        <v>3018</v>
      </c>
      <c r="F1131">
        <v>16</v>
      </c>
      <c r="G1131">
        <v>13</v>
      </c>
      <c r="H1131">
        <v>300</v>
      </c>
      <c r="I1131" t="inlineStr">
        <is>
          <t>小物件</t>
        </is>
      </c>
      <c r="J1131" t="inlineStr">
        <is>
          <t>0.10</t>
        </is>
      </c>
      <c r="K1131"/>
      <c r="L1131" t="inlineStr">
        <is>
          <t>超可爱市场的店</t>
        </is>
      </c>
      <c r="M1131">
        <v>6785</v>
      </c>
      <c r="N1131">
        <v>4.74</v>
      </c>
      <c r="O1131">
        <v>14000</v>
      </c>
      <c r="P1131" t="inlineStr">
        <is>
          <t>684c02a893d0780001bdb420</t>
        </is>
      </c>
      <c r="Q1131" t="inlineStr">
        <is>
          <t>🚫重复</t>
        </is>
      </c>
      <c r="R1131" t="inlineStr">
        <is>
          <t>14周</t>
        </is>
      </c>
      <c r="S1131" t="inlineStr">
        <is>
          <t>0.44</t>
        </is>
      </c>
      <c r="T1131" t="inlineStr">
        <is>
          <t>家居生活</t>
        </is>
      </c>
      <c r="U1131" t="inlineStr">
        <is>
          <t>家居日用</t>
        </is>
      </c>
      <c r="V1131" s="3">
        <v>46112.78107638889</v>
      </c>
      <c r="W1131" t="inlineStr">
        <is>
          <t>2026-Q1</t>
        </is>
      </c>
    </row>
    <row r="1132" ht="25.5" customHeight="1">
      <c r="A1132" t="inlineStr">
        <is>
          <t>猫咪木雕可爱挂饰手工编织包挂手机链木质原创挂件生日礼物推荐</t>
        </is>
      </c>
      <c r="B1132" t="inlineStr">
        <is>
          <t>recvfqmLqZz1pM.jpg</t>
        </is>
      </c>
      <c r="C1132" s="2" t="str">
        <f>=HYPERLINK("https://xhslink.com/m/36ZA1cIKsv2", "https://xhslink.com/m/36ZA1cIKsv2")</f>
        <v>https://xhslink.com/m/36ZA1cIKsv2</v>
      </c>
      <c r="D1132"/>
      <c r="E1132">
        <v>1849</v>
      </c>
      <c r="F1132">
        <v>50.9</v>
      </c>
      <c r="G1132">
        <v>29</v>
      </c>
      <c r="H1132">
        <v>300</v>
      </c>
      <c r="I1132" t="inlineStr">
        <is>
          <t>小物件</t>
        </is>
      </c>
      <c r="J1132" t="inlineStr">
        <is>
          <t>0.16</t>
        </is>
      </c>
      <c r="K1132"/>
      <c r="L1132" t="inlineStr">
        <is>
          <t>南枝東棠手作的店</t>
        </is>
      </c>
      <c r="M1132">
        <v>831</v>
      </c>
      <c r="N1132">
        <v>4.53</v>
      </c>
      <c r="O1132">
        <v>2198</v>
      </c>
      <c r="P1132" t="inlineStr">
        <is>
          <t>6964d2d5110a7f0001318af2</t>
        </is>
      </c>
      <c r="Q1132" t="inlineStr">
        <is>
          <t>🚫重复</t>
        </is>
      </c>
      <c r="R1132" t="inlineStr">
        <is>
          <t>14周</t>
        </is>
      </c>
      <c r="S1132" t="inlineStr">
        <is>
          <t>2.23</t>
        </is>
      </c>
      <c r="T1132" t="inlineStr">
        <is>
          <t>家居生活</t>
        </is>
      </c>
      <c r="U1132" t="inlineStr">
        <is>
          <t>家居日用</t>
        </is>
      </c>
      <c r="V1132" s="3">
        <v>46112.78107638889</v>
      </c>
      <c r="W1132" t="inlineStr">
        <is>
          <t>2026-Q1</t>
        </is>
      </c>
    </row>
    <row r="1133" ht="25.5" customHeight="1">
      <c r="A1133" t="inlineStr">
        <is>
          <t>【首批穿铝】别动我的齐刘海BJD盲盒特六植发可动人偶潮玩礼物</t>
        </is>
      </c>
      <c r="B1133" t="inlineStr">
        <is>
          <t>recvfqmLqZNFdG.jpg</t>
        </is>
      </c>
      <c r="C1133" s="2" t="str">
        <f>=HYPERLINK("https://xhslink.com/m/6OIsjxdwo5K", "https://xhslink.com/m/6OIsjxdwo5K")</f>
        <v>https://xhslink.com/m/6OIsjxdwo5K</v>
      </c>
      <c r="D1133"/>
      <c r="E1133">
        <v>981</v>
      </c>
      <c r="F1133">
        <v>175</v>
      </c>
      <c r="G1133"/>
      <c r="H1133">
        <v>300</v>
      </c>
      <c r="I1133" t="inlineStr">
        <is>
          <t>盲盒</t>
        </is>
      </c>
      <c r="J1133" t="inlineStr">
        <is>
          <t>0.31</t>
        </is>
      </c>
      <c r="K1133"/>
      <c r="L1133" t="inlineStr">
        <is>
          <t>棋乐潮玩的店</t>
        </is>
      </c>
      <c r="M1133">
        <v>1840</v>
      </c>
      <c r="N1133">
        <v>4.33</v>
      </c>
      <c r="O1133">
        <v>6306</v>
      </c>
      <c r="P1133" t="inlineStr">
        <is>
          <t>69a050b087daa0000187d7a4</t>
        </is>
      </c>
      <c r="Q1133" t="inlineStr">
        <is>
          <t>🚫重复</t>
        </is>
      </c>
      <c r="R1133" t="inlineStr">
        <is>
          <t>14周</t>
        </is>
      </c>
      <c r="S1133" t="inlineStr">
        <is>
          <t>0.53</t>
        </is>
      </c>
      <c r="T1133" t="inlineStr">
        <is>
          <t>运动潮玩</t>
        </is>
      </c>
      <c r="U1133" t="inlineStr">
        <is>
          <t>潮玩手办</t>
        </is>
      </c>
      <c r="V1133" s="3">
        <v>46112.78107638889</v>
      </c>
      <c r="W1133" t="inlineStr">
        <is>
          <t>2026-Q1</t>
        </is>
      </c>
    </row>
    <row r="1134" ht="25.5" customHeight="1">
      <c r="A1134" t="inlineStr">
        <is>
          <t>Hello 法棍棒球包高级感大容量韩系ins风黑色包包百搭小众腋下包</t>
        </is>
      </c>
      <c r="B1134" t="inlineStr">
        <is>
          <t>recvfqmLqZXiUZ.jpg</t>
        </is>
      </c>
      <c r="C1134" s="2" t="str">
        <f>=HYPERLINK("https://xhslink.com/m/4StMVCLXRY0", "https://xhslink.com/m/4StMVCLXRY0")</f>
        <v>https://xhslink.com/m/4StMVCLXRY0</v>
      </c>
      <c r="D1134"/>
      <c r="E1134">
        <v>7290</v>
      </c>
      <c r="F1134">
        <v>148.9</v>
      </c>
      <c r="G1134">
        <v>145.9</v>
      </c>
      <c r="H1134">
        <v>300</v>
      </c>
      <c r="I1134" t="inlineStr">
        <is>
          <t>韩系包包</t>
        </is>
      </c>
      <c r="J1134" t="inlineStr">
        <is>
          <t>0.04</t>
        </is>
      </c>
      <c r="K1134"/>
      <c r="L1134" t="inlineStr">
        <is>
          <t>Hello的店</t>
        </is>
      </c>
      <c r="M1134">
        <v>2518</v>
      </c>
      <c r="N1134">
        <v>4.72</v>
      </c>
      <c r="O1134">
        <v>14000</v>
      </c>
      <c r="P1134" t="inlineStr">
        <is>
          <t>66d55cbf98027b00018c4357</t>
        </is>
      </c>
      <c r="Q1134" t="inlineStr">
        <is>
          <t>🚫重复</t>
        </is>
      </c>
      <c r="R1134" t="inlineStr">
        <is>
          <t>14周</t>
        </is>
      </c>
      <c r="S1134" t="inlineStr">
        <is>
          <t>2.90</t>
        </is>
      </c>
      <c r="T1134" t="inlineStr">
        <is>
          <t>服饰穿搭</t>
        </is>
      </c>
      <c r="U1134" t="inlineStr">
        <is>
          <t>鞋靴箱包</t>
        </is>
      </c>
      <c r="V1134" s="3">
        <v>46112.78107638889</v>
      </c>
      <c r="W1134" t="inlineStr">
        <is>
          <t>2026-Q1</t>
        </is>
      </c>
    </row>
    <row r="1135" ht="25.5" customHeight="1">
      <c r="A1135" t="inlineStr">
        <is>
          <t>Hello 新款荔枝纹牛皮真皮手提单肩斜挎包水桶菜篮子百搭韩系休闲</t>
        </is>
      </c>
      <c r="B1135" t="inlineStr">
        <is>
          <t>recvfqmLqZQBmM.jpg</t>
        </is>
      </c>
      <c r="C1135" s="2" t="str">
        <f>=HYPERLINK("https://xhslink.com/m/2hEgiFccfXX", "https://xhslink.com/m/2hEgiFccfXX")</f>
        <v>https://xhslink.com/m/2hEgiFccfXX</v>
      </c>
      <c r="D1135"/>
      <c r="E1135">
        <v>5520</v>
      </c>
      <c r="F1135">
        <v>159</v>
      </c>
      <c r="G1135">
        <v>156</v>
      </c>
      <c r="H1135">
        <v>300</v>
      </c>
      <c r="I1135" t="inlineStr">
        <is>
          <t>韩系包包</t>
        </is>
      </c>
      <c r="J1135" t="inlineStr">
        <is>
          <t>0.05</t>
        </is>
      </c>
      <c r="K1135"/>
      <c r="L1135" t="inlineStr">
        <is>
          <t>Hello的店</t>
        </is>
      </c>
      <c r="M1135">
        <v>2518</v>
      </c>
      <c r="N1135">
        <v>4.72</v>
      </c>
      <c r="O1135">
        <v>14000</v>
      </c>
      <c r="P1135" t="inlineStr">
        <is>
          <t>694f5f99a351230001363142</t>
        </is>
      </c>
      <c r="Q1135" t="inlineStr">
        <is>
          <t>🚫重复</t>
        </is>
      </c>
      <c r="R1135" t="inlineStr">
        <is>
          <t>14周</t>
        </is>
      </c>
      <c r="S1135" t="inlineStr">
        <is>
          <t>2.19</t>
        </is>
      </c>
      <c r="T1135" t="inlineStr">
        <is>
          <t>服饰穿搭</t>
        </is>
      </c>
      <c r="U1135" t="inlineStr">
        <is>
          <t>鞋靴箱包</t>
        </is>
      </c>
      <c r="V1135" s="3">
        <v>46112.78107638889</v>
      </c>
      <c r="W1135" t="inlineStr">
        <is>
          <t>2026-Q1</t>
        </is>
      </c>
    </row>
    <row r="1136" ht="25.5" customHeight="1">
      <c r="A1136" t="inlineStr">
        <is>
          <t>稻草人 · 新款简约韩系大容量百搭通勤斜挎托特包</t>
        </is>
      </c>
      <c r="B1136" t="inlineStr">
        <is>
          <t>recvfqmLqZJuaI.jpg</t>
        </is>
      </c>
      <c r="C1136" s="2" t="str">
        <f>=HYPERLINK("https://xhslink.com/m/7GKtVxyh1YU", "https://xhslink.com/m/7GKtVxyh1YU")</f>
        <v>https://xhslink.com/m/7GKtVxyh1YU</v>
      </c>
      <c r="D1136"/>
      <c r="E1136">
        <v>794</v>
      </c>
      <c r="F1136">
        <v>179.9</v>
      </c>
      <c r="G1136"/>
      <c r="H1136">
        <v>300</v>
      </c>
      <c r="I1136" t="inlineStr">
        <is>
          <t>韩系包包</t>
        </is>
      </c>
      <c r="J1136" t="inlineStr">
        <is>
          <t>0.38</t>
        </is>
      </c>
      <c r="K1136"/>
      <c r="L1136" t="inlineStr">
        <is>
          <t>稻草人旗舰店</t>
        </is>
      </c>
      <c r="M1136">
        <v>2032</v>
      </c>
      <c r="N1136">
        <v>4.4</v>
      </c>
      <c r="O1136">
        <v>55000</v>
      </c>
      <c r="P1136" t="inlineStr">
        <is>
          <t>69c3347bd6abc600010bffb5</t>
        </is>
      </c>
      <c r="Q1136" t="inlineStr">
        <is>
          <t>🚫重复</t>
        </is>
      </c>
      <c r="R1136" t="inlineStr">
        <is>
          <t>14周</t>
        </is>
      </c>
      <c r="S1136" t="inlineStr">
        <is>
          <t>0.39</t>
        </is>
      </c>
      <c r="T1136" t="inlineStr">
        <is>
          <t>服饰穿搭</t>
        </is>
      </c>
      <c r="U1136" t="inlineStr">
        <is>
          <t>鞋靴箱包</t>
        </is>
      </c>
      <c r="V1136" s="3">
        <v>46112.78107638889</v>
      </c>
      <c r="W1136" t="inlineStr">
        <is>
          <t>2026-Q1</t>
        </is>
      </c>
    </row>
    <row r="1137" ht="25.5" customHeight="1">
      <c r="A1137" t="inlineStr">
        <is>
          <t>兜儿～原创韩系奶油黄水洗皱AB版两面背托特包</t>
        </is>
      </c>
      <c r="B1137" t="inlineStr">
        <is>
          <t>recvfqmLqZhqb3.jpg</t>
        </is>
      </c>
      <c r="C1137" s="2" t="str">
        <f>=HYPERLINK("https://xhslink.com/m/3O2R828e0V0", "https://xhslink.com/m/3O2R828e0V0")</f>
        <v>https://xhslink.com/m/3O2R828e0V0</v>
      </c>
      <c r="D1137"/>
      <c r="E1137">
        <v>301</v>
      </c>
      <c r="F1137">
        <v>29.9</v>
      </c>
      <c r="G1137">
        <v>19.9</v>
      </c>
      <c r="H1137">
        <v>300</v>
      </c>
      <c r="I1137" t="inlineStr">
        <is>
          <t>韩系包包</t>
        </is>
      </c>
      <c r="J1137" t="inlineStr">
        <is>
          <t>1.00</t>
        </is>
      </c>
      <c r="K1137"/>
      <c r="L1137" t="inlineStr">
        <is>
          <t>麦兜兜儿！的店</t>
        </is>
      </c>
      <c r="M1137">
        <v>2248</v>
      </c>
      <c r="N1137">
        <v>4.38</v>
      </c>
      <c r="O1137">
        <v>31000</v>
      </c>
      <c r="P1137" t="inlineStr">
        <is>
          <t>69c22de59c14650001d694a6</t>
        </is>
      </c>
      <c r="Q1137"/>
      <c r="R1137" t="inlineStr">
        <is>
          <t>14周</t>
        </is>
      </c>
      <c r="S1137" t="inlineStr">
        <is>
          <t>0.13</t>
        </is>
      </c>
      <c r="T1137" t="inlineStr">
        <is>
          <t>服饰穿搭</t>
        </is>
      </c>
      <c r="U1137" t="inlineStr">
        <is>
          <t>鞋靴箱包</t>
        </is>
      </c>
      <c r="V1137" s="3">
        <v>46112.78107638889</v>
      </c>
      <c r="W1137" t="inlineStr">
        <is>
          <t>2026-Q1</t>
        </is>
      </c>
    </row>
    <row r="1138" ht="25.5" customHeight="1">
      <c r="A1138" t="inlineStr">
        <is>
          <t>唐家三少500g靖江手撕肉脯蜜汁肉铺网红零食</t>
        </is>
      </c>
      <c r="B1138" t="inlineStr">
        <is>
          <t>recvfvVmDwPl5g.jpg</t>
        </is>
      </c>
      <c r="C1138" s="2" t="str">
        <f>=HYPERLINK("https://xhslink.com/m/2Y7QR4FExWx", "https://xhslink.com/m/2Y7QR4FExWx")</f>
        <v>https://xhslink.com/m/2Y7QR4FExWx</v>
      </c>
      <c r="D1138"/>
      <c r="E1138">
        <v>95000</v>
      </c>
      <c r="F1138">
        <v>46.9</v>
      </c>
      <c r="G1138">
        <v>26.9</v>
      </c>
      <c r="H1138">
        <v>300</v>
      </c>
      <c r="I1138" t="inlineStr">
        <is>
          <t>卤味肉干</t>
        </is>
      </c>
      <c r="J1138" t="inlineStr">
        <is>
          <t>0.00</t>
        </is>
      </c>
      <c r="K1138" t="inlineStr">
        <is>
          <t>🔥低粉爆款</t>
        </is>
      </c>
      <c r="L1138" t="inlineStr">
        <is>
          <t>茹茹食光的店</t>
        </is>
      </c>
      <c r="M1138">
        <v>17000</v>
      </c>
      <c r="N1138">
        <v>4.42</v>
      </c>
      <c r="O1138">
        <v>245000</v>
      </c>
      <c r="P1138" t="inlineStr">
        <is>
          <t>68a2c934aa1e7b001597974f</t>
        </is>
      </c>
      <c r="Q1138" t="inlineStr">
        <is>
          <t>🚫重复</t>
        </is>
      </c>
      <c r="R1138" t="inlineStr">
        <is>
          <t>14周</t>
        </is>
      </c>
      <c r="S1138" t="inlineStr">
        <is>
          <t>5.59</t>
        </is>
      </c>
      <c r="T1138" t="inlineStr">
        <is>
          <t>美食滋补</t>
        </is>
      </c>
      <c r="U1138" t="inlineStr">
        <is>
          <t>休闲零食</t>
        </is>
      </c>
      <c r="V1138" s="3">
        <v>46113.55826388889</v>
      </c>
      <c r="W1138" t="inlineStr">
        <is>
          <t>2026-Q2</t>
        </is>
      </c>
    </row>
    <row r="1139" ht="25.5" customHeight="1">
      <c r="A1139" t="inlineStr">
        <is>
          <t>碳烤八风干纯瘦牛肉干（无添加、非油炸）</t>
        </is>
      </c>
      <c r="B1139" t="inlineStr">
        <is>
          <t>recvfvVmDwXCum.jpg</t>
        </is>
      </c>
      <c r="C1139" s="2" t="str">
        <f>=HYPERLINK("https://xhslink.com/m/9q7yWjQRa5k", "https://xhslink.com/m/9q7yWjQRa5k")</f>
        <v>https://xhslink.com/m/9q7yWjQRa5k</v>
      </c>
      <c r="D1139"/>
      <c r="E1139">
        <v>128000</v>
      </c>
      <c r="F1139">
        <v>75</v>
      </c>
      <c r="G1139"/>
      <c r="H1139">
        <v>300</v>
      </c>
      <c r="I1139" t="inlineStr">
        <is>
          <t>卤味肉干</t>
        </is>
      </c>
      <c r="J1139" t="inlineStr">
        <is>
          <t>0.00</t>
        </is>
      </c>
      <c r="K1139" t="inlineStr">
        <is>
          <t>🔥低粉爆款</t>
        </is>
      </c>
      <c r="L1139" t="inlineStr">
        <is>
          <t>97只做现烤牛肉干的店</t>
        </is>
      </c>
      <c r="M1139">
        <v>11000</v>
      </c>
      <c r="N1139">
        <v>4.62</v>
      </c>
      <c r="O1139">
        <v>169000</v>
      </c>
      <c r="P1139" t="inlineStr">
        <is>
          <t>66e41f8d6caced000145af7b</t>
        </is>
      </c>
      <c r="Q1139" t="inlineStr">
        <is>
          <t>🚫重复</t>
        </is>
      </c>
      <c r="R1139" t="inlineStr">
        <is>
          <t>14周</t>
        </is>
      </c>
      <c r="S1139" t="inlineStr">
        <is>
          <t>11.64</t>
        </is>
      </c>
      <c r="T1139" t="inlineStr">
        <is>
          <t>美食滋补</t>
        </is>
      </c>
      <c r="U1139" t="inlineStr">
        <is>
          <t>休闲零食</t>
        </is>
      </c>
      <c r="V1139" s="3">
        <v>46113.55826388889</v>
      </c>
      <c r="W1139" t="inlineStr">
        <is>
          <t>2026-Q2</t>
        </is>
      </c>
    </row>
    <row r="1140" ht="25.5" customHeight="1">
      <c r="A1140" t="inlineStr">
        <is>
          <t>黑兔 · 【重磅上新】底妆腮红膏提亮遮瑕膏阴湿感裸色收缩</t>
        </is>
      </c>
      <c r="B1140" t="inlineStr">
        <is>
          <t>recvfvVmDwng1J.jpg</t>
        </is>
      </c>
      <c r="C1140" s="2" t="str">
        <f>=HYPERLINK("https://xhslink.com/m/A2OsVAQucmh", "https://xhslink.com/m/A2OsVAQucmh")</f>
        <v>https://xhslink.com/m/A2OsVAQucmh</v>
      </c>
      <c r="D1140"/>
      <c r="E1140">
        <v>17000</v>
      </c>
      <c r="F1140">
        <v>49</v>
      </c>
      <c r="G1140">
        <v>39</v>
      </c>
      <c r="H1140">
        <v>300</v>
      </c>
      <c r="I1140" t="inlineStr">
        <is>
          <t>美护</t>
        </is>
      </c>
      <c r="J1140" t="inlineStr">
        <is>
          <t>0.02</t>
        </is>
      </c>
      <c r="K1140"/>
      <c r="L1140" t="inlineStr">
        <is>
          <t>HYNTOOR黑兔旗舰店</t>
        </is>
      </c>
      <c r="M1140">
        <v>42000</v>
      </c>
      <c r="N1140">
        <v>4.7</v>
      </c>
      <c r="O1140">
        <v>106000</v>
      </c>
      <c r="P1140" t="inlineStr">
        <is>
          <t>698304c4eb0d9a0001db76f4</t>
        </is>
      </c>
      <c r="Q1140" t="inlineStr">
        <is>
          <t>🚫重复</t>
        </is>
      </c>
      <c r="R1140" t="inlineStr">
        <is>
          <t>14周</t>
        </is>
      </c>
      <c r="S1140" t="inlineStr">
        <is>
          <t>0.40</t>
        </is>
      </c>
      <c r="T1140" t="inlineStr">
        <is>
          <t>美妆个护</t>
        </is>
      </c>
      <c r="U1140" t="inlineStr">
        <is>
          <t>护肤彩妆</t>
        </is>
      </c>
      <c r="V1140" s="3">
        <v>46113.55826388889</v>
      </c>
      <c r="W1140" t="inlineStr">
        <is>
          <t>2026-Q2</t>
        </is>
      </c>
    </row>
    <row r="1141" ht="25.5" customHeight="1">
      <c r="A1141" t="inlineStr">
        <is>
          <t>浓缩睫毛精华液睫毛眉部卷翘焕活睫毛自然营养BJ</t>
        </is>
      </c>
      <c r="B1141" t="inlineStr">
        <is>
          <t>recvfvVmDwl8p7.jpg</t>
        </is>
      </c>
      <c r="C1141" s="2" t="str">
        <f>=HYPERLINK("https://xhslink.com/m/7sleawx1cSH", "https://xhslink.com/m/7sleawx1cSH")</f>
        <v>https://xhslink.com/m/7sleawx1cSH</v>
      </c>
      <c r="D1141"/>
      <c r="E1141">
        <v>1070</v>
      </c>
      <c r="F1141">
        <v>19.9</v>
      </c>
      <c r="G1141"/>
      <c r="H1141">
        <v>300</v>
      </c>
      <c r="I1141" t="inlineStr">
        <is>
          <t>睫毛生长液</t>
        </is>
      </c>
      <c r="J1141" t="inlineStr">
        <is>
          <t>0.28</t>
        </is>
      </c>
      <c r="K1141" t="inlineStr">
        <is>
          <t>🔥低粉爆款</t>
        </is>
      </c>
      <c r="L1141" t="inlineStr">
        <is>
          <t>向☀️而生的店</t>
        </is>
      </c>
      <c r="M1141">
        <v>203</v>
      </c>
      <c r="N1141">
        <v>4.49</v>
      </c>
      <c r="O1141">
        <v>1074</v>
      </c>
      <c r="P1141" t="inlineStr">
        <is>
          <t>6947a0d4e40d4300011b47f9</t>
        </is>
      </c>
      <c r="Q1141"/>
      <c r="R1141" t="inlineStr">
        <is>
          <t>14周</t>
        </is>
      </c>
      <c r="S1141" t="inlineStr">
        <is>
          <t>5.27</t>
        </is>
      </c>
      <c r="T1141" t="inlineStr">
        <is>
          <t>美妆个护</t>
        </is>
      </c>
      <c r="U1141" t="inlineStr">
        <is>
          <t>护肤彩妆</t>
        </is>
      </c>
      <c r="V1141" s="3">
        <v>46113.55826388889</v>
      </c>
      <c r="W1141" t="inlineStr">
        <is>
          <t>2026-Q2</t>
        </is>
      </c>
    </row>
    <row r="1142" ht="25.5" customHeight="1">
      <c r="A1142" t="inlineStr">
        <is>
          <t>【初见】软底德训鞋女2026春季新款休闲运动鞋百搭阿甘小白鞋</t>
        </is>
      </c>
      <c r="B1142" t="inlineStr">
        <is>
          <t>recvfD7quwN64g.jpg</t>
        </is>
      </c>
      <c r="C1142" s="2" t="str">
        <f>=HYPERLINK("https://xhslink.com/m/2NZyBd1QWGO", "https://xhslink.com/m/2NZyBd1QWGO")</f>
        <v>https://xhslink.com/m/2NZyBd1QWGO</v>
      </c>
      <c r="D1142"/>
      <c r="E1142">
        <v>432</v>
      </c>
      <c r="F1142">
        <v>198</v>
      </c>
      <c r="G1142">
        <v>87</v>
      </c>
      <c r="H1142">
        <v>300</v>
      </c>
      <c r="I1142" t="inlineStr">
        <is>
          <t>百搭鞋子</t>
        </is>
      </c>
      <c r="J1142" t="inlineStr">
        <is>
          <t>0.69</t>
        </is>
      </c>
      <c r="K1142"/>
      <c r="L1142" t="inlineStr">
        <is>
          <t>妖精国度的店</t>
        </is>
      </c>
      <c r="M1142">
        <v>2956</v>
      </c>
      <c r="N1142">
        <v>4.07</v>
      </c>
      <c r="O1142">
        <v>965</v>
      </c>
      <c r="P1142" t="inlineStr">
        <is>
          <t>69bcf10423faf800019490d4</t>
        </is>
      </c>
      <c r="Q1142"/>
      <c r="R1142" t="inlineStr">
        <is>
          <t>14周</t>
        </is>
      </c>
      <c r="S1142" t="inlineStr">
        <is>
          <t>0.15</t>
        </is>
      </c>
      <c r="T1142" t="inlineStr">
        <is>
          <t>服饰穿搭</t>
        </is>
      </c>
      <c r="U1142" t="inlineStr">
        <is>
          <t>鞋靴箱包</t>
        </is>
      </c>
      <c r="V1142" s="3">
        <v>46114.78872685185</v>
      </c>
      <c r="W1142" t="inlineStr">
        <is>
          <t>2026-Q2</t>
        </is>
      </c>
    </row>
    <row r="1143" ht="25.5" customHeight="1">
      <c r="A1143" t="inlineStr">
        <is>
          <t>韩系波点～平底款！小众芭蕾鞋女新款ins百搭软底增高蝴蝶结单鞋</t>
        </is>
      </c>
      <c r="B1143" t="inlineStr">
        <is>
          <t>recvfD7quwfYrE.jpg</t>
        </is>
      </c>
      <c r="C1143" s="2" t="str">
        <f>=HYPERLINK("https://xhslink.com/m/1z6VG6vOy3Y", "https://xhslink.com/m/1z6VG6vOy3Y")</f>
        <v>https://xhslink.com/m/1z6VG6vOy3Y</v>
      </c>
      <c r="D1143"/>
      <c r="E1143">
        <v>634</v>
      </c>
      <c r="F1143">
        <v>72.98</v>
      </c>
      <c r="G1143">
        <v>69.98</v>
      </c>
      <c r="H1143">
        <v>300</v>
      </c>
      <c r="I1143" t="inlineStr">
        <is>
          <t>百搭鞋子</t>
        </is>
      </c>
      <c r="J1143" t="inlineStr">
        <is>
          <t>0.47</t>
        </is>
      </c>
      <c r="K1143"/>
      <c r="L1143" t="inlineStr">
        <is>
          <t>番茄酱～的店</t>
        </is>
      </c>
      <c r="M1143">
        <v>776</v>
      </c>
      <c r="N1143">
        <v>4.54</v>
      </c>
      <c r="O1143">
        <v>18000</v>
      </c>
      <c r="P1143" t="inlineStr">
        <is>
          <t>69b658191b6b3f00012f5852</t>
        </is>
      </c>
      <c r="Q1143" t="inlineStr">
        <is>
          <t>🚫重复</t>
        </is>
      </c>
      <c r="R1143" t="inlineStr">
        <is>
          <t>14周</t>
        </is>
      </c>
      <c r="S1143" t="inlineStr">
        <is>
          <t>0.82</t>
        </is>
      </c>
      <c r="T1143" t="inlineStr">
        <is>
          <t>服饰穿搭</t>
        </is>
      </c>
      <c r="U1143" t="inlineStr">
        <is>
          <t>鞋靴箱包</t>
        </is>
      </c>
      <c r="V1143" s="3">
        <v>46114.78872685185</v>
      </c>
      <c r="W1143" t="inlineStr">
        <is>
          <t>2026-Q2</t>
        </is>
      </c>
    </row>
    <row r="1144" ht="25.5" customHeight="1">
      <c r="A1144" t="inlineStr">
        <is>
          <t>阿pupu 刺绣水洗牛仔裤女春季新款显瘦宽松竹节纹明线阔腿弯刀裤</t>
        </is>
      </c>
      <c r="B1144" t="inlineStr">
        <is>
          <t>recvfD7quwi4kp.jpg</t>
        </is>
      </c>
      <c r="C1144" s="2" t="str">
        <f>=HYPERLINK("https://xhslink.com/m/7xPbGD7nzf2", "https://xhslink.com/m/7xPbGD7nzf2")</f>
        <v>https://xhslink.com/m/7xPbGD7nzf2</v>
      </c>
      <c r="D1144"/>
      <c r="E1144">
        <v>866</v>
      </c>
      <c r="F1144">
        <v>139</v>
      </c>
      <c r="G1144">
        <v>99</v>
      </c>
      <c r="H1144">
        <v>300</v>
      </c>
      <c r="I1144" t="inlineStr">
        <is>
          <t>裤子</t>
        </is>
      </c>
      <c r="J1144" t="inlineStr">
        <is>
          <t>0.35</t>
        </is>
      </c>
      <c r="K1144"/>
      <c r="L1144" t="inlineStr">
        <is>
          <t>24popo的店</t>
        </is>
      </c>
      <c r="M1144">
        <v>11000</v>
      </c>
      <c r="N1144">
        <v>4.51</v>
      </c>
      <c r="O1144">
        <v>64000</v>
      </c>
      <c r="P1144" t="inlineStr">
        <is>
          <t>69a7f02f14149e0001088f4b</t>
        </is>
      </c>
      <c r="Q1144"/>
      <c r="R1144" t="inlineStr">
        <is>
          <t>14周</t>
        </is>
      </c>
      <c r="S1144" t="inlineStr">
        <is>
          <t>0.08</t>
        </is>
      </c>
      <c r="T1144" t="inlineStr">
        <is>
          <t>服饰穿搭</t>
        </is>
      </c>
      <c r="U1144" t="inlineStr">
        <is>
          <t>女装</t>
        </is>
      </c>
      <c r="V1144" s="3">
        <v>46114.78872685185</v>
      </c>
      <c r="W1144" t="inlineStr">
        <is>
          <t>2026-Q2</t>
        </is>
      </c>
    </row>
    <row r="1145" ht="25.5" customHeight="1">
      <c r="A1145" t="inlineStr">
        <is>
          <t>严选正宗广东冰糖心木瓜  清甜多汁 当季新鲜水果</t>
        </is>
      </c>
      <c r="B1145" t="inlineStr">
        <is>
          <t>recvfD7quw0JmD.jpg</t>
        </is>
      </c>
      <c r="C1145" s="2" t="str">
        <f>=HYPERLINK("https://xhslink.com/m/15tiC0m5sdP", "https://xhslink.com/m/15tiC0m5sdP")</f>
        <v>https://xhslink.com/m/15tiC0m5sdP</v>
      </c>
      <c r="D1145"/>
      <c r="E1145">
        <v>1043000</v>
      </c>
      <c r="F1145">
        <v>49.9</v>
      </c>
      <c r="G1145"/>
      <c r="H1145">
        <v>300</v>
      </c>
      <c r="I1145" t="inlineStr">
        <is>
          <t>水果</t>
        </is>
      </c>
      <c r="J1145" t="inlineStr">
        <is>
          <t>0.00</t>
        </is>
      </c>
      <c r="K1145" t="inlineStr">
        <is>
          <t>🔥低粉爆款</t>
        </is>
      </c>
      <c r="L1145" t="inlineStr">
        <is>
          <t>水果董小姐的店</t>
        </is>
      </c>
      <c r="M1145">
        <v>16000</v>
      </c>
      <c r="N1145">
        <v>4.57</v>
      </c>
      <c r="O1145">
        <v>257000</v>
      </c>
      <c r="P1145" t="inlineStr">
        <is>
          <t>66ea3bbe29e690000172e0ac</t>
        </is>
      </c>
      <c r="Q1145" t="inlineStr">
        <is>
          <t>🚫重复</t>
        </is>
      </c>
      <c r="R1145" t="inlineStr">
        <is>
          <t>14周</t>
        </is>
      </c>
      <c r="S1145" t="inlineStr">
        <is>
          <t>65.19</t>
        </is>
      </c>
      <c r="T1145" t="inlineStr">
        <is>
          <t>美食滋补</t>
        </is>
      </c>
      <c r="U1145" t="inlineStr">
        <is>
          <t>生鲜特产</t>
        </is>
      </c>
      <c r="V1145" s="3">
        <v>46114.78872685185</v>
      </c>
      <c r="W1145" t="inlineStr">
        <is>
          <t>2026-Q2</t>
        </is>
      </c>
    </row>
    <row r="1146" ht="25.5" customHeight="1">
      <c r="A1146" t="inlineStr">
        <is>
          <t>新鲜黄油桃水蜜黄桃脆甜多汁软硬两吃当季鲜果现摘现发脆桃非毛桃</t>
        </is>
      </c>
      <c r="B1146" t="inlineStr">
        <is>
          <t>recvfD7quw3WfI.jpg</t>
        </is>
      </c>
      <c r="C1146" s="2" t="str">
        <f>=HYPERLINK("https://xhslink.com/m/8UOgStOasSQ", "https://xhslink.com/m/8UOgStOasSQ")</f>
        <v>https://xhslink.com/m/8UOgStOasSQ</v>
      </c>
      <c r="D1146"/>
      <c r="E1146">
        <v>2138</v>
      </c>
      <c r="F1146">
        <v>94.9</v>
      </c>
      <c r="G1146">
        <v>59.9</v>
      </c>
      <c r="H1146">
        <v>300</v>
      </c>
      <c r="I1146" t="inlineStr">
        <is>
          <t>水果</t>
        </is>
      </c>
      <c r="J1146" t="inlineStr">
        <is>
          <t>0.14</t>
        </is>
      </c>
      <c r="K1146" t="inlineStr">
        <is>
          <t>🔥低粉爆款</t>
        </is>
      </c>
      <c r="L1146" t="inlineStr">
        <is>
          <t>芒芒的果铺的店</t>
        </is>
      </c>
      <c r="M1146">
        <v>41</v>
      </c>
      <c r="N1146">
        <v>4.17</v>
      </c>
      <c r="O1146">
        <v>2403</v>
      </c>
      <c r="P1146" t="inlineStr">
        <is>
          <t>69b772a147c2d50001e396f1</t>
        </is>
      </c>
      <c r="Q1146"/>
      <c r="R1146" t="inlineStr">
        <is>
          <t>14周</t>
        </is>
      </c>
      <c r="S1146" t="inlineStr">
        <is>
          <t>52.15</t>
        </is>
      </c>
      <c r="T1146" t="inlineStr">
        <is>
          <t>美食滋补</t>
        </is>
      </c>
      <c r="U1146" t="inlineStr">
        <is>
          <t>生鲜特产</t>
        </is>
      </c>
      <c r="V1146" s="3">
        <v>46114.78872685185</v>
      </c>
      <c r="W1146" t="inlineStr">
        <is>
          <t>2026-Q2</t>
        </is>
      </c>
    </row>
    <row r="1147" ht="25.5" customHeight="1">
      <c r="A1147" t="inlineStr">
        <is>
          <t>真冻干云南墨红玫瑰新货花冠茶 玫瑰花茶新花精选大花云南玫瑰</t>
        </is>
      </c>
      <c r="B1147" t="inlineStr">
        <is>
          <t>recvfD7quw4HQH.jpg</t>
        </is>
      </c>
      <c r="C1147" s="2" t="str">
        <f>=HYPERLINK("https://xhslink.com/m/6JX6uog6JyC", "https://xhslink.com/m/6JX6uog6JyC")</f>
        <v>https://xhslink.com/m/6JX6uog6JyC</v>
      </c>
      <c r="D1147"/>
      <c r="E1147">
        <v>18000</v>
      </c>
      <c r="F1147">
        <v>19.9</v>
      </c>
      <c r="G1147"/>
      <c r="H1147">
        <v>300</v>
      </c>
      <c r="I1147" t="inlineStr">
        <is>
          <t>养生茶饮</t>
        </is>
      </c>
      <c r="J1147" t="inlineStr">
        <is>
          <t>0.02</t>
        </is>
      </c>
      <c r="K1147" t="inlineStr">
        <is>
          <t>🔥低粉爆款</t>
        </is>
      </c>
      <c r="L1147" t="inlineStr">
        <is>
          <t>丝俗小张玫瑰的店</t>
        </is>
      </c>
      <c r="M1147">
        <v>3023</v>
      </c>
      <c r="N1147">
        <v>4.48</v>
      </c>
      <c r="O1147">
        <v>19000</v>
      </c>
      <c r="P1147" t="inlineStr">
        <is>
          <t>684409308a6cef00017235ce</t>
        </is>
      </c>
      <c r="Q1147" t="inlineStr">
        <is>
          <t>🚫重复</t>
        </is>
      </c>
      <c r="R1147" t="inlineStr">
        <is>
          <t>14周</t>
        </is>
      </c>
      <c r="S1147" t="inlineStr">
        <is>
          <t>5.95</t>
        </is>
      </c>
      <c r="T1147" t="inlineStr">
        <is>
          <t>美食滋补</t>
        </is>
      </c>
      <c r="U1147" t="inlineStr">
        <is>
          <t>酒水冲饮</t>
        </is>
      </c>
      <c r="V1147" s="3">
        <v>46114.78872685185</v>
      </c>
      <c r="W1147" t="inlineStr">
        <is>
          <t>2026-Q2</t>
        </is>
      </c>
    </row>
    <row r="1148" ht="25.5" customHeight="1">
      <c r="A1148" t="inlineStr">
        <is>
          <t>久久日记JOJO DIARY · 【拍一发三】水润保湿清爽防晒气垫学生军训旅行必备防紫外线防汗</t>
        </is>
      </c>
      <c r="B1148" t="inlineStr">
        <is>
          <t>recvfD7quw2aPC.jpg</t>
        </is>
      </c>
      <c r="C1148" s="2" t="str">
        <f>=HYPERLINK("https://xhslink.com/m/79RWLfbJo2B", "https://xhslink.com/m/79RWLfbJo2B")</f>
        <v>https://xhslink.com/m/79RWLfbJo2B</v>
      </c>
      <c r="D1148"/>
      <c r="E1148">
        <v>4091</v>
      </c>
      <c r="F1148">
        <v>51.8</v>
      </c>
      <c r="G1148">
        <v>19.9</v>
      </c>
      <c r="H1148">
        <v>300</v>
      </c>
      <c r="I1148" t="inlineStr">
        <is>
          <t>防晒</t>
        </is>
      </c>
      <c r="J1148" t="inlineStr">
        <is>
          <t>0.07</t>
        </is>
      </c>
      <c r="K1148"/>
      <c r="L1148" t="inlineStr">
        <is>
          <t>久久日记JOJODIARY宏久专卖店</t>
        </is>
      </c>
      <c r="M1148">
        <v>5330</v>
      </c>
      <c r="N1148">
        <v>4.27</v>
      </c>
      <c r="O1148">
        <v>9271</v>
      </c>
      <c r="P1148" t="inlineStr">
        <is>
          <t>681321c5f8bbf80001e75700</t>
        </is>
      </c>
      <c r="Q1148"/>
      <c r="R1148" t="inlineStr">
        <is>
          <t>14周</t>
        </is>
      </c>
      <c r="S1148" t="inlineStr">
        <is>
          <t>0.77</t>
        </is>
      </c>
      <c r="T1148" t="inlineStr">
        <is>
          <t>美妆个护</t>
        </is>
      </c>
      <c r="U1148" t="inlineStr">
        <is>
          <t>护肤彩妆</t>
        </is>
      </c>
      <c r="V1148" s="3">
        <v>46114.78872685185</v>
      </c>
      <c r="W1148" t="inlineStr">
        <is>
          <t>2026-Q2</t>
        </is>
      </c>
    </row>
    <row r="1149" ht="25.5" customHeight="1">
      <c r="A1149" t="inlineStr">
        <is>
          <t>Orange mood · 【全色号】显白爆款拍三免一美甲推荐免烤快干可撕拉</t>
        </is>
      </c>
      <c r="B1149" t="inlineStr">
        <is>
          <t>recvfD7quwVXnV.jpg</t>
        </is>
      </c>
      <c r="C1149" s="2" t="str">
        <f>=HYPERLINK("https://xhslink.com/m/4XKbjQw2ttX", "https://xhslink.com/m/4XKbjQw2ttX")</f>
        <v>https://xhslink.com/m/4XKbjQw2ttX</v>
      </c>
      <c r="D1149"/>
      <c r="E1149">
        <v>318000</v>
      </c>
      <c r="F1149">
        <v>19.8</v>
      </c>
      <c r="G1149"/>
      <c r="H1149">
        <v>300</v>
      </c>
      <c r="I1149" t="inlineStr">
        <is>
          <t>美护</t>
        </is>
      </c>
      <c r="J1149" t="inlineStr">
        <is>
          <t>0.00</t>
        </is>
      </c>
      <c r="K1149"/>
      <c r="L1149" t="inlineStr">
        <is>
          <t>Orange Mood的店</t>
        </is>
      </c>
      <c r="M1149">
        <v>142000</v>
      </c>
      <c r="N1149">
        <v>4.78</v>
      </c>
      <c r="O1149">
        <v>642000</v>
      </c>
      <c r="P1149" t="inlineStr">
        <is>
          <t>635902d7a046e10001993d56</t>
        </is>
      </c>
      <c r="Q1149" t="inlineStr">
        <is>
          <t>🚫重复</t>
        </is>
      </c>
      <c r="R1149" t="inlineStr">
        <is>
          <t>14周</t>
        </is>
      </c>
      <c r="S1149" t="inlineStr">
        <is>
          <t>2.24</t>
        </is>
      </c>
      <c r="T1149" t="inlineStr">
        <is>
          <t>美妆个护</t>
        </is>
      </c>
      <c r="U1149" t="inlineStr">
        <is>
          <t>护肤彩妆</t>
        </is>
      </c>
      <c r="V1149" s="3">
        <v>46114.78872685185</v>
      </c>
      <c r="W1149" t="inlineStr">
        <is>
          <t>2026-Q2</t>
        </is>
      </c>
    </row>
    <row r="1150" ht="25.5" customHeight="1">
      <c r="A1150" t="inlineStr">
        <is>
          <t>韩茜茜「复古粗跟」魔术贴运动轮胎底乐福鞋女5cm英伦风小皮鞋女</t>
        </is>
      </c>
      <c r="B1150" t="inlineStr">
        <is>
          <t>recvfD7quwJycm.jpg</t>
        </is>
      </c>
      <c r="C1150" s="2" t="str">
        <f>=HYPERLINK("https://xhslink.com/m/16A4yWy8SDK", "https://xhslink.com/m/16A4yWy8SDK")</f>
        <v>https://xhslink.com/m/16A4yWy8SDK</v>
      </c>
      <c r="D1150"/>
      <c r="E1150">
        <v>24000</v>
      </c>
      <c r="F1150">
        <v>178</v>
      </c>
      <c r="G1150">
        <v>79.8</v>
      </c>
      <c r="H1150">
        <v>300</v>
      </c>
      <c r="I1150" t="inlineStr">
        <is>
          <t>厚底勃肯鞋</t>
        </is>
      </c>
      <c r="J1150" t="inlineStr">
        <is>
          <t>0.01</t>
        </is>
      </c>
      <c r="K1150" t="inlineStr">
        <is>
          <t>🔥低粉爆款</t>
        </is>
      </c>
      <c r="L1150" t="inlineStr">
        <is>
          <t>韩茜茜🌻的店</t>
        </is>
      </c>
      <c r="M1150">
        <v>7553</v>
      </c>
      <c r="N1150">
        <v>4.6</v>
      </c>
      <c r="O1150">
        <v>37000</v>
      </c>
      <c r="P1150" t="inlineStr">
        <is>
          <t>6902230742726100014ab1e3</t>
        </is>
      </c>
      <c r="Q1150" t="inlineStr">
        <is>
          <t>🚫重复</t>
        </is>
      </c>
      <c r="R1150" t="inlineStr">
        <is>
          <t>14周</t>
        </is>
      </c>
      <c r="S1150" t="inlineStr">
        <is>
          <t>3.18</t>
        </is>
      </c>
      <c r="T1150" t="inlineStr">
        <is>
          <t>服饰穿搭</t>
        </is>
      </c>
      <c r="U1150" t="inlineStr">
        <is>
          <t>鞋靴箱包</t>
        </is>
      </c>
      <c r="V1150" s="3">
        <v>46114.78872685185</v>
      </c>
      <c r="W1150" t="inlineStr">
        <is>
          <t>2026-Q2</t>
        </is>
      </c>
    </row>
    <row r="1151" ht="25.5" customHeight="1">
      <c r="A1151" t="inlineStr">
        <is>
          <t>FarmLetter招牌水果三明治！</t>
        </is>
      </c>
      <c r="B1151" t="inlineStr">
        <is>
          <t>recvfD7quwiIFm.jpg</t>
        </is>
      </c>
      <c r="C1151" s="2" t="str">
        <f>=HYPERLINK("https://xhslink.com/m/65Hwa9x3sR3", "https://xhslink.com/m/65Hwa9x3sR3")</f>
        <v>https://xhslink.com/m/65Hwa9x3sR3</v>
      </c>
      <c r="D1151"/>
      <c r="E1151">
        <v>63000</v>
      </c>
      <c r="F1151">
        <v>20</v>
      </c>
      <c r="G1151"/>
      <c r="H1151">
        <v>300</v>
      </c>
      <c r="I1151" t="inlineStr">
        <is>
          <t>咸口零食</t>
        </is>
      </c>
      <c r="J1151" t="inlineStr">
        <is>
          <t>0.00</t>
        </is>
      </c>
      <c r="K1151"/>
      <c r="L1151" t="inlineStr">
        <is>
          <t>Farm Letter的店</t>
        </is>
      </c>
      <c r="M1151">
        <v>25000</v>
      </c>
      <c r="N1151">
        <v>4.57</v>
      </c>
      <c r="O1151">
        <v>83000</v>
      </c>
      <c r="P1151" t="inlineStr">
        <is>
          <t>695e851baae29400019126d7</t>
        </is>
      </c>
      <c r="Q1151" t="inlineStr">
        <is>
          <t>🚫重复</t>
        </is>
      </c>
      <c r="R1151" t="inlineStr">
        <is>
          <t>14周</t>
        </is>
      </c>
      <c r="S1151" t="inlineStr">
        <is>
          <t>2.52</t>
        </is>
      </c>
      <c r="T1151" t="inlineStr">
        <is>
          <t>美食滋补</t>
        </is>
      </c>
      <c r="U1151" t="inlineStr">
        <is>
          <t>生鲜特产</t>
        </is>
      </c>
      <c r="V1151" s="3">
        <v>46114.78872685185</v>
      </c>
      <c r="W1151" t="inlineStr">
        <is>
          <t>2026-Q2</t>
        </is>
      </c>
    </row>
    <row r="1152" ht="25.5" customHeight="1">
      <c r="A1152" t="inlineStr">
        <is>
          <t>韩版娃娃领花边长款睡裙女夏季宽松长裙可爱短袖连衣裙睡衣家居服</t>
        </is>
      </c>
      <c r="B1152" t="inlineStr">
        <is>
          <t>recvfKbRx1EUIH.jpg</t>
        </is>
      </c>
      <c r="C1152" s="2" t="str">
        <f>=HYPERLINK("https://xhslink.com/m/6edPL2oAq8N", "https://xhslink.com/m/6edPL2oAq8N")</f>
        <v>https://xhslink.com/m/6edPL2oAq8N</v>
      </c>
      <c r="D1152"/>
      <c r="E1152">
        <v>315</v>
      </c>
      <c r="F1152">
        <v>32.9</v>
      </c>
      <c r="G1152"/>
      <c r="H1152">
        <v>300</v>
      </c>
      <c r="I1152" t="inlineStr">
        <is>
          <t>睡衣家居服</t>
        </is>
      </c>
      <c r="J1152" t="inlineStr">
        <is>
          <t>0.95</t>
        </is>
      </c>
      <c r="K1152"/>
      <c r="L1152" t="inlineStr">
        <is>
          <t>李小小服饰的店</t>
        </is>
      </c>
      <c r="M1152">
        <v>901</v>
      </c>
      <c r="N1152">
        <v>4.52</v>
      </c>
      <c r="O1152">
        <v>16000</v>
      </c>
      <c r="P1152" t="inlineStr">
        <is>
          <t>69b167857c9c8f00011ce80f</t>
        </is>
      </c>
      <c r="Q1152" t="inlineStr">
        <is>
          <t>🚫重复</t>
        </is>
      </c>
      <c r="R1152" t="inlineStr">
        <is>
          <t>14周</t>
        </is>
      </c>
      <c r="S1152" t="inlineStr">
        <is>
          <t>0.35</t>
        </is>
      </c>
      <c r="T1152" t="inlineStr">
        <is>
          <t>服饰穿搭</t>
        </is>
      </c>
      <c r="U1152" t="inlineStr">
        <is>
          <t>女装</t>
        </is>
      </c>
      <c r="V1152" s="3">
        <v>46115.998090277775</v>
      </c>
      <c r="W1152" t="inlineStr">
        <is>
          <t>2026-Q2</t>
        </is>
      </c>
    </row>
    <row r="1153" ht="25.5" customHeight="1">
      <c r="A1153" t="inlineStr">
        <is>
          <t>5cm厚底坡跟夹趾凉拖鞋女夏外穿人字拖2026新款配裙子沙滩凉鞋</t>
        </is>
      </c>
      <c r="B1153" t="inlineStr">
        <is>
          <t>recvfKbRx1yNTV.jpg</t>
        </is>
      </c>
      <c r="C1153" s="2" t="str">
        <f>=HYPERLINK("https://xhslink.com/m/8rwmkgFgGBf", "https://xhslink.com/m/8rwmkgFgGBf")</f>
        <v>https://xhslink.com/m/8rwmkgFgGBf</v>
      </c>
      <c r="D1153"/>
      <c r="E1153">
        <v>5455</v>
      </c>
      <c r="F1153">
        <v>128</v>
      </c>
      <c r="G1153">
        <v>69.9</v>
      </c>
      <c r="H1153">
        <v>300</v>
      </c>
      <c r="I1153" t="inlineStr">
        <is>
          <t>人字拖</t>
        </is>
      </c>
      <c r="J1153" t="inlineStr">
        <is>
          <t>0.05</t>
        </is>
      </c>
      <c r="K1153"/>
      <c r="L1153" t="inlineStr">
        <is>
          <t>诺雨一依的店</t>
        </is>
      </c>
      <c r="M1153">
        <v>4147</v>
      </c>
      <c r="N1153">
        <v>4.5</v>
      </c>
      <c r="O1153">
        <v>20000</v>
      </c>
      <c r="P1153" t="inlineStr">
        <is>
          <t>699802c45e8e27001512a29f</t>
        </is>
      </c>
      <c r="Q1153" t="inlineStr">
        <is>
          <t>🚫重复</t>
        </is>
      </c>
      <c r="R1153" t="inlineStr">
        <is>
          <t>14周</t>
        </is>
      </c>
      <c r="S1153" t="inlineStr">
        <is>
          <t>1.32</t>
        </is>
      </c>
      <c r="T1153" t="inlineStr">
        <is>
          <t>服饰穿搭</t>
        </is>
      </c>
      <c r="U1153" t="inlineStr">
        <is>
          <t>鞋靴箱包</t>
        </is>
      </c>
      <c r="V1153" s="3">
        <v>46115.998090277775</v>
      </c>
      <c r="W1153" t="inlineStr">
        <is>
          <t>2026-Q2</t>
        </is>
      </c>
    </row>
    <row r="1154" ht="25.5" customHeight="1">
      <c r="A1154" t="inlineStr">
        <is>
          <t>美式复古弯刀裤阔腿宽松直筒休闲工装裤</t>
        </is>
      </c>
      <c r="B1154" t="inlineStr">
        <is>
          <t>recvfKbRx1UmH4.jpg</t>
        </is>
      </c>
      <c r="C1154" s="2" t="str">
        <f>=HYPERLINK("https://xhslink.com/m/8VzUeyAKA1E", "https://xhslink.com/m/8VzUeyAKA1E")</f>
        <v>https://xhslink.com/m/8VzUeyAKA1E</v>
      </c>
      <c r="D1154"/>
      <c r="E1154">
        <v>30000</v>
      </c>
      <c r="F1154">
        <v>109.9</v>
      </c>
      <c r="G1154"/>
      <c r="H1154">
        <v>300</v>
      </c>
      <c r="I1154" t="inlineStr">
        <is>
          <t>裤子</t>
        </is>
      </c>
      <c r="J1154" t="inlineStr">
        <is>
          <t>0.01</t>
        </is>
      </c>
      <c r="K1154" t="inlineStr">
        <is>
          <t>🔥低粉爆款</t>
        </is>
      </c>
      <c r="L1154" t="inlineStr">
        <is>
          <t>半勺糖Tang的店</t>
        </is>
      </c>
      <c r="M1154">
        <v>7040</v>
      </c>
      <c r="N1154">
        <v>4.3</v>
      </c>
      <c r="O1154">
        <v>148000</v>
      </c>
      <c r="P1154" t="inlineStr">
        <is>
          <t>68a855ea0991b4000192d71e</t>
        </is>
      </c>
      <c r="Q1154" t="inlineStr">
        <is>
          <t>🚫重复</t>
        </is>
      </c>
      <c r="R1154" t="inlineStr">
        <is>
          <t>14周</t>
        </is>
      </c>
      <c r="S1154" t="inlineStr">
        <is>
          <t>4.26</t>
        </is>
      </c>
      <c r="T1154" t="inlineStr">
        <is>
          <t>服饰穿搭</t>
        </is>
      </c>
      <c r="U1154" t="inlineStr">
        <is>
          <t>女装</t>
        </is>
      </c>
      <c r="V1154" s="3">
        <v>46115.998090277775</v>
      </c>
      <c r="W1154" t="inlineStr">
        <is>
          <t>2026-Q2</t>
        </is>
      </c>
    </row>
    <row r="1155" ht="25.5" customHeight="1">
      <c r="A1155" t="inlineStr">
        <is>
          <t>升级版宽腰头糯米裤2026春夏新款宽松直筒裤</t>
        </is>
      </c>
      <c r="B1155" t="inlineStr">
        <is>
          <t>recvfKbRx1AjMT.jpg</t>
        </is>
      </c>
      <c r="C1155" s="2" t="str">
        <f>=HYPERLINK("https://xhslink.com/m/8yw0yS4zFU3", "https://xhslink.com/m/8yw0yS4zFU3")</f>
        <v>https://xhslink.com/m/8yw0yS4zFU3</v>
      </c>
      <c r="D1155"/>
      <c r="E1155">
        <v>63000</v>
      </c>
      <c r="F1155">
        <v>69.9</v>
      </c>
      <c r="G1155">
        <v>39.9</v>
      </c>
      <c r="H1155">
        <v>300</v>
      </c>
      <c r="I1155" t="inlineStr">
        <is>
          <t>裤子</t>
        </is>
      </c>
      <c r="J1155" t="inlineStr">
        <is>
          <t>0.00</t>
        </is>
      </c>
      <c r="K1155" t="inlineStr">
        <is>
          <t>🔥低粉爆款</t>
        </is>
      </c>
      <c r="L1155" t="inlineStr">
        <is>
          <t>舟北北服饰的店</t>
        </is>
      </c>
      <c r="M1155">
        <v>16000</v>
      </c>
      <c r="N1155">
        <v>4.44</v>
      </c>
      <c r="O1155">
        <v>332000</v>
      </c>
      <c r="P1155" t="inlineStr">
        <is>
          <t>689ed1d5c165480015102f42</t>
        </is>
      </c>
      <c r="Q1155" t="inlineStr">
        <is>
          <t>🚫重复</t>
        </is>
      </c>
      <c r="R1155" t="inlineStr">
        <is>
          <t>14周</t>
        </is>
      </c>
      <c r="S1155" t="inlineStr">
        <is>
          <t>3.94</t>
        </is>
      </c>
      <c r="T1155" t="inlineStr">
        <is>
          <t>服饰穿搭</t>
        </is>
      </c>
      <c r="U1155" t="inlineStr">
        <is>
          <t>女装</t>
        </is>
      </c>
      <c r="V1155" s="3">
        <v>46115.998090277775</v>
      </c>
      <c r="W1155" t="inlineStr">
        <is>
          <t>2026-Q2</t>
        </is>
      </c>
    </row>
    <row r="1156" ht="25.5" customHeight="1">
      <c r="A1156" t="inlineStr">
        <is>
          <t>李空空【爱在西元前】复古蓝高腰微喇牛仔阔腿裤女复古显瘦长裤子</t>
        </is>
      </c>
      <c r="B1156" t="inlineStr">
        <is>
          <t>recvfKbRx1ODFZ.jpg</t>
        </is>
      </c>
      <c r="C1156" s="2" t="str">
        <f>=HYPERLINK("https://xhslink.com/m/9uJlDCMdc2q", "https://xhslink.com/m/9uJlDCMdc2q")</f>
        <v>https://xhslink.com/m/9uJlDCMdc2q</v>
      </c>
      <c r="D1156"/>
      <c r="E1156">
        <v>66000</v>
      </c>
      <c r="F1156">
        <v>89.99</v>
      </c>
      <c r="G1156"/>
      <c r="H1156">
        <v>300</v>
      </c>
      <c r="I1156" t="inlineStr">
        <is>
          <t>裤子</t>
        </is>
      </c>
      <c r="J1156" t="inlineStr">
        <is>
          <t>0.00</t>
        </is>
      </c>
      <c r="K1156"/>
      <c r="L1156" t="inlineStr">
        <is>
          <t>李空空的店</t>
        </is>
      </c>
      <c r="M1156">
        <v>103000</v>
      </c>
      <c r="N1156">
        <v>4.6</v>
      </c>
      <c r="O1156">
        <v>563000</v>
      </c>
      <c r="P1156" t="inlineStr">
        <is>
          <t>6954db7323d3ce000143db21</t>
        </is>
      </c>
      <c r="Q1156" t="inlineStr">
        <is>
          <t>🚫重复</t>
        </is>
      </c>
      <c r="R1156" t="inlineStr">
        <is>
          <t>14周</t>
        </is>
      </c>
      <c r="S1156" t="inlineStr">
        <is>
          <t>0.64</t>
        </is>
      </c>
      <c r="T1156" t="inlineStr">
        <is>
          <t>服饰穿搭</t>
        </is>
      </c>
      <c r="U1156" t="inlineStr">
        <is>
          <t>女装</t>
        </is>
      </c>
      <c r="V1156" s="3">
        <v>46115.998090277775</v>
      </c>
      <c r="W1156" t="inlineStr">
        <is>
          <t>2026-Q2</t>
        </is>
      </c>
    </row>
    <row r="1157" ht="25.5" customHeight="1">
      <c r="A1157" t="inlineStr">
        <is>
          <t>【芋了个芋】2026年春季新款美式泥黄蓝阔腿直筒牛仔裤女宽松拖地</t>
        </is>
      </c>
      <c r="B1157" t="inlineStr">
        <is>
          <t>recvfKbRx1JFCx.jpg</t>
        </is>
      </c>
      <c r="C1157" s="2" t="str">
        <f>=HYPERLINK("https://xhslink.com/m/5yK0leIX0KB", "https://xhslink.com/m/5yK0leIX0KB")</f>
        <v>https://xhslink.com/m/5yK0leIX0KB</v>
      </c>
      <c r="D1157"/>
      <c r="E1157">
        <v>18000</v>
      </c>
      <c r="F1157">
        <v>109.99</v>
      </c>
      <c r="G1157">
        <v>99.99</v>
      </c>
      <c r="H1157">
        <v>300</v>
      </c>
      <c r="I1157" t="inlineStr">
        <is>
          <t>裤子</t>
        </is>
      </c>
      <c r="J1157" t="inlineStr">
        <is>
          <t>0.02</t>
        </is>
      </c>
      <c r="K1157"/>
      <c r="L1157" t="inlineStr">
        <is>
          <t>芋了个芋的店</t>
        </is>
      </c>
      <c r="M1157">
        <v>19000</v>
      </c>
      <c r="N1157">
        <v>4.55</v>
      </c>
      <c r="O1157">
        <v>124000</v>
      </c>
      <c r="P1157" t="inlineStr">
        <is>
          <t>67b97da1f6588900010acc9f</t>
        </is>
      </c>
      <c r="Q1157" t="inlineStr">
        <is>
          <t>🚫重复</t>
        </is>
      </c>
      <c r="R1157" t="inlineStr">
        <is>
          <t>14周</t>
        </is>
      </c>
      <c r="S1157" t="inlineStr">
        <is>
          <t>0.95</t>
        </is>
      </c>
      <c r="T1157" t="inlineStr">
        <is>
          <t>服饰穿搭</t>
        </is>
      </c>
      <c r="U1157" t="inlineStr">
        <is>
          <t>女装</t>
        </is>
      </c>
      <c r="V1157" s="3">
        <v>46115.998090277775</v>
      </c>
      <c r="W1157" t="inlineStr">
        <is>
          <t>2026-Q2</t>
        </is>
      </c>
    </row>
    <row r="1158" ht="25.5" customHeight="1">
      <c r="A1158" t="inlineStr">
        <is>
          <t>豆爸手作欧包 纯手工健康无添加 私房匠心手工面包 每天现做现发</t>
        </is>
      </c>
      <c r="B1158" t="inlineStr">
        <is>
          <t>recvfP5nJfzUWh.jpg</t>
        </is>
      </c>
      <c r="C1158" s="2" t="str">
        <f>=HYPERLINK("https://xhslink.com/m/2mCP6u1Piqi", "https://xhslink.com/m/2mCP6u1Piqi")</f>
        <v>https://xhslink.com/m/2mCP6u1Piqi</v>
      </c>
      <c r="D1158"/>
      <c r="E1158">
        <v>88000</v>
      </c>
      <c r="F1158">
        <v>99</v>
      </c>
      <c r="G1158"/>
      <c r="H1158">
        <v>300</v>
      </c>
      <c r="I1158" t="inlineStr">
        <is>
          <t>手作面包</t>
        </is>
      </c>
      <c r="J1158" t="inlineStr">
        <is>
          <t>0.00</t>
        </is>
      </c>
      <c r="K1158" t="inlineStr">
        <is>
          <t>🔥低粉爆款</t>
        </is>
      </c>
      <c r="L1158" t="inlineStr">
        <is>
          <t>豆爸新鲜手作面包的店</t>
        </is>
      </c>
      <c r="M1158">
        <v>21000</v>
      </c>
      <c r="N1158">
        <v>4.71</v>
      </c>
      <c r="O1158">
        <v>159000</v>
      </c>
      <c r="P1158" t="inlineStr">
        <is>
          <t>6885b6446d60540001775545</t>
        </is>
      </c>
      <c r="Q1158" t="inlineStr">
        <is>
          <t>🚫重复</t>
        </is>
      </c>
      <c r="R1158" t="inlineStr">
        <is>
          <t>14周</t>
        </is>
      </c>
      <c r="S1158" t="inlineStr">
        <is>
          <t>4.19</t>
        </is>
      </c>
      <c r="T1158" t="inlineStr">
        <is>
          <t>美食滋补</t>
        </is>
      </c>
      <c r="U1158" t="inlineStr">
        <is>
          <t>休闲零食</t>
        </is>
      </c>
      <c r="V1158" s="3">
        <v>46116.835335648146</v>
      </c>
      <c r="W1158" t="inlineStr">
        <is>
          <t>2026-Q2</t>
        </is>
      </c>
    </row>
    <row r="1159" ht="25.5" customHeight="1">
      <c r="A1159" t="inlineStr">
        <is>
          <t>小熊日记｜【春夏季组合装】｜春夏薄款可爱ins甜美风棉袜</t>
        </is>
      </c>
      <c r="B1159" t="inlineStr">
        <is>
          <t>recvfP5nJf8S5B.jpg</t>
        </is>
      </c>
      <c r="C1159" s="2" t="str">
        <f>=HYPERLINK("https://xhslink.com/m/91pznkNWWyk", "https://xhslink.com/m/91pznkNWWyk")</f>
        <v>https://xhslink.com/m/91pznkNWWyk</v>
      </c>
      <c r="D1159"/>
      <c r="E1159">
        <v>5068</v>
      </c>
      <c r="F1159">
        <v>34.9</v>
      </c>
      <c r="G1159">
        <v>29.9</v>
      </c>
      <c r="H1159">
        <v>300</v>
      </c>
      <c r="I1159" t="inlineStr">
        <is>
          <t>配饰</t>
        </is>
      </c>
      <c r="J1159" t="inlineStr">
        <is>
          <t>0.06</t>
        </is>
      </c>
      <c r="K1159"/>
      <c r="L1159" t="inlineStr">
        <is>
          <t>小熊日记（创业版）的店</t>
        </is>
      </c>
      <c r="M1159">
        <v>102000</v>
      </c>
      <c r="N1159">
        <v>4.61</v>
      </c>
      <c r="O1159">
        <v>194000</v>
      </c>
      <c r="P1159" t="inlineStr">
        <is>
          <t>69aa9422f6806b0001aa80ae</t>
        </is>
      </c>
      <c r="Q1159"/>
      <c r="R1159" t="inlineStr">
        <is>
          <t>14周</t>
        </is>
      </c>
      <c r="S1159" t="inlineStr">
        <is>
          <t>0.05</t>
        </is>
      </c>
      <c r="T1159" t="inlineStr">
        <is>
          <t>服饰穿搭</t>
        </is>
      </c>
      <c r="U1159" t="inlineStr">
        <is>
          <t>配饰</t>
        </is>
      </c>
      <c r="V1159" s="3">
        <v>46116.835335648146</v>
      </c>
      <c r="W1159" t="inlineStr">
        <is>
          <t>2026-Q2</t>
        </is>
      </c>
    </row>
    <row r="1160" ht="25.5" customHeight="1">
      <c r="A1160" t="inlineStr">
        <is>
          <t>长乐 · 一次性袜子男女同款四季防臭透气旅游出差便携日抛免洗</t>
        </is>
      </c>
      <c r="B1160" t="inlineStr">
        <is>
          <t>recvfP5nJfKScY.jpg</t>
        </is>
      </c>
      <c r="C1160" s="2" t="str">
        <f>=HYPERLINK("https://xhslink.com/m/vHTg6tZ99j", "https://xhslink.com/m/vHTg6tZ99j")</f>
        <v>https://xhslink.com/m/vHTg6tZ99j</v>
      </c>
      <c r="D1160"/>
      <c r="E1160">
        <v>25000</v>
      </c>
      <c r="F1160">
        <v>36.9</v>
      </c>
      <c r="G1160">
        <v>32.9</v>
      </c>
      <c r="H1160">
        <v>300</v>
      </c>
      <c r="I1160" t="inlineStr">
        <is>
          <t>袜子</t>
        </is>
      </c>
      <c r="J1160" t="inlineStr">
        <is>
          <t>0.01</t>
        </is>
      </c>
      <c r="K1160" t="inlineStr">
        <is>
          <t>🔥低粉爆款</t>
        </is>
      </c>
      <c r="L1160" t="inlineStr">
        <is>
          <t>长乐一次性的店</t>
        </is>
      </c>
      <c r="M1160">
        <v>351</v>
      </c>
      <c r="N1160">
        <v>4.65</v>
      </c>
      <c r="O1160">
        <v>26000</v>
      </c>
      <c r="P1160" t="inlineStr">
        <is>
          <t>684ea0ddd4dabb0001d9b9ab</t>
        </is>
      </c>
      <c r="Q1160"/>
      <c r="R1160" t="inlineStr">
        <is>
          <t>14周</t>
        </is>
      </c>
      <c r="S1160" t="inlineStr">
        <is>
          <t>71.23</t>
        </is>
      </c>
      <c r="T1160" t="inlineStr">
        <is>
          <t>服饰穿搭</t>
        </is>
      </c>
      <c r="U1160" t="inlineStr">
        <is>
          <t>鞋靴箱包</t>
        </is>
      </c>
      <c r="V1160" s="3">
        <v>46116.835335648146</v>
      </c>
      <c r="W1160" t="inlineStr">
        <is>
          <t>2026-Q2</t>
        </is>
      </c>
    </row>
    <row r="1161" ht="25.5" customHeight="1">
      <c r="A1161" t="inlineStr">
        <is>
          <t>WE FLOWER · 【明星同款】2026春季穿搭新款国潮品牌法棍德训鞋百搭舒适轻便</t>
        </is>
      </c>
      <c r="B1161" t="inlineStr">
        <is>
          <t>recvfP5nJfcPJI.jpg</t>
        </is>
      </c>
      <c r="C1161" s="2" t="str">
        <f>=HYPERLINK("https://xhslink.com/m/AR3Xy8dsTx1", "https://xhslink.com/m/AR3Xy8dsTx1")</f>
        <v>https://xhslink.com/m/AR3Xy8dsTx1</v>
      </c>
      <c r="D1161"/>
      <c r="E1161">
        <v>22000</v>
      </c>
      <c r="F1161">
        <v>799</v>
      </c>
      <c r="G1161">
        <v>339</v>
      </c>
      <c r="H1161">
        <v>300</v>
      </c>
      <c r="I1161" t="inlineStr">
        <is>
          <t>休闲鞋</t>
        </is>
      </c>
      <c r="J1161" t="inlineStr">
        <is>
          <t>0.01</t>
        </is>
      </c>
      <c r="K1161"/>
      <c r="L1161" t="inlineStr">
        <is>
          <t>WE FLOWER旗舰店</t>
        </is>
      </c>
      <c r="M1161">
        <v>130000</v>
      </c>
      <c r="N1161">
        <v>4.59</v>
      </c>
      <c r="O1161">
        <v>224000</v>
      </c>
      <c r="P1161" t="inlineStr">
        <is>
          <t>682d7ac39acfd60001706e6f</t>
        </is>
      </c>
      <c r="Q1161" t="inlineStr">
        <is>
          <t>🚫重复</t>
        </is>
      </c>
      <c r="R1161" t="inlineStr">
        <is>
          <t>14周</t>
        </is>
      </c>
      <c r="S1161" t="inlineStr">
        <is>
          <t>0.17</t>
        </is>
      </c>
      <c r="T1161" t="inlineStr">
        <is>
          <t>服饰穿搭</t>
        </is>
      </c>
      <c r="U1161" t="inlineStr">
        <is>
          <t>鞋靴箱包</t>
        </is>
      </c>
      <c r="V1161" s="3">
        <v>46116.835335648146</v>
      </c>
      <c r="W1161" t="inlineStr">
        <is>
          <t>2026-Q2</t>
        </is>
      </c>
    </row>
    <row r="1162" ht="25.5" customHeight="1">
      <c r="A1162" t="inlineStr">
        <is>
          <t>韩国纯手工珍珠花朵发夹女2026新款高级发饰抓夹鲨鱼夹发抓</t>
        </is>
      </c>
      <c r="B1162" t="inlineStr">
        <is>
          <t>recvfP5nJfAeRD.jpg</t>
        </is>
      </c>
      <c r="C1162" s="2" t="str">
        <f>=HYPERLINK("https://xhslink.com/m/2njSXP8aPMH", "https://xhslink.com/m/2njSXP8aPMH")</f>
        <v>https://xhslink.com/m/2njSXP8aPMH</v>
      </c>
      <c r="D1162"/>
      <c r="E1162">
        <v>2141</v>
      </c>
      <c r="F1162">
        <v>28.88</v>
      </c>
      <c r="G1162">
        <v>18.88</v>
      </c>
      <c r="H1162">
        <v>300</v>
      </c>
      <c r="I1162" t="inlineStr">
        <is>
          <t>配饰</t>
        </is>
      </c>
      <c r="J1162" t="inlineStr">
        <is>
          <t>0.14</t>
        </is>
      </c>
      <c r="K1162"/>
      <c r="L1162" t="inlineStr">
        <is>
          <t>小脑瓜的店</t>
        </is>
      </c>
      <c r="M1162">
        <v>47000</v>
      </c>
      <c r="N1162">
        <v>4.63</v>
      </c>
      <c r="O1162">
        <v>360000</v>
      </c>
      <c r="P1162" t="inlineStr">
        <is>
          <t>69baa73bd6abc6000122a5d1</t>
        </is>
      </c>
      <c r="Q1162" t="inlineStr">
        <is>
          <t>🚫重复</t>
        </is>
      </c>
      <c r="R1162" t="inlineStr">
        <is>
          <t>14周</t>
        </is>
      </c>
      <c r="S1162" t="inlineStr">
        <is>
          <t>0.05</t>
        </is>
      </c>
      <c r="T1162" t="inlineStr">
        <is>
          <t>服饰穿搭</t>
        </is>
      </c>
      <c r="U1162" t="inlineStr">
        <is>
          <t>配饰</t>
        </is>
      </c>
      <c r="V1162" s="3">
        <v>46116.835335648146</v>
      </c>
      <c r="W1162" t="inlineStr">
        <is>
          <t>2026-Q2</t>
        </is>
      </c>
    </row>
    <row r="1163" ht="25.5" customHeight="1">
      <c r="A1163" t="inlineStr">
        <is>
          <t>XZZ同款鬼马少女的司马克半身裙</t>
        </is>
      </c>
      <c r="B1163" t="inlineStr">
        <is>
          <t>recvfP5nJf3uCb.jpg</t>
        </is>
      </c>
      <c r="C1163" s="2" t="str">
        <f>=HYPERLINK("https://xhslink.com/m/9HW8lyWniEl", "https://xhslink.com/m/9HW8lyWniEl")</f>
        <v>https://xhslink.com/m/9HW8lyWniEl</v>
      </c>
      <c r="D1163"/>
      <c r="E1163">
        <v>8242</v>
      </c>
      <c r="F1163">
        <v>168</v>
      </c>
      <c r="G1163"/>
      <c r="H1163">
        <v>300</v>
      </c>
      <c r="I1163" t="inlineStr">
        <is>
          <t>长裙</t>
        </is>
      </c>
      <c r="J1163" t="inlineStr">
        <is>
          <t>0.04</t>
        </is>
      </c>
      <c r="K1163"/>
      <c r="L1163" t="inlineStr">
        <is>
          <t>易大礼的店</t>
        </is>
      </c>
      <c r="M1163">
        <v>6421</v>
      </c>
      <c r="N1163">
        <v>4.65</v>
      </c>
      <c r="O1163">
        <v>16000</v>
      </c>
      <c r="P1163" t="inlineStr">
        <is>
          <t>68c3f878f9d8290001cc46b7</t>
        </is>
      </c>
      <c r="Q1163"/>
      <c r="R1163" t="inlineStr">
        <is>
          <t>14周</t>
        </is>
      </c>
      <c r="S1163" t="inlineStr">
        <is>
          <t>1.28</t>
        </is>
      </c>
      <c r="T1163" t="inlineStr">
        <is>
          <t>服饰穿搭</t>
        </is>
      </c>
      <c r="U1163" t="inlineStr">
        <is>
          <t>女装</t>
        </is>
      </c>
      <c r="V1163" s="3">
        <v>46116.835335648146</v>
      </c>
      <c r="W1163" t="inlineStr">
        <is>
          <t>2026-Q2</t>
        </is>
      </c>
    </row>
    <row r="1164" ht="25.5" customHeight="1">
      <c r="A1164" t="inlineStr">
        <is>
          <t>2026款春夏季法式不规则荷叶边波点高腰半身裙（前1500单立减60）</t>
        </is>
      </c>
      <c r="B1164" t="inlineStr">
        <is>
          <t>recvfP5nJfeCq9.jpg</t>
        </is>
      </c>
      <c r="C1164" s="2" t="str">
        <f>=HYPERLINK("https://xhslink.com/m/9j9pwx4fFUr", "https://xhslink.com/m/9j9pwx4fFUr")</f>
        <v>https://xhslink.com/m/9j9pwx4fFUr</v>
      </c>
      <c r="D1164"/>
      <c r="E1164">
        <v>1130</v>
      </c>
      <c r="F1164">
        <v>188</v>
      </c>
      <c r="G1164">
        <v>128</v>
      </c>
      <c r="H1164">
        <v>300</v>
      </c>
      <c r="I1164" t="inlineStr">
        <is>
          <t>长裙</t>
        </is>
      </c>
      <c r="J1164" t="inlineStr">
        <is>
          <t>0.27</t>
        </is>
      </c>
      <c r="K1164"/>
      <c r="L1164" t="inlineStr">
        <is>
          <t>浪佰萬商行.的店</t>
        </is>
      </c>
      <c r="M1164">
        <v>2685</v>
      </c>
      <c r="N1164">
        <v>4.63</v>
      </c>
      <c r="O1164">
        <v>9290</v>
      </c>
      <c r="P1164" t="inlineStr">
        <is>
          <t>6988b3b1c0b0790015296387</t>
        </is>
      </c>
      <c r="Q1164"/>
      <c r="R1164" t="inlineStr">
        <is>
          <t>14周</t>
        </is>
      </c>
      <c r="S1164" t="inlineStr">
        <is>
          <t>0.42</t>
        </is>
      </c>
      <c r="T1164" t="inlineStr">
        <is>
          <t>服饰穿搭</t>
        </is>
      </c>
      <c r="U1164" t="inlineStr">
        <is>
          <t>女装</t>
        </is>
      </c>
      <c r="V1164" s="3">
        <v>46116.835335648146</v>
      </c>
      <c r="W1164" t="inlineStr">
        <is>
          <t>2026-Q2</t>
        </is>
      </c>
    </row>
    <row r="1165" ht="25.5" customHeight="1">
      <c r="A1165" t="inlineStr">
        <is>
          <t>【小爱果脯】加酸版酸梅粒无核厚切酸梅条桃梅肉蜜饯果脯酸爽零食</t>
        </is>
      </c>
      <c r="B1165" t="inlineStr">
        <is>
          <t>recvfP5nJfqC6R.jpg</t>
        </is>
      </c>
      <c r="C1165" s="2" t="str">
        <f>=HYPERLINK("https://xhslink.com/m/2jVYYd0EUZx", "https://xhslink.com/m/2jVYYd0EUZx")</f>
        <v>https://xhslink.com/m/2jVYYd0EUZx</v>
      </c>
      <c r="D1165"/>
      <c r="E1165">
        <v>264000</v>
      </c>
      <c r="F1165">
        <v>31.8</v>
      </c>
      <c r="G1165">
        <v>16.8</v>
      </c>
      <c r="H1165">
        <v>300</v>
      </c>
      <c r="I1165" t="inlineStr">
        <is>
          <t>坚果果干</t>
        </is>
      </c>
      <c r="J1165" t="inlineStr">
        <is>
          <t>0.00</t>
        </is>
      </c>
      <c r="K1165" t="inlineStr">
        <is>
          <t>🔥低粉爆款</t>
        </is>
      </c>
      <c r="L1165" t="inlineStr">
        <is>
          <t>小爱糯叽叽果脯的店</t>
        </is>
      </c>
      <c r="M1165">
        <v>4957</v>
      </c>
      <c r="N1165">
        <v>4.4</v>
      </c>
      <c r="O1165">
        <v>293000</v>
      </c>
      <c r="P1165" t="inlineStr">
        <is>
          <t>6852efe6ea2a810001940311</t>
        </is>
      </c>
      <c r="Q1165" t="inlineStr">
        <is>
          <t>🚫重复</t>
        </is>
      </c>
      <c r="R1165" t="inlineStr">
        <is>
          <t>14周</t>
        </is>
      </c>
      <c r="S1165" t="inlineStr">
        <is>
          <t>53.26</t>
        </is>
      </c>
      <c r="T1165" t="inlineStr">
        <is>
          <t>美食滋补</t>
        </is>
      </c>
      <c r="U1165" t="inlineStr">
        <is>
          <t>休闲零食</t>
        </is>
      </c>
      <c r="V1165" s="3">
        <v>46116.835335648146</v>
      </c>
      <c r="W1165" t="inlineStr">
        <is>
          <t>2026-Q2</t>
        </is>
      </c>
    </row>
    <row r="1166" ht="25.5" customHeight="1">
      <c r="A1166" t="inlineStr">
        <is>
          <t>Hygiene泰国香氛包空气清新剂衣柜卧室持久香薰厕所除味香囊</t>
        </is>
      </c>
      <c r="B1166" t="inlineStr">
        <is>
          <t>recvfP5nJfwy4y.jpg</t>
        </is>
      </c>
      <c r="C1166" s="2" t="str">
        <f>=HYPERLINK("https://xhslink.com/m/2UzJVt6j3Gl", "https://xhslink.com/m/2UzJVt6j3Gl")</f>
        <v>https://xhslink.com/m/2UzJVt6j3Gl</v>
      </c>
      <c r="D1166"/>
      <c r="E1166">
        <v>143000</v>
      </c>
      <c r="F1166">
        <v>34.89</v>
      </c>
      <c r="G1166">
        <v>32.89</v>
      </c>
      <c r="H1166">
        <v>300</v>
      </c>
      <c r="I1166" t="inlineStr">
        <is>
          <t>香薰</t>
        </is>
      </c>
      <c r="J1166" t="inlineStr">
        <is>
          <t>0.00</t>
        </is>
      </c>
      <c r="K1166" t="inlineStr">
        <is>
          <t>🔥低粉爆款</t>
        </is>
      </c>
      <c r="L1166" t="inlineStr">
        <is>
          <t>小彭的杂货铺的店</t>
        </is>
      </c>
      <c r="M1166">
        <v>25000</v>
      </c>
      <c r="N1166">
        <v>4.5</v>
      </c>
      <c r="O1166">
        <v>404000</v>
      </c>
      <c r="P1166" t="inlineStr">
        <is>
          <t>65e5da0ce54d2d0001da4180</t>
        </is>
      </c>
      <c r="Q1166"/>
      <c r="R1166" t="inlineStr">
        <is>
          <t>14周</t>
        </is>
      </c>
      <c r="S1166" t="inlineStr">
        <is>
          <t>5.72</t>
        </is>
      </c>
      <c r="T1166" t="inlineStr">
        <is>
          <t>家居生活</t>
        </is>
      </c>
      <c r="U1166" t="inlineStr">
        <is>
          <t>家居日用</t>
        </is>
      </c>
      <c r="V1166" s="3">
        <v>46116.835335648146</v>
      </c>
      <c r="W1166" t="inlineStr">
        <is>
          <t>2026-Q2</t>
        </is>
      </c>
    </row>
    <row r="1167" ht="25.5" customHeight="1">
      <c r="A1167" t="inlineStr">
        <is>
          <t>【顺丰空运全国包邮】正宗云南抚仙湖L25花香蓝莓 现摘现发</t>
        </is>
      </c>
      <c r="B1167" t="inlineStr">
        <is>
          <t>recvfVt9jWrEO5.jpg</t>
        </is>
      </c>
      <c r="C1167" s="2" t="str">
        <f>=HYPERLINK("https://xhslink.com/m/MTAMcmHrMw", "https://xhslink.com/m/MTAMcmHrMw")</f>
        <v>https://xhslink.com/m/MTAMcmHrMw</v>
      </c>
      <c r="D1167"/>
      <c r="E1167">
        <v>1758</v>
      </c>
      <c r="F1167">
        <v>180</v>
      </c>
      <c r="G1167">
        <v>103</v>
      </c>
      <c r="H1167">
        <v>300</v>
      </c>
      <c r="I1167" t="inlineStr">
        <is>
          <t>水果</t>
        </is>
      </c>
      <c r="J1167" t="inlineStr">
        <is>
          <t>0.17</t>
        </is>
      </c>
      <c r="K1167"/>
      <c r="L1167" t="inlineStr">
        <is>
          <t>月光清唱11的店</t>
        </is>
      </c>
      <c r="M1167">
        <v>906</v>
      </c>
      <c r="N1167">
        <v>4.77</v>
      </c>
      <c r="O1167">
        <v>6032</v>
      </c>
      <c r="P1167" t="inlineStr">
        <is>
          <t>67be7b4deef1820001121146</t>
        </is>
      </c>
      <c r="Q1167" t="inlineStr">
        <is>
          <t>🚫重复</t>
        </is>
      </c>
      <c r="R1167" t="inlineStr">
        <is>
          <t>14周</t>
        </is>
      </c>
      <c r="S1167" t="inlineStr">
        <is>
          <t>1.94</t>
        </is>
      </c>
      <c r="T1167" t="inlineStr">
        <is>
          <t>美食滋补</t>
        </is>
      </c>
      <c r="U1167" t="inlineStr">
        <is>
          <t>生鲜特产</t>
        </is>
      </c>
      <c r="V1167" s="3">
        <v>46117.927083333336</v>
      </c>
      <c r="W1167" t="inlineStr">
        <is>
          <t>2026-Q2</t>
        </is>
      </c>
    </row>
    <row r="1168" ht="25.5" customHeight="1">
      <c r="A1168" t="inlineStr">
        <is>
          <t>深海生蚝 买5斤送5斤 大小一样钱冷水牡蛎现捞现发 营养美味</t>
        </is>
      </c>
      <c r="B1168" t="inlineStr">
        <is>
          <t>recvfVt9jWrR8L.jpg</t>
        </is>
      </c>
      <c r="C1168" s="2" t="str">
        <f>=HYPERLINK("https://xhslink.com/m/ALoUUm1P4oK", "https://xhslink.com/m/ALoUUm1P4oK")</f>
        <v>https://xhslink.com/m/ALoUUm1P4oK</v>
      </c>
      <c r="D1168"/>
      <c r="E1168">
        <v>7586</v>
      </c>
      <c r="F1168">
        <v>89.9</v>
      </c>
      <c r="G1168">
        <v>79.9</v>
      </c>
      <c r="H1168">
        <v>300</v>
      </c>
      <c r="I1168" t="inlineStr">
        <is>
          <t>海鲜</t>
        </is>
      </c>
      <c r="J1168" t="inlineStr">
        <is>
          <t>0.04</t>
        </is>
      </c>
      <c r="K1168"/>
      <c r="L1168" t="inlineStr">
        <is>
          <t>沄鲜的店</t>
        </is>
      </c>
      <c r="M1168">
        <v>2859</v>
      </c>
      <c r="N1168">
        <v>4.69</v>
      </c>
      <c r="O1168">
        <v>8384</v>
      </c>
      <c r="P1168" t="inlineStr">
        <is>
          <t>67e524aa585fab00012dce86</t>
        </is>
      </c>
      <c r="Q1168"/>
      <c r="R1168" t="inlineStr">
        <is>
          <t>14周</t>
        </is>
      </c>
      <c r="S1168" t="inlineStr">
        <is>
          <t>2.65</t>
        </is>
      </c>
      <c r="T1168" t="inlineStr">
        <is>
          <t>美食滋补</t>
        </is>
      </c>
      <c r="U1168" t="inlineStr">
        <is>
          <t>生鲜特产</t>
        </is>
      </c>
      <c r="V1168" s="3">
        <v>46117.927083333336</v>
      </c>
      <c r="W1168" t="inlineStr">
        <is>
          <t>2026-Q2</t>
        </is>
      </c>
    </row>
    <row r="1169" ht="25.5" customHeight="1">
      <c r="A1169" t="inlineStr">
        <is>
          <t>自制纯色系列｜短袖短裤胸垫套装慵懒简约宽松春夏家居服套装</t>
        </is>
      </c>
      <c r="B1169" t="inlineStr">
        <is>
          <t>recvfVt9jWuopU.jpg</t>
        </is>
      </c>
      <c r="C1169" s="2" t="str">
        <f>=HYPERLINK("https://xhslink.com/m/wXicUU0W6S", "https://xhslink.com/m/wXicUU0W6S")</f>
        <v>https://xhslink.com/m/wXicUU0W6S</v>
      </c>
      <c r="D1169"/>
      <c r="E1169">
        <v>14000</v>
      </c>
      <c r="F1169">
        <v>79.8</v>
      </c>
      <c r="G1169">
        <v>59.8</v>
      </c>
      <c r="H1169">
        <v>300</v>
      </c>
      <c r="I1169" t="inlineStr">
        <is>
          <t>睡衣</t>
        </is>
      </c>
      <c r="J1169" t="inlineStr">
        <is>
          <t>0.02</t>
        </is>
      </c>
      <c r="K1169"/>
      <c r="L1169" t="inlineStr">
        <is>
          <t>Luna Na的店</t>
        </is>
      </c>
      <c r="M1169">
        <v>29000</v>
      </c>
      <c r="N1169">
        <v>4.69</v>
      </c>
      <c r="O1169">
        <v>322000</v>
      </c>
      <c r="P1169" t="inlineStr">
        <is>
          <t>6873d3ac75ae0c0001d0c3b4</t>
        </is>
      </c>
      <c r="Q1169" t="inlineStr">
        <is>
          <t>🚫重复</t>
        </is>
      </c>
      <c r="R1169" t="inlineStr">
        <is>
          <t>14周</t>
        </is>
      </c>
      <c r="S1169" t="inlineStr">
        <is>
          <t>0.48</t>
        </is>
      </c>
      <c r="T1169" t="inlineStr">
        <is>
          <t>服饰穿搭</t>
        </is>
      </c>
      <c r="U1169" t="inlineStr">
        <is>
          <t>女装</t>
        </is>
      </c>
      <c r="V1169" s="3">
        <v>46117.927083333336</v>
      </c>
      <c r="W1169" t="inlineStr">
        <is>
          <t>2026-Q2</t>
        </is>
      </c>
    </row>
    <row r="1170" ht="25.5" customHeight="1">
      <c r="A1170" t="inlineStr">
        <is>
          <t>【芋了个芋】2026年春季新款美式泥黄蓝阔腿直筒牛仔裤女宽松拖地</t>
        </is>
      </c>
      <c r="B1170" t="inlineStr">
        <is>
          <t>recvfVt9jWFSHT.jpg</t>
        </is>
      </c>
      <c r="C1170" s="2" t="str">
        <f>=HYPERLINK("https://xhslink.com/m/6L1GUJJZJ6l", "https://xhslink.com/m/6L1GUJJZJ6l")</f>
        <v>https://xhslink.com/m/6L1GUJJZJ6l</v>
      </c>
      <c r="D1170"/>
      <c r="E1170">
        <v>19000</v>
      </c>
      <c r="F1170">
        <v>109.99</v>
      </c>
      <c r="G1170">
        <v>99.99</v>
      </c>
      <c r="H1170">
        <v>300</v>
      </c>
      <c r="I1170" t="inlineStr">
        <is>
          <t>裤子</t>
        </is>
      </c>
      <c r="J1170" t="inlineStr">
        <is>
          <t>0.02</t>
        </is>
      </c>
      <c r="K1170"/>
      <c r="L1170" t="inlineStr">
        <is>
          <t>芋了个芋的店</t>
        </is>
      </c>
      <c r="M1170">
        <v>20000</v>
      </c>
      <c r="N1170">
        <v>4.56</v>
      </c>
      <c r="O1170">
        <v>124000</v>
      </c>
      <c r="P1170" t="inlineStr">
        <is>
          <t>67b97da1f6588900010acc93</t>
        </is>
      </c>
      <c r="Q1170" t="inlineStr">
        <is>
          <t>🚫重复</t>
        </is>
      </c>
      <c r="R1170" t="inlineStr">
        <is>
          <t>14周</t>
        </is>
      </c>
      <c r="S1170" t="inlineStr">
        <is>
          <t>0.95</t>
        </is>
      </c>
      <c r="T1170" t="inlineStr">
        <is>
          <t>服饰穿搭</t>
        </is>
      </c>
      <c r="U1170" t="inlineStr">
        <is>
          <t>女装</t>
        </is>
      </c>
      <c r="V1170" s="3">
        <v>46117.927083333336</v>
      </c>
      <c r="W1170" t="inlineStr">
        <is>
          <t>2026-Q2</t>
        </is>
      </c>
    </row>
    <row r="1171" ht="25.5" customHeight="1">
      <c r="A1171" t="inlineStr">
        <is>
          <t>栀禾*多巴胺美式高腰宽松直筒阔腿裤拖地牛仔裤</t>
        </is>
      </c>
      <c r="B1171" t="inlineStr">
        <is>
          <t>recvfVt9jWwHTz.jpg</t>
        </is>
      </c>
      <c r="C1171" s="2" t="str">
        <f>=HYPERLINK("https://xhslink.com/m/5NOdZaDqjZK", "https://xhslink.com/m/5NOdZaDqjZK")</f>
        <v>https://xhslink.com/m/5NOdZaDqjZK</v>
      </c>
      <c r="D1171"/>
      <c r="E1171">
        <v>8592</v>
      </c>
      <c r="F1171">
        <v>92</v>
      </c>
      <c r="G1171">
        <v>89</v>
      </c>
      <c r="H1171">
        <v>300</v>
      </c>
      <c r="I1171" t="inlineStr">
        <is>
          <t>裤子</t>
        </is>
      </c>
      <c r="J1171" t="inlineStr">
        <is>
          <t>0.03</t>
        </is>
      </c>
      <c r="K1171"/>
      <c r="L1171" t="inlineStr">
        <is>
          <t>栀禾服饰的店</t>
        </is>
      </c>
      <c r="M1171">
        <v>18000</v>
      </c>
      <c r="N1171">
        <v>4.63</v>
      </c>
      <c r="O1171">
        <v>71000</v>
      </c>
      <c r="P1171" t="inlineStr">
        <is>
          <t>689ae5e6d3dd4d00011316ef</t>
        </is>
      </c>
      <c r="Q1171" t="inlineStr">
        <is>
          <t>🚫重复</t>
        </is>
      </c>
      <c r="R1171" t="inlineStr">
        <is>
          <t>14周</t>
        </is>
      </c>
      <c r="S1171" t="inlineStr">
        <is>
          <t>0.48</t>
        </is>
      </c>
      <c r="T1171" t="inlineStr">
        <is>
          <t>服饰穿搭</t>
        </is>
      </c>
      <c r="U1171" t="inlineStr">
        <is>
          <t>女装</t>
        </is>
      </c>
      <c r="V1171" s="3">
        <v>46117.927083333336</v>
      </c>
      <c r="W1171" t="inlineStr">
        <is>
          <t>2026-Q2</t>
        </is>
      </c>
    </row>
    <row r="1172" ht="25.5" customHeight="1">
      <c r="A1172" t="inlineStr">
        <is>
          <t>2026春季新款显瘦黑色窄版直筒牛仔裤女高腰显瘦简约百搭阔腿裤子</t>
        </is>
      </c>
      <c r="B1172" t="inlineStr">
        <is>
          <t>recvfVt9jWfkAO.jpg</t>
        </is>
      </c>
      <c r="C1172" s="2" t="str">
        <f>=HYPERLINK("https://xhslink.com/m/5xSkeQkoFz2", "https://xhslink.com/m/5xSkeQkoFz2")</f>
        <v>https://xhslink.com/m/5xSkeQkoFz2</v>
      </c>
      <c r="D1172"/>
      <c r="E1172">
        <v>72000</v>
      </c>
      <c r="F1172">
        <v>109.9</v>
      </c>
      <c r="G1172">
        <v>89.9</v>
      </c>
      <c r="H1172">
        <v>300</v>
      </c>
      <c r="I1172" t="inlineStr">
        <is>
          <t>裤子</t>
        </is>
      </c>
      <c r="J1172" t="inlineStr">
        <is>
          <t>0.00</t>
        </is>
      </c>
      <c r="K1172" t="inlineStr">
        <is>
          <t>🔥低粉爆款</t>
        </is>
      </c>
      <c r="L1172" t="inlineStr">
        <is>
          <t>余一一私服的店</t>
        </is>
      </c>
      <c r="M1172">
        <v>8928</v>
      </c>
      <c r="N1172">
        <v>4.56</v>
      </c>
      <c r="O1172">
        <v>120000</v>
      </c>
      <c r="P1172" t="inlineStr">
        <is>
          <t>669f4716e3d2d900018ccaa3</t>
        </is>
      </c>
      <c r="Q1172" t="inlineStr">
        <is>
          <t>🚫重复</t>
        </is>
      </c>
      <c r="R1172" t="inlineStr">
        <is>
          <t>14周</t>
        </is>
      </c>
      <c r="S1172" t="inlineStr">
        <is>
          <t>8.06</t>
        </is>
      </c>
      <c r="T1172" t="inlineStr">
        <is>
          <t>服饰穿搭</t>
        </is>
      </c>
      <c r="U1172" t="inlineStr">
        <is>
          <t>女装</t>
        </is>
      </c>
      <c r="V1172" s="3">
        <v>46117.927083333336</v>
      </c>
      <c r="W1172" t="inlineStr">
        <is>
          <t>2026-Q2</t>
        </is>
      </c>
    </row>
    <row r="1173" ht="25.5" customHeight="1">
      <c r="A1173" t="inlineStr">
        <is>
          <t>酷酷裤裤不贴腿百搭喇叭裤拖地牛仔裤女常规美式辣妹阔腿裤</t>
        </is>
      </c>
      <c r="B1173" t="inlineStr">
        <is>
          <t>recvfVt9jWyAWe.jpg</t>
        </is>
      </c>
      <c r="C1173" s="2" t="str">
        <f>=HYPERLINK("https://xhslink.com/m/6ep4alS5tWi", "https://xhslink.com/m/6ep4alS5tWi")</f>
        <v>https://xhslink.com/m/6ep4alS5tWi</v>
      </c>
      <c r="D1173"/>
      <c r="E1173">
        <v>22000</v>
      </c>
      <c r="F1173">
        <v>119.99</v>
      </c>
      <c r="G1173">
        <v>109.99</v>
      </c>
      <c r="H1173">
        <v>300</v>
      </c>
      <c r="I1173" t="inlineStr">
        <is>
          <t>裤子</t>
        </is>
      </c>
      <c r="J1173" t="inlineStr">
        <is>
          <t>0.01</t>
        </is>
      </c>
      <c r="K1173"/>
      <c r="L1173" t="inlineStr">
        <is>
          <t>酷酷裤裤吖的店</t>
        </is>
      </c>
      <c r="M1173">
        <v>36000</v>
      </c>
      <c r="N1173">
        <v>4.55</v>
      </c>
      <c r="O1173">
        <v>207000</v>
      </c>
      <c r="P1173" t="inlineStr">
        <is>
          <t>688dc3d7e019f20001771a72</t>
        </is>
      </c>
      <c r="Q1173" t="inlineStr">
        <is>
          <t>🚫重复</t>
        </is>
      </c>
      <c r="R1173" t="inlineStr">
        <is>
          <t>14周</t>
        </is>
      </c>
      <c r="S1173" t="inlineStr">
        <is>
          <t>0.61</t>
        </is>
      </c>
      <c r="T1173" t="inlineStr">
        <is>
          <t>服饰穿搭</t>
        </is>
      </c>
      <c r="U1173" t="inlineStr">
        <is>
          <t>女装</t>
        </is>
      </c>
      <c r="V1173" s="3">
        <v>46117.927083333336</v>
      </c>
      <c r="W1173" t="inlineStr">
        <is>
          <t>2026-Q2</t>
        </is>
      </c>
    </row>
    <row r="1174" ht="25.5" customHeight="1">
      <c r="A1174" t="inlineStr">
        <is>
          <t>【通勤·烟管裤】小直筒显瘦九分牛仔裤女高腰弹力梨形遮胯显瘦</t>
        </is>
      </c>
      <c r="B1174" t="inlineStr">
        <is>
          <t>recvfVt9jWH8xI.jpg</t>
        </is>
      </c>
      <c r="C1174" s="2" t="str">
        <f>=HYPERLINK("https://xhslink.com/m/7YrASzDTJNC", "https://xhslink.com/m/7YrASzDTJNC")</f>
        <v>https://xhslink.com/m/7YrASzDTJNC</v>
      </c>
      <c r="D1174"/>
      <c r="E1174">
        <v>16000</v>
      </c>
      <c r="F1174">
        <v>169.9</v>
      </c>
      <c r="G1174">
        <v>149.51</v>
      </c>
      <c r="H1174">
        <v>300</v>
      </c>
      <c r="I1174" t="inlineStr">
        <is>
          <t>裤子</t>
        </is>
      </c>
      <c r="J1174" t="inlineStr">
        <is>
          <t>0.02</t>
        </is>
      </c>
      <c r="K1174"/>
      <c r="L1174" t="inlineStr">
        <is>
          <t>ChouMei品质女裤的店</t>
        </is>
      </c>
      <c r="M1174">
        <v>44000</v>
      </c>
      <c r="N1174">
        <v>4.56</v>
      </c>
      <c r="O1174">
        <v>171000</v>
      </c>
      <c r="P1174" t="inlineStr">
        <is>
          <t>69b79d4de95b340001af3d9f</t>
        </is>
      </c>
      <c r="Q1174" t="inlineStr">
        <is>
          <t>🚫重复</t>
        </is>
      </c>
      <c r="R1174" t="inlineStr">
        <is>
          <t>14周</t>
        </is>
      </c>
      <c r="S1174" t="inlineStr">
        <is>
          <t>0.36</t>
        </is>
      </c>
      <c r="T1174" t="inlineStr">
        <is>
          <t>服饰穿搭</t>
        </is>
      </c>
      <c r="U1174" t="inlineStr">
        <is>
          <t>女装</t>
        </is>
      </c>
      <c r="V1174" s="3">
        <v>46117.927083333336</v>
      </c>
      <c r="W1174" t="inlineStr">
        <is>
          <t>2026-Q2</t>
        </is>
      </c>
    </row>
    <row r="1175" ht="25.5" customHeight="1">
      <c r="A1175" t="inlineStr">
        <is>
          <t>【到手4包】魔芋凉面开袋即食免煮方便食品凉拌低脂宵夜零食</t>
        </is>
      </c>
      <c r="B1175" t="inlineStr">
        <is>
          <t>recvfVt9jWrySB.jpg</t>
        </is>
      </c>
      <c r="C1175" s="2" t="str">
        <f>=HYPERLINK("https://xhslink.com/m/15QoMx4zcOq", "https://xhslink.com/m/15QoMx4zcOq")</f>
        <v>https://xhslink.com/m/15QoMx4zcOq</v>
      </c>
      <c r="D1175"/>
      <c r="E1175">
        <v>36000</v>
      </c>
      <c r="F1175">
        <v>12.9</v>
      </c>
      <c r="G1175"/>
      <c r="H1175">
        <v>300</v>
      </c>
      <c r="I1175" t="inlineStr">
        <is>
          <t>低卡食物</t>
        </is>
      </c>
      <c r="J1175" t="inlineStr">
        <is>
          <t>0.01</t>
        </is>
      </c>
      <c r="K1175" t="inlineStr">
        <is>
          <t>🔥低粉爆款</t>
        </is>
      </c>
      <c r="L1175" t="inlineStr">
        <is>
          <t>安晓安低卡轻饮食的店</t>
        </is>
      </c>
      <c r="M1175">
        <v>1278</v>
      </c>
      <c r="N1175">
        <v>4.31</v>
      </c>
      <c r="O1175">
        <v>40000</v>
      </c>
      <c r="P1175" t="inlineStr">
        <is>
          <t>688313a5956aac0015076fb7</t>
        </is>
      </c>
      <c r="Q1175" t="inlineStr">
        <is>
          <t>🚫重复</t>
        </is>
      </c>
      <c r="R1175" t="inlineStr">
        <is>
          <t>14周</t>
        </is>
      </c>
      <c r="S1175" t="inlineStr">
        <is>
          <t>28.17</t>
        </is>
      </c>
      <c r="T1175" t="inlineStr">
        <is>
          <t>美食滋补</t>
        </is>
      </c>
      <c r="U1175" t="inlineStr">
        <is>
          <t>休闲零食</t>
        </is>
      </c>
      <c r="V1175" s="3">
        <v>46117.927083333336</v>
      </c>
      <c r="W1175" t="inlineStr">
        <is>
          <t>2026-Q2</t>
        </is>
      </c>
    </row>
    <row r="1176" ht="25.5" customHeight="1">
      <c r="A1176" t="inlineStr">
        <is>
          <t>月光少女小众韩系香蕉夹褶皱蝴蝶结高马尾香蕉夹高端时髦洋气淑女</t>
        </is>
      </c>
      <c r="B1176" t="inlineStr">
        <is>
          <t>recvfVt9jWAzWC.jpg</t>
        </is>
      </c>
      <c r="C1176" s="2" t="str">
        <f>=HYPERLINK("https://xhslink.com/m/9zUAsvvgSOC", "https://xhslink.com/m/9zUAsvvgSOC")</f>
        <v>https://xhslink.com/m/9zUAsvvgSOC</v>
      </c>
      <c r="D1176"/>
      <c r="E1176">
        <v>41000</v>
      </c>
      <c r="F1176">
        <v>23.8</v>
      </c>
      <c r="G1176">
        <v>13.8</v>
      </c>
      <c r="H1176">
        <v>300</v>
      </c>
      <c r="I1176" t="inlineStr">
        <is>
          <t>配饰</t>
        </is>
      </c>
      <c r="J1176" t="inlineStr">
        <is>
          <t>0.01</t>
        </is>
      </c>
      <c r="K1176"/>
      <c r="L1176" t="inlineStr">
        <is>
          <t>fairy mu的店的店</t>
        </is>
      </c>
      <c r="M1176">
        <v>49000</v>
      </c>
      <c r="N1176">
        <v>4.55</v>
      </c>
      <c r="O1176">
        <v>358000</v>
      </c>
      <c r="P1176" t="inlineStr">
        <is>
          <t>693a69a29373f200019bed9d</t>
        </is>
      </c>
      <c r="Q1176" t="inlineStr">
        <is>
          <t>🚫重复</t>
        </is>
      </c>
      <c r="R1176" t="inlineStr">
        <is>
          <t>14周</t>
        </is>
      </c>
      <c r="S1176" t="inlineStr">
        <is>
          <t>0.84</t>
        </is>
      </c>
      <c r="T1176" t="inlineStr">
        <is>
          <t>服饰穿搭</t>
        </is>
      </c>
      <c r="U1176" t="inlineStr">
        <is>
          <t>配饰</t>
        </is>
      </c>
      <c r="V1176" s="3">
        <v>46117.927083333336</v>
      </c>
      <c r="W1176" t="inlineStr">
        <is>
          <t>2026-Q2</t>
        </is>
      </c>
    </row>
    <row r="1177" ht="25.5" customHeight="1">
      <c r="A1177" t="inlineStr">
        <is>
          <t>【预售】记忆八爪录像带原创设计 章鱼汪毛绒挂件玩偶礼物包挂</t>
        </is>
      </c>
      <c r="B1177" t="inlineStr">
        <is>
          <t>recvfVt9jWtDpe.jpg</t>
        </is>
      </c>
      <c r="C1177" s="2" t="str">
        <f>=HYPERLINK("https://xhslink.com/m/7pAuTvYksvv", "https://xhslink.com/m/7pAuTvYksvv")</f>
        <v>https://xhslink.com/m/7pAuTvYksvv</v>
      </c>
      <c r="D1177"/>
      <c r="E1177">
        <v>521</v>
      </c>
      <c r="F1177">
        <v>38.9</v>
      </c>
      <c r="G1177"/>
      <c r="H1177">
        <v>300</v>
      </c>
      <c r="I1177" t="inlineStr">
        <is>
          <t>小玩偶</t>
        </is>
      </c>
      <c r="J1177" t="inlineStr">
        <is>
          <t>0.58</t>
        </is>
      </c>
      <c r="K1177"/>
      <c r="L1177" t="inlineStr">
        <is>
          <t>打工兽Work Fuzz的店</t>
        </is>
      </c>
      <c r="M1177">
        <v>6511</v>
      </c>
      <c r="N1177">
        <v>4.46</v>
      </c>
      <c r="O1177">
        <v>10000</v>
      </c>
      <c r="P1177" t="inlineStr">
        <is>
          <t>69bb9e4f180bf40001e9beee</t>
        </is>
      </c>
      <c r="Q1177" t="inlineStr">
        <is>
          <t>🚫重复</t>
        </is>
      </c>
      <c r="R1177" t="inlineStr">
        <is>
          <t>14周</t>
        </is>
      </c>
      <c r="S1177" t="inlineStr">
        <is>
          <t>0.08</t>
        </is>
      </c>
      <c r="T1177" t="inlineStr">
        <is>
          <t>母婴亲子</t>
        </is>
      </c>
      <c r="U1177" t="inlineStr">
        <is>
          <t>玩具早教</t>
        </is>
      </c>
      <c r="V1177" s="3">
        <v>46117.927083333336</v>
      </c>
      <c r="W1177" t="inlineStr">
        <is>
          <t>2026-Q2</t>
        </is>
      </c>
    </row>
    <row r="1178" ht="25.5" customHeight="1">
      <c r="A1178" t="inlineStr">
        <is>
          <t>显瘦纯色正肩短袖T恤女夏休闲百搭修身上衣</t>
        </is>
      </c>
      <c r="B1178" t="inlineStr">
        <is>
          <t>recvg1BD7UeU7D.jpg</t>
        </is>
      </c>
      <c r="C1178" s="2" t="str">
        <f>=HYPERLINK("https://xhslink.com/m/7JD87tWGZ5O", "https://xhslink.com/m/7JD87tWGZ5O")</f>
        <v>https://xhslink.com/m/7JD87tWGZ5O</v>
      </c>
      <c r="D1178"/>
      <c r="E1178">
        <v>107000</v>
      </c>
      <c r="F1178">
        <v>29.9</v>
      </c>
      <c r="G1178"/>
      <c r="H1178">
        <v>300</v>
      </c>
      <c r="I1178" t="inlineStr">
        <is>
          <t>T恤</t>
        </is>
      </c>
      <c r="J1178" t="inlineStr">
        <is>
          <t>0.00</t>
        </is>
      </c>
      <c r="K1178" t="inlineStr">
        <is>
          <t>🔥低粉爆款</t>
        </is>
      </c>
      <c r="L1178" t="inlineStr">
        <is>
          <t>野GUGU女装服饰的店</t>
        </is>
      </c>
      <c r="M1178">
        <v>8237</v>
      </c>
      <c r="N1178">
        <v>4.62</v>
      </c>
      <c r="O1178">
        <v>127000</v>
      </c>
      <c r="P1178" t="inlineStr">
        <is>
          <t>65e0454db3f28d000103e14f</t>
        </is>
      </c>
      <c r="Q1178" t="inlineStr">
        <is>
          <t>🚫重复</t>
        </is>
      </c>
      <c r="R1178" t="inlineStr">
        <is>
          <t>15周</t>
        </is>
      </c>
      <c r="S1178" t="inlineStr">
        <is>
          <t>12.99</t>
        </is>
      </c>
      <c r="T1178" t="inlineStr">
        <is>
          <t>服饰穿搭</t>
        </is>
      </c>
      <c r="U1178" t="inlineStr">
        <is>
          <t>女装</t>
        </is>
      </c>
      <c r="V1178" s="3">
        <v>46118.9765625</v>
      </c>
      <c r="W1178" t="inlineStr">
        <is>
          <t>2026-Q2</t>
        </is>
      </c>
    </row>
    <row r="1179" ht="25.5" customHeight="1">
      <c r="A1179" t="inlineStr">
        <is>
          <t>一只圆目 版型超好！松弛感大V领短袖t恤女慵懒休闲上衣250222</t>
        </is>
      </c>
      <c r="B1179" t="inlineStr">
        <is>
          <t>recvg1BDH5VZSF.jpg</t>
        </is>
      </c>
      <c r="C1179" s="2" t="str">
        <f>=HYPERLINK("https://xhslink.com/m/8zry1iMVtqa", "https://xhslink.com/m/8zry1iMVtqa")</f>
        <v>https://xhslink.com/m/8zry1iMVtqa</v>
      </c>
      <c r="D1179"/>
      <c r="E1179">
        <v>6749</v>
      </c>
      <c r="F1179">
        <v>59</v>
      </c>
      <c r="G1179"/>
      <c r="H1179">
        <v>300</v>
      </c>
      <c r="I1179" t="inlineStr">
        <is>
          <t>T恤</t>
        </is>
      </c>
      <c r="J1179" t="inlineStr">
        <is>
          <t>0.04</t>
        </is>
      </c>
      <c r="K1179"/>
      <c r="L1179" t="inlineStr">
        <is>
          <t>一只圆目的店</t>
        </is>
      </c>
      <c r="M1179">
        <v>31000</v>
      </c>
      <c r="N1179">
        <v>4.59</v>
      </c>
      <c r="O1179">
        <v>232000</v>
      </c>
      <c r="P1179" t="inlineStr">
        <is>
          <t>6864f9f67ec78a00013d268c</t>
        </is>
      </c>
      <c r="Q1179" t="inlineStr">
        <is>
          <t>🚫重复</t>
        </is>
      </c>
      <c r="R1179" t="inlineStr">
        <is>
          <t>15周</t>
        </is>
      </c>
      <c r="S1179" t="inlineStr">
        <is>
          <t>0.22</t>
        </is>
      </c>
      <c r="T1179" t="inlineStr">
        <is>
          <t>服饰穿搭</t>
        </is>
      </c>
      <c r="U1179" t="inlineStr">
        <is>
          <t>女装</t>
        </is>
      </c>
      <c r="V1179" s="3">
        <v>46118.97659722222</v>
      </c>
      <c r="W1179" t="inlineStr">
        <is>
          <t>2026-Q2</t>
        </is>
      </c>
    </row>
    <row r="1180" ht="25.5" customHeight="1">
      <c r="A1180" t="inlineStr">
        <is>
          <t>COOLPLAN · 我只想睡觉松弛感 设计师趣味时间印花小众重磅男女款夏季短袖T恤</t>
        </is>
      </c>
      <c r="B1180" t="inlineStr">
        <is>
          <t>recvg1BDH5oqXN.jpg</t>
        </is>
      </c>
      <c r="C1180" s="2" t="str">
        <f>=HYPERLINK("https://xhslink.com/m/5SD7t1d1GyM", "https://xhslink.com/m/5SD7t1d1GyM")</f>
        <v>https://xhslink.com/m/5SD7t1d1GyM</v>
      </c>
      <c r="D1180"/>
      <c r="E1180">
        <v>27000</v>
      </c>
      <c r="F1180">
        <v>49.8</v>
      </c>
      <c r="G1180">
        <v>39.8</v>
      </c>
      <c r="H1180">
        <v>300</v>
      </c>
      <c r="I1180" t="inlineStr">
        <is>
          <t>T恤</t>
        </is>
      </c>
      <c r="J1180" t="inlineStr">
        <is>
          <t>0.01</t>
        </is>
      </c>
      <c r="K1180"/>
      <c r="L1180" t="inlineStr">
        <is>
          <t>COOL PLAN的店</t>
        </is>
      </c>
      <c r="M1180">
        <v>13000</v>
      </c>
      <c r="N1180">
        <v>4.71</v>
      </c>
      <c r="O1180">
        <v>54000</v>
      </c>
      <c r="P1180" t="inlineStr">
        <is>
          <t>682bf91e3aa6a6001550ab6a</t>
        </is>
      </c>
      <c r="Q1180" t="inlineStr">
        <is>
          <t>🚫重复</t>
        </is>
      </c>
      <c r="R1180" t="inlineStr">
        <is>
          <t>15周</t>
        </is>
      </c>
      <c r="S1180" t="inlineStr">
        <is>
          <t>2.08</t>
        </is>
      </c>
      <c r="T1180" t="inlineStr">
        <is>
          <t>服饰穿搭</t>
        </is>
      </c>
      <c r="U1180" t="inlineStr">
        <is>
          <t>女装</t>
        </is>
      </c>
      <c r="V1180" s="3">
        <v>46118.97659722222</v>
      </c>
      <c r="W1180" t="inlineStr">
        <is>
          <t>2026-Q2</t>
        </is>
      </c>
    </row>
    <row r="1181" ht="25.5" customHeight="1">
      <c r="A1181" t="inlineStr">
        <is>
          <t>夏季多巴胺日系纯棉短袖t恤女短款修身别致设计感百搭小众上衣</t>
        </is>
      </c>
      <c r="B1181" t="inlineStr">
        <is>
          <t>recvg1BDH59G4r.jpg</t>
        </is>
      </c>
      <c r="C1181" s="2" t="str">
        <f>=HYPERLINK("https://xhslink.com/m/6gdTC0AsKP8", "https://xhslink.com/m/6gdTC0AsKP8")</f>
        <v>https://xhslink.com/m/6gdTC0AsKP8</v>
      </c>
      <c r="D1181"/>
      <c r="E1181">
        <v>2926</v>
      </c>
      <c r="F1181">
        <v>49.8</v>
      </c>
      <c r="G1181">
        <v>39.8</v>
      </c>
      <c r="H1181">
        <v>300</v>
      </c>
      <c r="I1181" t="inlineStr">
        <is>
          <t>T恤</t>
        </is>
      </c>
      <c r="J1181" t="inlineStr">
        <is>
          <t>0.10</t>
        </is>
      </c>
      <c r="K1181"/>
      <c r="L1181" t="inlineStr">
        <is>
          <t>杨听听原创服装的店</t>
        </is>
      </c>
      <c r="M1181">
        <v>1644</v>
      </c>
      <c r="N1181">
        <v>4.48</v>
      </c>
      <c r="O1181">
        <v>21000</v>
      </c>
      <c r="P1181" t="inlineStr">
        <is>
          <t>684796defab3990001b814b6</t>
        </is>
      </c>
      <c r="Q1181" t="inlineStr">
        <is>
          <t>🚫重复</t>
        </is>
      </c>
      <c r="R1181" t="inlineStr">
        <is>
          <t>15周</t>
        </is>
      </c>
      <c r="S1181" t="inlineStr">
        <is>
          <t>1.78</t>
        </is>
      </c>
      <c r="T1181" t="inlineStr">
        <is>
          <t>服饰穿搭</t>
        </is>
      </c>
      <c r="U1181" t="inlineStr">
        <is>
          <t>女装</t>
        </is>
      </c>
      <c r="V1181" s="3">
        <v>46118.97659722222</v>
      </c>
      <c r="W1181" t="inlineStr">
        <is>
          <t>2026-Q2</t>
        </is>
      </c>
    </row>
    <row r="1182" ht="25.5" customHeight="1">
      <c r="A1182" t="inlineStr">
        <is>
          <t>居家健身小哑铃女士家用一体式练手臂背部运动力量训练器材初学者</t>
        </is>
      </c>
      <c r="B1182" t="inlineStr">
        <is>
          <t>recvg1BDH5CoZg.jpg</t>
        </is>
      </c>
      <c r="C1182" s="2" t="str">
        <f>=HYPERLINK("https://xhslink.com/m/1NHnWoZVgvU", "https://xhslink.com/m/1NHnWoZVgvU")</f>
        <v>https://xhslink.com/m/1NHnWoZVgvU</v>
      </c>
      <c r="D1182"/>
      <c r="E1182">
        <v>1048</v>
      </c>
      <c r="F1182">
        <v>39.9</v>
      </c>
      <c r="G1182">
        <v>19.9</v>
      </c>
      <c r="H1182">
        <v>300</v>
      </c>
      <c r="I1182" t="inlineStr">
        <is>
          <t>健身</t>
        </is>
      </c>
      <c r="J1182" t="inlineStr">
        <is>
          <t>0.29</t>
        </is>
      </c>
      <c r="K1182" t="inlineStr">
        <is>
          <t>🔥低粉爆款</t>
        </is>
      </c>
      <c r="L1182" t="inlineStr">
        <is>
          <t>王驼驼的店</t>
        </is>
      </c>
      <c r="M1182">
        <v>17</v>
      </c>
      <c r="N1182">
        <v>4.47</v>
      </c>
      <c r="O1182">
        <v>787</v>
      </c>
      <c r="P1182" t="inlineStr">
        <is>
          <t>69c1fee1964c0f001547c651</t>
        </is>
      </c>
      <c r="Q1182"/>
      <c r="R1182" t="inlineStr">
        <is>
          <t>15周</t>
        </is>
      </c>
      <c r="S1182" t="inlineStr">
        <is>
          <t>61.65</t>
        </is>
      </c>
      <c r="T1182" t="inlineStr">
        <is>
          <t>运动潮玩</t>
        </is>
      </c>
      <c r="U1182" t="inlineStr">
        <is>
          <t>运动户外装备</t>
        </is>
      </c>
      <c r="V1182" s="3">
        <v>46118.97659722222</v>
      </c>
      <c r="W1182" t="inlineStr">
        <is>
          <t>2026-Q2</t>
        </is>
      </c>
    </row>
    <row r="1183" ht="25.5" customHeight="1">
      <c r="A1183" t="inlineStr">
        <is>
          <t>宏克佳 · 【贾丽亚】美神降临同款负重手环跳操普拉提跑步舞蹈骑行臀腿增强</t>
        </is>
      </c>
      <c r="B1183" t="inlineStr">
        <is>
          <t>recvg1BDH5MVRz.jpg</t>
        </is>
      </c>
      <c r="C1183" s="2" t="str">
        <f>=HYPERLINK("https://xhslink.com/m/LlDTQ7OaI5", "https://xhslink.com/m/LlDTQ7OaI5")</f>
        <v>https://xhslink.com/m/LlDTQ7OaI5</v>
      </c>
      <c r="D1183"/>
      <c r="E1183">
        <v>15000</v>
      </c>
      <c r="F1183">
        <v>59.9</v>
      </c>
      <c r="G1183"/>
      <c r="H1183">
        <v>300</v>
      </c>
      <c r="I1183" t="inlineStr">
        <is>
          <t>健身</t>
        </is>
      </c>
      <c r="J1183" t="inlineStr">
        <is>
          <t>0.02</t>
        </is>
      </c>
      <c r="K1183" t="inlineStr">
        <is>
          <t>🔥低粉爆款</t>
        </is>
      </c>
      <c r="L1183" t="inlineStr">
        <is>
          <t>宏克佳轻运动的店</t>
        </is>
      </c>
      <c r="M1183">
        <v>4921</v>
      </c>
      <c r="N1183">
        <v>4.54</v>
      </c>
      <c r="O1183">
        <v>196000</v>
      </c>
      <c r="P1183" t="inlineStr">
        <is>
          <t>64722ad1d171fa00017ac889</t>
        </is>
      </c>
      <c r="Q1183" t="inlineStr">
        <is>
          <t>🚫重复</t>
        </is>
      </c>
      <c r="R1183" t="inlineStr">
        <is>
          <t>15周</t>
        </is>
      </c>
      <c r="S1183" t="inlineStr">
        <is>
          <t>3.05</t>
        </is>
      </c>
      <c r="T1183" t="inlineStr">
        <is>
          <t>运动潮玩</t>
        </is>
      </c>
      <c r="U1183" t="inlineStr">
        <is>
          <t>运动户外装备</t>
        </is>
      </c>
      <c r="V1183" s="3">
        <v>46118.97659722222</v>
      </c>
      <c r="W1183" t="inlineStr">
        <is>
          <t>2026-Q2</t>
        </is>
      </c>
    </row>
    <row r="1184" ht="25.5" customHeight="1">
      <c r="A1184" t="inlineStr">
        <is>
          <t>Vibram · 【达人专属】五指鞋女室内健身运动瑜伽普拉提鞋舞蹈训练鞋VSOUL</t>
        </is>
      </c>
      <c r="B1184" t="inlineStr">
        <is>
          <t>recvg1BDH51MAw.jpg</t>
        </is>
      </c>
      <c r="C1184" s="2" t="str">
        <f>=HYPERLINK("https://xhslink.com/m/1QWQq95IQ7z", "https://xhslink.com/m/1QWQq95IQ7z")</f>
        <v>https://xhslink.com/m/1QWQq95IQ7z</v>
      </c>
      <c r="D1184"/>
      <c r="E1184">
        <v>9735</v>
      </c>
      <c r="F1184">
        <v>690</v>
      </c>
      <c r="G1184"/>
      <c r="H1184">
        <v>300</v>
      </c>
      <c r="I1184" t="inlineStr">
        <is>
          <t>健身</t>
        </is>
      </c>
      <c r="J1184" t="inlineStr">
        <is>
          <t>0.03</t>
        </is>
      </c>
      <c r="K1184" t="inlineStr">
        <is>
          <t>🔥低粉爆款</t>
        </is>
      </c>
      <c r="L1184" t="inlineStr">
        <is>
          <t>五指鞋健身运动的店</t>
        </is>
      </c>
      <c r="M1184">
        <v>1187</v>
      </c>
      <c r="N1184">
        <v>4.71</v>
      </c>
      <c r="O1184">
        <v>23000</v>
      </c>
      <c r="P1184" t="inlineStr">
        <is>
          <t>682e90ede0a2f500013e65dd</t>
        </is>
      </c>
      <c r="Q1184" t="inlineStr">
        <is>
          <t>🚫重复</t>
        </is>
      </c>
      <c r="R1184" t="inlineStr">
        <is>
          <t>15周</t>
        </is>
      </c>
      <c r="S1184" t="inlineStr">
        <is>
          <t>8.20</t>
        </is>
      </c>
      <c r="T1184" t="inlineStr">
        <is>
          <t>运动潮玩</t>
        </is>
      </c>
      <c r="U1184" t="inlineStr">
        <is>
          <t>运动户外装备</t>
        </is>
      </c>
      <c r="V1184" s="3">
        <v>46118.97659722222</v>
      </c>
      <c r="W1184" t="inlineStr">
        <is>
          <t>2026-Q2</t>
        </is>
      </c>
    </row>
    <row r="1185" ht="25.5" customHeight="1">
      <c r="A1185" t="inlineStr">
        <is>
          <t>SIINSIIN · 杨幂同款微喇裤6.0pro女新款春季加绒瑜伽裤保暖黑色鲨鱼喇叭裤</t>
        </is>
      </c>
      <c r="B1185" t="inlineStr">
        <is>
          <t>recvg1BDH5Qq1O.jpg</t>
        </is>
      </c>
      <c r="C1185" s="2" t="str">
        <f>=HYPERLINK("https://xhslink.com/m/8Wy2v5PSMxf", "https://xhslink.com/m/8Wy2v5PSMxf")</f>
        <v>https://xhslink.com/m/8Wy2v5PSMxf</v>
      </c>
      <c r="D1185"/>
      <c r="E1185">
        <v>10000</v>
      </c>
      <c r="F1185">
        <v>269.9</v>
      </c>
      <c r="G1185">
        <v>169.9</v>
      </c>
      <c r="H1185">
        <v>300</v>
      </c>
      <c r="I1185" t="inlineStr">
        <is>
          <t>健身</t>
        </is>
      </c>
      <c r="J1185" t="inlineStr">
        <is>
          <t>0.03</t>
        </is>
      </c>
      <c r="K1185"/>
      <c r="L1185" t="inlineStr">
        <is>
          <t>SIINSIIN女装穿搭专卖店</t>
        </is>
      </c>
      <c r="M1185">
        <v>32000</v>
      </c>
      <c r="N1185">
        <v>4.72</v>
      </c>
      <c r="O1185">
        <v>456000</v>
      </c>
      <c r="P1185" t="inlineStr">
        <is>
          <t>67ab1c5e8252370001caec63</t>
        </is>
      </c>
      <c r="Q1185" t="inlineStr">
        <is>
          <t>🚫重复</t>
        </is>
      </c>
      <c r="R1185" t="inlineStr">
        <is>
          <t>15周</t>
        </is>
      </c>
      <c r="S1185" t="inlineStr">
        <is>
          <t>0.31</t>
        </is>
      </c>
      <c r="T1185" t="inlineStr">
        <is>
          <t>服饰穿搭</t>
        </is>
      </c>
      <c r="U1185" t="inlineStr">
        <is>
          <t>女装</t>
        </is>
      </c>
      <c r="V1185" s="3">
        <v>46118.97659722222</v>
      </c>
      <c r="W1185" t="inlineStr">
        <is>
          <t>2026-Q2</t>
        </is>
      </c>
    </row>
    <row r="1186" ht="25.5" customHeight="1">
      <c r="A1186" t="inlineStr">
        <is>
          <t>运动背心螺纹带胸垫瑜伽上衣透气健身服</t>
        </is>
      </c>
      <c r="B1186" t="inlineStr">
        <is>
          <t>recvg1BDH5Wnd9.jpg</t>
        </is>
      </c>
      <c r="C1186" s="2" t="str">
        <f>=HYPERLINK("https://xhslink.com/m/4isQa7J3whD", "https://xhslink.com/m/4isQa7J3whD")</f>
        <v>https://xhslink.com/m/4isQa7J3whD</v>
      </c>
      <c r="D1186"/>
      <c r="E1186">
        <v>13000</v>
      </c>
      <c r="F1186">
        <v>89</v>
      </c>
      <c r="G1186"/>
      <c r="H1186">
        <v>300</v>
      </c>
      <c r="I1186" t="inlineStr">
        <is>
          <t>健身</t>
        </is>
      </c>
      <c r="J1186" t="inlineStr">
        <is>
          <t>0.02</t>
        </is>
      </c>
      <c r="K1186" t="inlineStr">
        <is>
          <t>🔥低粉爆款</t>
        </is>
      </c>
      <c r="L1186" t="inlineStr">
        <is>
          <t>小橙子YO的店</t>
        </is>
      </c>
      <c r="M1186">
        <v>1925</v>
      </c>
      <c r="N1186">
        <v>4.58</v>
      </c>
      <c r="O1186">
        <v>22000</v>
      </c>
      <c r="P1186" t="inlineStr">
        <is>
          <t>669a84b48f65230001bd51c3</t>
        </is>
      </c>
      <c r="Q1186" t="inlineStr">
        <is>
          <t>🚫重复</t>
        </is>
      </c>
      <c r="R1186" t="inlineStr">
        <is>
          <t>15周</t>
        </is>
      </c>
      <c r="S1186" t="inlineStr">
        <is>
          <t>6.75</t>
        </is>
      </c>
      <c r="T1186" t="inlineStr">
        <is>
          <t>运动潮玩</t>
        </is>
      </c>
      <c r="U1186" t="inlineStr">
        <is>
          <t>运动户外装备</t>
        </is>
      </c>
      <c r="V1186" s="3">
        <v>46118.97659722222</v>
      </c>
      <c r="W1186" t="inlineStr">
        <is>
          <t>2026-Q2</t>
        </is>
      </c>
    </row>
    <row r="1187" ht="25.5" customHeight="1">
      <c r="A1187" t="inlineStr">
        <is>
          <t>【A类60S全棉大提花】四季款-四件套</t>
        </is>
      </c>
      <c r="B1187" t="inlineStr">
        <is>
          <t>recvg1BDH5xCeN.jpg</t>
        </is>
      </c>
      <c r="C1187" s="2" t="str">
        <f>=HYPERLINK("https://xhslink.com/m/380FmH8UaD7", "https://xhslink.com/m/380FmH8UaD7")</f>
        <v>https://xhslink.com/m/380FmH8UaD7</v>
      </c>
      <c r="D1187"/>
      <c r="E1187">
        <v>17000</v>
      </c>
      <c r="F1187">
        <v>298</v>
      </c>
      <c r="G1187">
        <v>193</v>
      </c>
      <c r="H1187">
        <v>300</v>
      </c>
      <c r="I1187" t="inlineStr">
        <is>
          <t>卧室</t>
        </is>
      </c>
      <c r="J1187" t="inlineStr">
        <is>
          <t>0.02</t>
        </is>
      </c>
      <c r="K1187" t="inlineStr">
        <is>
          <t>🔥低粉爆款</t>
        </is>
      </c>
      <c r="L1187" t="inlineStr">
        <is>
          <t>小春日禾家居的店</t>
        </is>
      </c>
      <c r="M1187">
        <v>867</v>
      </c>
      <c r="N1187">
        <v>4.66</v>
      </c>
      <c r="O1187">
        <v>19000</v>
      </c>
      <c r="P1187" t="inlineStr">
        <is>
          <t>68ee084aec5b430015190f07</t>
        </is>
      </c>
      <c r="Q1187"/>
      <c r="R1187" t="inlineStr">
        <is>
          <t>15周</t>
        </is>
      </c>
      <c r="S1187" t="inlineStr">
        <is>
          <t>19.61</t>
        </is>
      </c>
      <c r="T1187" t="inlineStr">
        <is>
          <t>家居生活</t>
        </is>
      </c>
      <c r="U1187" t="inlineStr">
        <is>
          <t>家具家装</t>
        </is>
      </c>
      <c r="V1187" s="3">
        <v>46118.97659722222</v>
      </c>
      <c r="W1187" t="inlineStr">
        <is>
          <t>2026-Q2</t>
        </is>
      </c>
    </row>
    <row r="1188" ht="25.5" customHeight="1">
      <c r="A1188" t="inlineStr">
        <is>
          <t>GUNAI·棉柔合集 65x65方巾（完美主义者慎拍）</t>
        </is>
      </c>
      <c r="B1188" t="inlineStr">
        <is>
          <t>recvg1BDH59UL2.jpg</t>
        </is>
      </c>
      <c r="C1188" s="2" t="str">
        <f>=HYPERLINK("https://xhslink.com/m/8c2MQvfmaBV", "https://xhslink.com/m/8c2MQvfmaBV")</f>
        <v>https://xhslink.com/m/8c2MQvfmaBV</v>
      </c>
      <c r="D1188"/>
      <c r="E1188">
        <v>43000</v>
      </c>
      <c r="F1188">
        <v>19.9</v>
      </c>
      <c r="G1188">
        <v>16.9</v>
      </c>
      <c r="H1188">
        <v>300</v>
      </c>
      <c r="I1188" t="inlineStr">
        <is>
          <t>浴室用品</t>
        </is>
      </c>
      <c r="J1188" t="inlineStr">
        <is>
          <t>0.01</t>
        </is>
      </c>
      <c r="K1188"/>
      <c r="L1188" t="inlineStr">
        <is>
          <t>顾萘丝巾铺的店</t>
        </is>
      </c>
      <c r="M1188">
        <v>48000</v>
      </c>
      <c r="N1188">
        <v>4.52</v>
      </c>
      <c r="O1188">
        <v>72000</v>
      </c>
      <c r="P1188" t="inlineStr">
        <is>
          <t>68175161cd029e0001ef4add</t>
        </is>
      </c>
      <c r="Q1188" t="inlineStr">
        <is>
          <t>🚫重复</t>
        </is>
      </c>
      <c r="R1188" t="inlineStr">
        <is>
          <t>15周</t>
        </is>
      </c>
      <c r="S1188" t="inlineStr">
        <is>
          <t>0.90</t>
        </is>
      </c>
      <c r="T1188" t="inlineStr">
        <is>
          <t>家居生活</t>
        </is>
      </c>
      <c r="U1188" t="inlineStr">
        <is>
          <t>家居日用</t>
        </is>
      </c>
      <c r="V1188" s="3">
        <v>46118.97659722222</v>
      </c>
      <c r="W1188" t="inlineStr">
        <is>
          <t>2026-Q2</t>
        </is>
      </c>
    </row>
    <row r="1189" ht="25.5" customHeight="1">
      <c r="A1189" t="inlineStr">
        <is>
          <t>维多利亚的秘密 · 维密单依纯同款宅度假天丝绵柔印花不易皱家居服套装睡衣女</t>
        </is>
      </c>
      <c r="B1189" t="inlineStr">
        <is>
          <t>recvg1BDH56oQ5.jpg</t>
        </is>
      </c>
      <c r="C1189" s="2" t="str">
        <f>=HYPERLINK("https://xhslink.com/m/9VkrYf32uhC", "https://xhslink.com/m/9VkrYf32uhC")</f>
        <v>https://xhslink.com/m/9VkrYf32uhC</v>
      </c>
      <c r="D1189"/>
      <c r="E1189">
        <v>13000</v>
      </c>
      <c r="F1189">
        <v>528</v>
      </c>
      <c r="G1189">
        <v>318</v>
      </c>
      <c r="H1189">
        <v>300</v>
      </c>
      <c r="I1189" t="inlineStr">
        <is>
          <t>浴室用品</t>
        </is>
      </c>
      <c r="J1189" t="inlineStr">
        <is>
          <t>0.02</t>
        </is>
      </c>
      <c r="K1189"/>
      <c r="L1189" t="inlineStr">
        <is>
          <t>维多利亚的秘密旗舰店</t>
        </is>
      </c>
      <c r="M1189">
        <v>250000</v>
      </c>
      <c r="N1189">
        <v>4.77</v>
      </c>
      <c r="O1189">
        <v>828000</v>
      </c>
      <c r="P1189" t="inlineStr">
        <is>
          <t>678e3e17bac2510001808f37</t>
        </is>
      </c>
      <c r="Q1189" t="inlineStr">
        <is>
          <t>🚫重复</t>
        </is>
      </c>
      <c r="R1189" t="inlineStr">
        <is>
          <t>15周</t>
        </is>
      </c>
      <c r="S1189" t="inlineStr">
        <is>
          <t>0.05</t>
        </is>
      </c>
      <c r="T1189" t="inlineStr">
        <is>
          <t>家居生活</t>
        </is>
      </c>
      <c r="U1189" t="inlineStr">
        <is>
          <t>家居日用</t>
        </is>
      </c>
      <c r="V1189" s="3">
        <v>46118.97659722222</v>
      </c>
      <c r="W1189" t="inlineStr">
        <is>
          <t>2026-Q2</t>
        </is>
      </c>
    </row>
    <row r="1190" ht="25.5" customHeight="1">
      <c r="A1190" t="inlineStr">
        <is>
          <t>低脂鸡肉薄皮肉燕小馄饨轻食健身鸡胸肉扁食云吞早餐半成品低卡</t>
        </is>
      </c>
      <c r="B1190" t="inlineStr">
        <is>
          <t>recvg1BDH5WpLx.jpg</t>
        </is>
      </c>
      <c r="C1190" s="2" t="str">
        <f>=HYPERLINK("https://xhslink.com/m/6H0nCN3Xolc", "https://xhslink.com/m/6H0nCN3Xolc")</f>
        <v>https://xhslink.com/m/6H0nCN3Xolc</v>
      </c>
      <c r="D1190"/>
      <c r="E1190">
        <v>27000</v>
      </c>
      <c r="F1190">
        <v>79.9</v>
      </c>
      <c r="G1190"/>
      <c r="H1190">
        <v>300</v>
      </c>
      <c r="I1190" t="inlineStr">
        <is>
          <t>早餐</t>
        </is>
      </c>
      <c r="J1190" t="inlineStr">
        <is>
          <t>0.01</t>
        </is>
      </c>
      <c r="K1190" t="inlineStr">
        <is>
          <t>🔥低粉爆款</t>
        </is>
      </c>
      <c r="L1190" t="inlineStr">
        <is>
          <t>开心饼干（低卡轻食版）的店</t>
        </is>
      </c>
      <c r="M1190">
        <v>1415</v>
      </c>
      <c r="N1190">
        <v>4.57</v>
      </c>
      <c r="O1190">
        <v>27000</v>
      </c>
      <c r="P1190" t="inlineStr">
        <is>
          <t>67e3b6ec93132e0001ef4ec0</t>
        </is>
      </c>
      <c r="Q1190" t="inlineStr">
        <is>
          <t>🚫重复</t>
        </is>
      </c>
      <c r="R1190" t="inlineStr">
        <is>
          <t>15周</t>
        </is>
      </c>
      <c r="S1190" t="inlineStr">
        <is>
          <t>19.08</t>
        </is>
      </c>
      <c r="T1190" t="inlineStr">
        <is>
          <t>美食滋补</t>
        </is>
      </c>
      <c r="U1190" t="inlineStr">
        <is>
          <t>休闲零食</t>
        </is>
      </c>
      <c r="V1190" s="3">
        <v>46118.97659722222</v>
      </c>
      <c r="W1190" t="inlineStr">
        <is>
          <t>2026-Q2</t>
        </is>
      </c>
    </row>
    <row r="1191" ht="25.5" customHeight="1">
      <c r="A1191" t="inlineStr">
        <is>
          <t>【独立包装】七日计划膳食果蔬馒头手工不加蔗糖0油0添加剂早餐</t>
        </is>
      </c>
      <c r="B1191" t="inlineStr">
        <is>
          <t>recvg1BDH5d7nr.jpg</t>
        </is>
      </c>
      <c r="C1191" s="2" t="str">
        <f>=HYPERLINK("https://xhslink.com/m/8lafL1UGUYf", "https://xhslink.com/m/8lafL1UGUYf")</f>
        <v>https://xhslink.com/m/8lafL1UGUYf</v>
      </c>
      <c r="D1191"/>
      <c r="E1191">
        <v>23000</v>
      </c>
      <c r="F1191">
        <v>32.8</v>
      </c>
      <c r="G1191">
        <v>12.8</v>
      </c>
      <c r="H1191">
        <v>300</v>
      </c>
      <c r="I1191" t="inlineStr">
        <is>
          <t>早餐</t>
        </is>
      </c>
      <c r="J1191" t="inlineStr">
        <is>
          <t>0.01</t>
        </is>
      </c>
      <c r="K1191" t="inlineStr">
        <is>
          <t>🔥低粉爆款</t>
        </is>
      </c>
      <c r="L1191" t="inlineStr">
        <is>
          <t>穗穗手作的店</t>
        </is>
      </c>
      <c r="M1191">
        <v>7200</v>
      </c>
      <c r="N1191">
        <v>4.44</v>
      </c>
      <c r="O1191">
        <v>90000</v>
      </c>
      <c r="P1191" t="inlineStr">
        <is>
          <t>692feec02aa9d000014577a0</t>
        </is>
      </c>
      <c r="Q1191" t="inlineStr">
        <is>
          <t>🚫重复</t>
        </is>
      </c>
      <c r="R1191" t="inlineStr">
        <is>
          <t>15周</t>
        </is>
      </c>
      <c r="S1191" t="inlineStr">
        <is>
          <t>3.19</t>
        </is>
      </c>
      <c r="T1191" t="inlineStr">
        <is>
          <t>美食滋补</t>
        </is>
      </c>
      <c r="U1191" t="inlineStr">
        <is>
          <t>休闲零食</t>
        </is>
      </c>
      <c r="V1191" s="3">
        <v>46118.97659722222</v>
      </c>
      <c r="W1191" t="inlineStr">
        <is>
          <t>2026-Q2</t>
        </is>
      </c>
    </row>
    <row r="1192" ht="25.5" customHeight="1">
      <c r="A1192" t="inlineStr">
        <is>
          <t>【琴妈馄饨】79元自选6盒爽吃套餐皮薄馅大Q弹（单拍不发货！！）</t>
        </is>
      </c>
      <c r="B1192" t="inlineStr">
        <is>
          <t>recvg1BDH5UW03.jpg</t>
        </is>
      </c>
      <c r="C1192" s="2" t="str">
        <f>=HYPERLINK("https://xhslink.com/m/5KB7wev2s2T", "https://xhslink.com/m/5KB7wev2s2T")</f>
        <v>https://xhslink.com/m/5KB7wev2s2T</v>
      </c>
      <c r="D1192"/>
      <c r="E1192">
        <v>68000</v>
      </c>
      <c r="F1192">
        <v>30</v>
      </c>
      <c r="G1192"/>
      <c r="H1192">
        <v>300</v>
      </c>
      <c r="I1192" t="inlineStr">
        <is>
          <t>早餐</t>
        </is>
      </c>
      <c r="J1192" t="inlineStr">
        <is>
          <t>0.00</t>
        </is>
      </c>
      <c r="K1192"/>
      <c r="L1192" t="inlineStr">
        <is>
          <t>琴妈手作馄饨的店</t>
        </is>
      </c>
      <c r="M1192">
        <v>103000</v>
      </c>
      <c r="N1192">
        <v>4.52</v>
      </c>
      <c r="O1192">
        <v>279000</v>
      </c>
      <c r="P1192" t="inlineStr">
        <is>
          <t>6908597942726100018876f6</t>
        </is>
      </c>
      <c r="Q1192" t="inlineStr">
        <is>
          <t>🚫重复</t>
        </is>
      </c>
      <c r="R1192" t="inlineStr">
        <is>
          <t>15周</t>
        </is>
      </c>
      <c r="S1192" t="inlineStr">
        <is>
          <t>0.66</t>
        </is>
      </c>
      <c r="T1192" t="inlineStr">
        <is>
          <t>美食滋补</t>
        </is>
      </c>
      <c r="U1192" t="inlineStr">
        <is>
          <t>休闲零食</t>
        </is>
      </c>
      <c r="V1192" s="3">
        <v>46118.97659722222</v>
      </c>
      <c r="W1192" t="inlineStr">
        <is>
          <t>2026-Q2</t>
        </is>
      </c>
    </row>
    <row r="1193" ht="25.5" customHeight="1">
      <c r="A1193" t="inlineStr">
        <is>
          <t>海蒂的花园 · 灌木月季1加仑多品海妈家真宙莫奈好养勤花卉玫瑰盆栽苗阳台庭院</t>
        </is>
      </c>
      <c r="B1193" t="inlineStr">
        <is>
          <t>recvg7vyEbzO7s.jpg</t>
        </is>
      </c>
      <c r="C1193" s="2" t="str">
        <f>=HYPERLINK("https://xhslink.com/m/4Q7uoi7O348", "https://xhslink.com/m/4Q7uoi7O348")</f>
        <v>https://xhslink.com/m/4Q7uoi7O348</v>
      </c>
      <c r="D1193"/>
      <c r="E1193">
        <v>22000</v>
      </c>
      <c r="F1193">
        <v>39.8</v>
      </c>
      <c r="G1193">
        <v>31.84</v>
      </c>
      <c r="H1193">
        <v>300</v>
      </c>
      <c r="I1193" t="inlineStr">
        <is>
          <t>绿植</t>
        </is>
      </c>
      <c r="J1193" t="inlineStr">
        <is>
          <t>0.01</t>
        </is>
      </c>
      <c r="K1193"/>
      <c r="L1193" t="inlineStr">
        <is>
          <t>海蒂的花园的店</t>
        </is>
      </c>
      <c r="M1193">
        <v>1595000</v>
      </c>
      <c r="N1193">
        <v>4.61</v>
      </c>
      <c r="O1193">
        <v>1927000</v>
      </c>
      <c r="P1193" t="inlineStr">
        <is>
          <t>65389439efb1210001a74ed1</t>
        </is>
      </c>
      <c r="Q1193" t="inlineStr">
        <is>
          <t>🚫重复</t>
        </is>
      </c>
      <c r="R1193" t="inlineStr">
        <is>
          <t>15周</t>
        </is>
      </c>
      <c r="S1193" t="inlineStr">
        <is>
          <t>0.01</t>
        </is>
      </c>
      <c r="T1193" t="inlineStr">
        <is>
          <t>家居生活</t>
        </is>
      </c>
      <c r="U1193" t="inlineStr">
        <is>
          <t>家具家装</t>
        </is>
      </c>
      <c r="V1193" s="3">
        <v>46119.985972222225</v>
      </c>
      <c r="W1193" t="inlineStr">
        <is>
          <t>2026-Q2</t>
        </is>
      </c>
    </row>
    <row r="1194" ht="25.5" customHeight="1">
      <c r="A1194" t="inlineStr">
        <is>
          <t>FD非油炸冻干苹果无花果冻干厚切脆 配料只有苹果无花果</t>
        </is>
      </c>
      <c r="B1194" t="inlineStr">
        <is>
          <t>recvg7vyEbfbFJ.jpg</t>
        </is>
      </c>
      <c r="C1194" s="2" t="str">
        <f>=HYPERLINK("https://xhslink.com/m/72PBvKaD2IW", "https://xhslink.com/m/72PBvKaD2IW")</f>
        <v>https://xhslink.com/m/72PBvKaD2IW</v>
      </c>
      <c r="D1194"/>
      <c r="E1194">
        <v>13000</v>
      </c>
      <c r="F1194">
        <v>29.9</v>
      </c>
      <c r="G1194">
        <v>9.9</v>
      </c>
      <c r="H1194">
        <v>300</v>
      </c>
      <c r="I1194" t="inlineStr">
        <is>
          <t>坚果零食</t>
        </is>
      </c>
      <c r="J1194" t="inlineStr">
        <is>
          <t>0.02</t>
        </is>
      </c>
      <c r="K1194"/>
      <c r="L1194" t="inlineStr">
        <is>
          <t>新疆好货的店</t>
        </is>
      </c>
      <c r="M1194">
        <v>108000</v>
      </c>
      <c r="N1194">
        <v>4.57</v>
      </c>
      <c r="O1194">
        <v>243000</v>
      </c>
      <c r="P1194" t="inlineStr">
        <is>
          <t>69874a2beb0d9a00014798e5</t>
        </is>
      </c>
      <c r="Q1194"/>
      <c r="R1194" t="inlineStr">
        <is>
          <t>15周</t>
        </is>
      </c>
      <c r="S1194" t="inlineStr">
        <is>
          <t>0.12</t>
        </is>
      </c>
      <c r="T1194" t="inlineStr">
        <is>
          <t>美食滋补</t>
        </is>
      </c>
      <c r="U1194" t="inlineStr">
        <is>
          <t>休闲零食</t>
        </is>
      </c>
      <c r="V1194" s="3">
        <v>46119.985972222225</v>
      </c>
      <c r="W1194" t="inlineStr">
        <is>
          <t>2026-Q2</t>
        </is>
      </c>
    </row>
    <row r="1195" ht="25.5" customHeight="1">
      <c r="A1195" t="inlineStr">
        <is>
          <t>SEN X WANG · 美式百搭宽檐字母刺绣棒球帽男女同款显白2026春夏新款软顶显脸小</t>
        </is>
      </c>
      <c r="B1195" t="inlineStr">
        <is>
          <t>recvg7vyEbmYiI.jpg</t>
        </is>
      </c>
      <c r="C1195" s="2" t="str">
        <f>=HYPERLINK("https://xhslink.com/m/llLXcvkAU3", "https://xhslink.com/m/llLXcvkAU3")</f>
        <v>https://xhslink.com/m/llLXcvkAU3</v>
      </c>
      <c r="D1195"/>
      <c r="E1195">
        <v>82000</v>
      </c>
      <c r="F1195">
        <v>47.8</v>
      </c>
      <c r="G1195">
        <v>43.8</v>
      </c>
      <c r="H1195">
        <v>300</v>
      </c>
      <c r="I1195" t="inlineStr">
        <is>
          <t>包包装饰</t>
        </is>
      </c>
      <c r="J1195" t="inlineStr">
        <is>
          <t>0.00</t>
        </is>
      </c>
      <c r="K1195" t="inlineStr">
        <is>
          <t>🔥低粉爆款</t>
        </is>
      </c>
      <c r="L1195" t="inlineStr">
        <is>
          <t>SEN X WANG旗舰店</t>
        </is>
      </c>
      <c r="M1195">
        <v>11000</v>
      </c>
      <c r="N1195">
        <v>4.3</v>
      </c>
      <c r="O1195">
        <v>119000</v>
      </c>
      <c r="P1195" t="inlineStr">
        <is>
          <t>6620e74c967a4b00016aebe4</t>
        </is>
      </c>
      <c r="Q1195" t="inlineStr">
        <is>
          <t>🚫重复</t>
        </is>
      </c>
      <c r="R1195" t="inlineStr">
        <is>
          <t>15周</t>
        </is>
      </c>
      <c r="S1195" t="inlineStr">
        <is>
          <t>7.45</t>
        </is>
      </c>
      <c r="T1195" t="inlineStr">
        <is>
          <t>服饰穿搭</t>
        </is>
      </c>
      <c r="U1195" t="inlineStr">
        <is>
          <t>鞋靴箱包</t>
        </is>
      </c>
      <c r="V1195" s="3">
        <v>46119.985972222225</v>
      </c>
      <c r="W1195" t="inlineStr">
        <is>
          <t>2026-Q2</t>
        </is>
      </c>
    </row>
    <row r="1196" ht="25.5" customHeight="1">
      <c r="A1196" t="inlineStr">
        <is>
          <t>大容量旅行包女手提行李包短途出差旅游袋待产收纳包运动健身包袋</t>
        </is>
      </c>
      <c r="B1196" t="inlineStr">
        <is>
          <t>recvg7vyEbajRO.jpg</t>
        </is>
      </c>
      <c r="C1196" s="2" t="str">
        <f>=HYPERLINK("https://xhslink.com/m/8vkaTp7eS2z", "https://xhslink.com/m/8vkaTp7eS2z")</f>
        <v>https://xhslink.com/m/8vkaTp7eS2z</v>
      </c>
      <c r="D1196"/>
      <c r="E1196">
        <v>122000</v>
      </c>
      <c r="F1196">
        <v>49.9</v>
      </c>
      <c r="G1196"/>
      <c r="H1196">
        <v>300</v>
      </c>
      <c r="I1196" t="inlineStr">
        <is>
          <t>包包装饰</t>
        </is>
      </c>
      <c r="J1196" t="inlineStr">
        <is>
          <t>0.00</t>
        </is>
      </c>
      <c r="K1196" t="inlineStr">
        <is>
          <t>🔥低粉爆款</t>
        </is>
      </c>
      <c r="L1196" t="inlineStr">
        <is>
          <t>小荆皮具的店</t>
        </is>
      </c>
      <c r="M1196">
        <v>9586</v>
      </c>
      <c r="N1196">
        <v>4.74</v>
      </c>
      <c r="O1196">
        <v>209000</v>
      </c>
      <c r="P1196" t="inlineStr">
        <is>
          <t>685a5ecd9028340001c84cd8</t>
        </is>
      </c>
      <c r="Q1196" t="inlineStr">
        <is>
          <t>🚫重复</t>
        </is>
      </c>
      <c r="R1196" t="inlineStr">
        <is>
          <t>15周</t>
        </is>
      </c>
      <c r="S1196" t="inlineStr">
        <is>
          <t>12.73</t>
        </is>
      </c>
      <c r="T1196" t="inlineStr">
        <is>
          <t>运动潮玩</t>
        </is>
      </c>
      <c r="U1196" t="inlineStr">
        <is>
          <t>旅行出行</t>
        </is>
      </c>
      <c r="V1196" s="3">
        <v>46119.985972222225</v>
      </c>
      <c r="W1196" t="inlineStr">
        <is>
          <t>2026-Q2</t>
        </is>
      </c>
    </row>
    <row r="1197" ht="25.5" customHeight="1">
      <c r="A1197" t="inlineStr">
        <is>
          <t>2026春夏季法式墨点星芒连衣裙碎花常规显瘦小众法式黑色连衣裙</t>
        </is>
      </c>
      <c r="B1197" t="inlineStr">
        <is>
          <t>recvgd5oYIM6zq.jpg</t>
        </is>
      </c>
      <c r="C1197" s="2" t="str">
        <f>=HYPERLINK("https://xhslink.com/m/5lBaTY5cjR", "https://xhslink.com/m/5lBaTY5cjR")</f>
        <v>https://xhslink.com/m/5lBaTY5cjR</v>
      </c>
      <c r="D1197"/>
      <c r="E1197">
        <v>663</v>
      </c>
      <c r="F1197">
        <v>128</v>
      </c>
      <c r="G1197">
        <v>98</v>
      </c>
      <c r="H1197">
        <v>300</v>
      </c>
      <c r="I1197" t="inlineStr">
        <is>
          <t>连衣裙</t>
        </is>
      </c>
      <c r="J1197" t="inlineStr">
        <is>
          <t>0.45</t>
        </is>
      </c>
      <c r="K1197" t="inlineStr">
        <is>
          <t>🔥低粉爆款</t>
        </is>
      </c>
      <c r="L1197" t="inlineStr">
        <is>
          <t>- 屿间的店</t>
        </is>
      </c>
      <c r="M1197">
        <v>204</v>
      </c>
      <c r="N1197">
        <v>4.55</v>
      </c>
      <c r="O1197">
        <v>982</v>
      </c>
      <c r="P1197" t="inlineStr">
        <is>
          <t>69a6a9b3e33b5800010ef94a</t>
        </is>
      </c>
      <c r="Q1197"/>
      <c r="R1197" t="inlineStr">
        <is>
          <t>15周</t>
        </is>
      </c>
      <c r="S1197" t="inlineStr">
        <is>
          <t>3.25</t>
        </is>
      </c>
      <c r="T1197" t="inlineStr">
        <is>
          <t>服饰穿搭</t>
        </is>
      </c>
      <c r="U1197" t="inlineStr">
        <is>
          <t>女装</t>
        </is>
      </c>
      <c r="V1197" s="3">
        <v>46120.939930555556</v>
      </c>
      <c r="W1197" t="inlineStr">
        <is>
          <t>2026-Q2</t>
        </is>
      </c>
    </row>
    <row r="1198" ht="25.5" customHeight="1">
      <c r="A1198" t="inlineStr">
        <is>
          <t>【顺丰包邮】正宗潮汕牛肉丸牛筋丸无添加手工制作汕头特产</t>
        </is>
      </c>
      <c r="B1198" t="inlineStr">
        <is>
          <t>recvgd5oYISK4p.jpg</t>
        </is>
      </c>
      <c r="C1198" s="2" t="str">
        <f>=HYPERLINK("https://xhslink.com/m/7WHFuzIqV2E", "https://xhslink.com/m/7WHFuzIqV2E")</f>
        <v>https://xhslink.com/m/7WHFuzIqV2E</v>
      </c>
      <c r="D1198"/>
      <c r="E1198">
        <v>167000</v>
      </c>
      <c r="F1198">
        <v>109</v>
      </c>
      <c r="G1198">
        <v>69</v>
      </c>
      <c r="H1198">
        <v>300</v>
      </c>
      <c r="I1198" t="inlineStr">
        <is>
          <t>卤味肉干</t>
        </is>
      </c>
      <c r="J1198" t="inlineStr">
        <is>
          <t>0.00</t>
        </is>
      </c>
      <c r="K1198" t="inlineStr">
        <is>
          <t>🔥低粉爆款</t>
        </is>
      </c>
      <c r="L1198" t="inlineStr">
        <is>
          <t>汕头档口牛肉丸的店</t>
        </is>
      </c>
      <c r="M1198">
        <v>12000</v>
      </c>
      <c r="N1198">
        <v>4.87</v>
      </c>
      <c r="O1198">
        <v>167000</v>
      </c>
      <c r="P1198" t="inlineStr">
        <is>
          <t>676d7e33ca77f500017fd8ab</t>
        </is>
      </c>
      <c r="Q1198" t="inlineStr">
        <is>
          <t>🚫重复</t>
        </is>
      </c>
      <c r="R1198" t="inlineStr">
        <is>
          <t>15周</t>
        </is>
      </c>
      <c r="S1198" t="inlineStr">
        <is>
          <t>13.92</t>
        </is>
      </c>
      <c r="T1198" t="inlineStr">
        <is>
          <t>美食滋补</t>
        </is>
      </c>
      <c r="U1198" t="inlineStr">
        <is>
          <t>生鲜特产</t>
        </is>
      </c>
      <c r="V1198" s="3">
        <v>46120.939930555556</v>
      </c>
      <c r="W1198" t="inlineStr">
        <is>
          <t>2026-Q2</t>
        </is>
      </c>
    </row>
    <row r="1199" ht="25.5" customHeight="1">
      <c r="A1199" t="inlineStr">
        <is>
          <t>周三的情书 天气：小雨 · 手工厚切吐司面包奶香手撕吐司营养早餐糕点代餐零食品整箱即食</t>
        </is>
      </c>
      <c r="B1199" t="inlineStr">
        <is>
          <t>recvgd5oYIl5bn.jpg</t>
        </is>
      </c>
      <c r="C1199" s="2" t="str">
        <f>=HYPERLINK("https://xhslink.com/m/h4PrVQ4HaY", "https://xhslink.com/m/h4PrVQ4HaY")</f>
        <v>https://xhslink.com/m/h4PrVQ4HaY</v>
      </c>
      <c r="D1199"/>
      <c r="E1199">
        <v>182000</v>
      </c>
      <c r="F1199">
        <v>16.9</v>
      </c>
      <c r="G1199">
        <v>6.9</v>
      </c>
      <c r="H1199">
        <v>300</v>
      </c>
      <c r="I1199" t="inlineStr">
        <is>
          <t>健康早餐</t>
        </is>
      </c>
      <c r="J1199" t="inlineStr">
        <is>
          <t>0.00</t>
        </is>
      </c>
      <c r="K1199" t="inlineStr">
        <is>
          <t>🔥低粉爆款</t>
        </is>
      </c>
      <c r="L1199" t="inlineStr">
        <is>
          <t>周三的情书 天气：小雨旗舰店</t>
        </is>
      </c>
      <c r="M1199">
        <v>27000</v>
      </c>
      <c r="N1199">
        <v>3.89</v>
      </c>
      <c r="O1199">
        <v>430000</v>
      </c>
      <c r="P1199" t="inlineStr">
        <is>
          <t>66cf0b43912c5400015b5eab</t>
        </is>
      </c>
      <c r="Q1199" t="inlineStr">
        <is>
          <t>🚫重复</t>
        </is>
      </c>
      <c r="R1199" t="inlineStr">
        <is>
          <t>15周</t>
        </is>
      </c>
      <c r="S1199" t="inlineStr">
        <is>
          <t>6.74</t>
        </is>
      </c>
      <c r="T1199" t="inlineStr">
        <is>
          <t>美食滋补</t>
        </is>
      </c>
      <c r="U1199" t="inlineStr">
        <is>
          <t>休闲零食</t>
        </is>
      </c>
      <c r="V1199" s="3">
        <v>46120.939930555556</v>
      </c>
      <c r="W1199" t="inlineStr">
        <is>
          <t>2026-Q2</t>
        </is>
      </c>
    </row>
    <row r="1200" ht="25.5" customHeight="1">
      <c r="A1200" t="inlineStr">
        <is>
          <t>开袋即食零食冰烤蜜薯紫薯大学生减脂期代餐轻食健康早餐速食推荐</t>
        </is>
      </c>
      <c r="B1200" t="inlineStr">
        <is>
          <t>recvgd5oYILezV.jpg</t>
        </is>
      </c>
      <c r="C1200" s="2" t="str">
        <f>=HYPERLINK("https://xhslink.com/m/3zeTB1l9rwf", "https://xhslink.com/m/3zeTB1l9rwf")</f>
        <v>https://xhslink.com/m/3zeTB1l9rwf</v>
      </c>
      <c r="D1200"/>
      <c r="E1200">
        <v>31000</v>
      </c>
      <c r="F1200">
        <v>35.8</v>
      </c>
      <c r="G1200">
        <v>25.8</v>
      </c>
      <c r="H1200">
        <v>300</v>
      </c>
      <c r="I1200" t="inlineStr">
        <is>
          <t>健康早餐</t>
        </is>
      </c>
      <c r="J1200" t="inlineStr">
        <is>
          <t>0.01</t>
        </is>
      </c>
      <c r="K1200" t="inlineStr">
        <is>
          <t>🔥低粉爆款</t>
        </is>
      </c>
      <c r="L1200" t="inlineStr">
        <is>
          <t>麦味零食坊的店</t>
        </is>
      </c>
      <c r="M1200">
        <v>6048</v>
      </c>
      <c r="N1200">
        <v>4.75</v>
      </c>
      <c r="O1200">
        <v>136000</v>
      </c>
      <c r="P1200" t="inlineStr">
        <is>
          <t>670bc03d4cd28900014f1079</t>
        </is>
      </c>
      <c r="Q1200" t="inlineStr">
        <is>
          <t>🚫重复</t>
        </is>
      </c>
      <c r="R1200" t="inlineStr">
        <is>
          <t>15周</t>
        </is>
      </c>
      <c r="S1200" t="inlineStr">
        <is>
          <t>5.13</t>
        </is>
      </c>
      <c r="T1200" t="inlineStr">
        <is>
          <t>美食滋补</t>
        </is>
      </c>
      <c r="U1200" t="inlineStr">
        <is>
          <t>休闲零食</t>
        </is>
      </c>
      <c r="V1200" s="3">
        <v>46120.939930555556</v>
      </c>
      <c r="W1200" t="inlineStr">
        <is>
          <t>2026-Q2</t>
        </is>
      </c>
    </row>
    <row r="1201" ht="25.5" customHeight="1">
      <c r="A1201" t="inlineStr">
        <is>
          <t>【朴大艺】U然自在  新款韩版慕斯U领短袖T恤显瘦百搭短袖6505</t>
        </is>
      </c>
      <c r="B1201" t="inlineStr">
        <is>
          <t>recvgd5oYI2F3V.jpg</t>
        </is>
      </c>
      <c r="C1201" s="2" t="str">
        <f>=HYPERLINK("https://xhslink.com/m/AAMXG1jfrLA", "https://xhslink.com/m/AAMXG1jfrLA")</f>
        <v>https://xhslink.com/m/AAMXG1jfrLA</v>
      </c>
      <c r="D1201"/>
      <c r="E1201">
        <v>5673</v>
      </c>
      <c r="F1201">
        <v>69</v>
      </c>
      <c r="G1201"/>
      <c r="H1201">
        <v>300</v>
      </c>
      <c r="I1201" t="inlineStr">
        <is>
          <t>T恤</t>
        </is>
      </c>
      <c r="J1201" t="inlineStr">
        <is>
          <t>0.05</t>
        </is>
      </c>
      <c r="K1201"/>
      <c r="L1201" t="inlineStr">
        <is>
          <t>朴大艺是150呀的店</t>
        </is>
      </c>
      <c r="M1201">
        <v>94000</v>
      </c>
      <c r="N1201">
        <v>4.74</v>
      </c>
      <c r="O1201">
        <v>307000</v>
      </c>
      <c r="P1201" t="inlineStr">
        <is>
          <t>68103344c883af000110147d</t>
        </is>
      </c>
      <c r="Q1201" t="inlineStr">
        <is>
          <t>🚫重复</t>
        </is>
      </c>
      <c r="R1201" t="inlineStr">
        <is>
          <t>15周</t>
        </is>
      </c>
      <c r="S1201" t="inlineStr">
        <is>
          <t>0.06</t>
        </is>
      </c>
      <c r="T1201" t="inlineStr">
        <is>
          <t>服饰穿搭</t>
        </is>
      </c>
      <c r="U1201" t="inlineStr">
        <is>
          <t>女装</t>
        </is>
      </c>
      <c r="V1201" s="3">
        <v>46120.939930555556</v>
      </c>
      <c r="W1201" t="inlineStr">
        <is>
          <t>2026-Q2</t>
        </is>
      </c>
    </row>
    <row r="1202" ht="25.5" customHeight="1">
      <c r="A1202" t="inlineStr">
        <is>
          <t>100%新疆长绒纯棉夏季冰凉感高支液氨抗皱丝光双面大牌简约U领T恤</t>
        </is>
      </c>
      <c r="B1202" t="inlineStr">
        <is>
          <t>recvgd5oYILg8l.jpg</t>
        </is>
      </c>
      <c r="C1202" s="2" t="str">
        <f>=HYPERLINK("https://xhslink.com/m/58jWPrYrfvC", "https://xhslink.com/m/58jWPrYrfvC")</f>
        <v>https://xhslink.com/m/58jWPrYrfvC</v>
      </c>
      <c r="D1202"/>
      <c r="E1202">
        <v>10000</v>
      </c>
      <c r="F1202">
        <v>178</v>
      </c>
      <c r="G1202">
        <v>89</v>
      </c>
      <c r="H1202">
        <v>300</v>
      </c>
      <c r="I1202" t="inlineStr">
        <is>
          <t>T恤</t>
        </is>
      </c>
      <c r="J1202" t="inlineStr">
        <is>
          <t>0.03</t>
        </is>
      </c>
      <c r="K1202"/>
      <c r="L1202" t="inlineStr">
        <is>
          <t>一只只是我的店</t>
        </is>
      </c>
      <c r="M1202">
        <v>17000</v>
      </c>
      <c r="N1202">
        <v>4.69</v>
      </c>
      <c r="O1202">
        <v>120000</v>
      </c>
      <c r="P1202" t="inlineStr">
        <is>
          <t>680901f113746700010daa20</t>
        </is>
      </c>
      <c r="Q1202" t="inlineStr">
        <is>
          <t>🚫重复</t>
        </is>
      </c>
      <c r="R1202" t="inlineStr">
        <is>
          <t>15周</t>
        </is>
      </c>
      <c r="S1202" t="inlineStr">
        <is>
          <t>0.59</t>
        </is>
      </c>
      <c r="T1202" t="inlineStr">
        <is>
          <t>服饰穿搭</t>
        </is>
      </c>
      <c r="U1202" t="inlineStr">
        <is>
          <t>女装</t>
        </is>
      </c>
      <c r="V1202" s="3">
        <v>46120.939930555556</v>
      </c>
      <c r="W1202" t="inlineStr">
        <is>
          <t>2026-Q2</t>
        </is>
      </c>
    </row>
    <row r="1203" ht="25.5" customHeight="1">
      <c r="A1203" t="inlineStr">
        <is>
          <t>老钱风-天然意大利雪花纱色织宽松休闲短袖T恤</t>
        </is>
      </c>
      <c r="B1203" t="inlineStr">
        <is>
          <t>recvgd5oYIL0QZ.jpg</t>
        </is>
      </c>
      <c r="C1203" s="2" t="str">
        <f>=HYPERLINK("https://xhslink.com/m/7TLa9MbiQXY", "https://xhslink.com/m/7TLa9MbiQXY")</f>
        <v>https://xhslink.com/m/7TLa9MbiQXY</v>
      </c>
      <c r="D1203"/>
      <c r="E1203">
        <v>1376</v>
      </c>
      <c r="F1203">
        <v>89.9</v>
      </c>
      <c r="G1203"/>
      <c r="H1203">
        <v>300</v>
      </c>
      <c r="I1203" t="inlineStr">
        <is>
          <t>T恤</t>
        </is>
      </c>
      <c r="J1203" t="inlineStr">
        <is>
          <t>0.22</t>
        </is>
      </c>
      <c r="K1203"/>
      <c r="L1203" t="inlineStr">
        <is>
          <t>卖麻的小姑娘的店</t>
        </is>
      </c>
      <c r="M1203">
        <v>22000</v>
      </c>
      <c r="N1203">
        <v>4.57</v>
      </c>
      <c r="O1203">
        <v>81000</v>
      </c>
      <c r="P1203" t="inlineStr">
        <is>
          <t>69c5ddafff00dc0001fd9b46</t>
        </is>
      </c>
      <c r="Q1203" t="inlineStr">
        <is>
          <t>🚫重复</t>
        </is>
      </c>
      <c r="R1203" t="inlineStr">
        <is>
          <t>15周</t>
        </is>
      </c>
      <c r="S1203" t="inlineStr">
        <is>
          <t>0.06</t>
        </is>
      </c>
      <c r="T1203" t="inlineStr">
        <is>
          <t>服饰穿搭</t>
        </is>
      </c>
      <c r="U1203" t="inlineStr">
        <is>
          <t>女装</t>
        </is>
      </c>
      <c r="V1203" s="3">
        <v>46120.939930555556</v>
      </c>
      <c r="W1203" t="inlineStr">
        <is>
          <t>2026-Q2</t>
        </is>
      </c>
    </row>
    <row r="1204" ht="25.5" customHeight="1">
      <c r="A1204" t="inlineStr">
        <is>
          <t>免打孔毛毡板DIY照片墙展示板4-12张 沙发背景墙客厅ins风氛围感</t>
        </is>
      </c>
      <c r="B1204" t="inlineStr">
        <is>
          <t>recvgd5oYIOFTF.jpg</t>
        </is>
      </c>
      <c r="C1204" s="2" t="str">
        <f>=HYPERLINK("https://xhslink.com/m/4ctdMGg2Tjp", "https://xhslink.com/m/4ctdMGg2Tjp")</f>
        <v>https://xhslink.com/m/4ctdMGg2Tjp</v>
      </c>
      <c r="D1204"/>
      <c r="E1204">
        <v>3755</v>
      </c>
      <c r="F1204">
        <v>59.9</v>
      </c>
      <c r="G1204">
        <v>56.9</v>
      </c>
      <c r="H1204">
        <v>300</v>
      </c>
      <c r="I1204" t="inlineStr">
        <is>
          <t>家居用品</t>
        </is>
      </c>
      <c r="J1204" t="inlineStr">
        <is>
          <t>0.08</t>
        </is>
      </c>
      <c r="K1204"/>
      <c r="L1204" t="inlineStr">
        <is>
          <t>Kiki's Space Lab的店</t>
        </is>
      </c>
      <c r="M1204">
        <v>1849</v>
      </c>
      <c r="N1204">
        <v>4.63</v>
      </c>
      <c r="O1204">
        <v>3841</v>
      </c>
      <c r="P1204" t="inlineStr">
        <is>
          <t>69611ba15739d50001208c2d</t>
        </is>
      </c>
      <c r="Q1204" t="inlineStr">
        <is>
          <t>🚫重复</t>
        </is>
      </c>
      <c r="R1204" t="inlineStr">
        <is>
          <t>15周</t>
        </is>
      </c>
      <c r="S1204" t="inlineStr">
        <is>
          <t>2.03</t>
        </is>
      </c>
      <c r="T1204" t="inlineStr">
        <is>
          <t>家居生活</t>
        </is>
      </c>
      <c r="U1204" t="inlineStr">
        <is>
          <t>家具家装</t>
        </is>
      </c>
      <c r="V1204" s="3">
        <v>46120.939930555556</v>
      </c>
      <c r="W1204" t="inlineStr">
        <is>
          <t>2026-Q2</t>
        </is>
      </c>
    </row>
    <row r="1205" ht="25.5" customHeight="1">
      <c r="A1205" t="inlineStr">
        <is>
          <t>成品景德镇陶瓷花束礼物女生日礼物送闺蜜女朋友高级感三八妇女节</t>
        </is>
      </c>
      <c r="B1205" t="inlineStr">
        <is>
          <t>recvgd5oYIMSyr.jpg</t>
        </is>
      </c>
      <c r="C1205" s="2" t="str">
        <f>=HYPERLINK("https://xhslink.com/m/6YzGry1uXRP", "https://xhslink.com/m/6YzGry1uXRP")</f>
        <v>https://xhslink.com/m/6YzGry1uXRP</v>
      </c>
      <c r="D1205"/>
      <c r="E1205">
        <v>6307</v>
      </c>
      <c r="F1205">
        <v>59.9</v>
      </c>
      <c r="G1205"/>
      <c r="H1205">
        <v>300</v>
      </c>
      <c r="I1205" t="inlineStr">
        <is>
          <t>家居用品</t>
        </is>
      </c>
      <c r="J1205" t="inlineStr">
        <is>
          <t>0.05</t>
        </is>
      </c>
      <c r="K1205"/>
      <c r="L1205" t="inlineStr">
        <is>
          <t>月亮上的邮差的店</t>
        </is>
      </c>
      <c r="M1205">
        <v>4449</v>
      </c>
      <c r="N1205">
        <v>4.69</v>
      </c>
      <c r="O1205">
        <v>68000</v>
      </c>
      <c r="P1205" t="inlineStr">
        <is>
          <t>6924207bdbfbf5000108b962</t>
        </is>
      </c>
      <c r="Q1205" t="inlineStr">
        <is>
          <t>🚫重复</t>
        </is>
      </c>
      <c r="R1205" t="inlineStr">
        <is>
          <t>15周</t>
        </is>
      </c>
      <c r="S1205" t="inlineStr">
        <is>
          <t>1.42</t>
        </is>
      </c>
      <c r="T1205" t="inlineStr">
        <is>
          <t>家居生活</t>
        </is>
      </c>
      <c r="U1205" t="inlineStr">
        <is>
          <t>家居日用</t>
        </is>
      </c>
      <c r="V1205" s="3">
        <v>46120.939930555556</v>
      </c>
      <c r="W1205" t="inlineStr">
        <is>
          <t>2026-Q2</t>
        </is>
      </c>
    </row>
    <row r="1206" ht="25.5" customHeight="1">
      <c r="A1206" t="inlineStr">
        <is>
          <t>【夏季三件套】韩系男女童撞色短袖设计感礼盒速干裤套装T66-6601</t>
        </is>
      </c>
      <c r="B1206" t="inlineStr">
        <is>
          <t>recvgd5oYIz492.jpg</t>
        </is>
      </c>
      <c r="C1206" s="2" t="str">
        <f>=HYPERLINK("https://xhslink.com/m/39upWX1MtS7", "https://xhslink.com/m/39upWX1MtS7")</f>
        <v>https://xhslink.com/m/39upWX1MtS7</v>
      </c>
      <c r="D1206"/>
      <c r="E1206">
        <v>2210</v>
      </c>
      <c r="F1206">
        <v>79.9</v>
      </c>
      <c r="G1206"/>
      <c r="H1206">
        <v>300</v>
      </c>
      <c r="I1206" t="inlineStr">
        <is>
          <t>儿童衣服</t>
        </is>
      </c>
      <c r="J1206" t="inlineStr">
        <is>
          <t>0.14</t>
        </is>
      </c>
      <c r="K1206" t="inlineStr">
        <is>
          <t>🔥低粉爆款</t>
        </is>
      </c>
      <c r="L1206" t="inlineStr">
        <is>
          <t>青岛即墨童装源头工厂的的店</t>
        </is>
      </c>
      <c r="M1206">
        <v>236</v>
      </c>
      <c r="N1206">
        <v>4.67</v>
      </c>
      <c r="O1206">
        <v>42000</v>
      </c>
      <c r="P1206" t="inlineStr">
        <is>
          <t>69cfbbc4c13d0f001582ac6a</t>
        </is>
      </c>
      <c r="Q1206"/>
      <c r="R1206" t="inlineStr">
        <is>
          <t>15周</t>
        </is>
      </c>
      <c r="S1206" t="inlineStr">
        <is>
          <t>9.36</t>
        </is>
      </c>
      <c r="T1206" t="inlineStr">
        <is>
          <t>母婴亲子</t>
        </is>
      </c>
      <c r="U1206" t="inlineStr">
        <is>
          <t>童装童鞋</t>
        </is>
      </c>
      <c r="V1206" s="3">
        <v>46120.939930555556</v>
      </c>
      <c r="W1206" t="inlineStr">
        <is>
          <t>2026-Q2</t>
        </is>
      </c>
    </row>
    <row r="1207" ht="25.5" customHeight="1">
      <c r="A1207" t="inlineStr">
        <is>
          <t>宝宝好习惯养成绘本0-3岁适合儿童读物儿童益智玩具早教翻翻书</t>
        </is>
      </c>
      <c r="B1207" t="inlineStr">
        <is>
          <t>recvgd5oYIC9mk.jpg</t>
        </is>
      </c>
      <c r="C1207" s="2" t="str">
        <f>=HYPERLINK("https://xhslink.com/m/91y3nxyFxkv", "https://xhslink.com/m/91y3nxyFxkv")</f>
        <v>https://xhslink.com/m/91y3nxyFxkv</v>
      </c>
      <c r="D1207"/>
      <c r="E1207">
        <v>93000</v>
      </c>
      <c r="F1207">
        <v>36.8</v>
      </c>
      <c r="G1207"/>
      <c r="H1207">
        <v>300</v>
      </c>
      <c r="I1207" t="inlineStr">
        <is>
          <t>儿童图书</t>
        </is>
      </c>
      <c r="J1207" t="inlineStr">
        <is>
          <t>0.00</t>
        </is>
      </c>
      <c r="K1207" t="inlineStr">
        <is>
          <t>🔥低粉爆款</t>
        </is>
      </c>
      <c r="L1207" t="inlineStr">
        <is>
          <t>洋洋童书屋的店</t>
        </is>
      </c>
      <c r="M1207">
        <v>10000</v>
      </c>
      <c r="N1207">
        <v>4.45</v>
      </c>
      <c r="O1207">
        <v>213000</v>
      </c>
      <c r="P1207" t="inlineStr">
        <is>
          <t>6940caa4b049690001b0cbc6</t>
        </is>
      </c>
      <c r="Q1207" t="inlineStr">
        <is>
          <t>🚫重复</t>
        </is>
      </c>
      <c r="R1207" t="inlineStr">
        <is>
          <t>15周</t>
        </is>
      </c>
      <c r="S1207" t="inlineStr">
        <is>
          <t>9.30</t>
        </is>
      </c>
      <c r="T1207" t="inlineStr">
        <is>
          <t>母婴亲子</t>
        </is>
      </c>
      <c r="U1207" t="inlineStr">
        <is>
          <t>玩具早教</t>
        </is>
      </c>
      <c r="V1207" s="3">
        <v>46120.939930555556</v>
      </c>
      <c r="W1207" t="inlineStr">
        <is>
          <t>2026-Q2</t>
        </is>
      </c>
    </row>
    <row r="1208" ht="25.5" customHeight="1">
      <c r="A1208" t="inlineStr">
        <is>
          <t>【每天仅100单】私房纯手作系列碱水包 低卡饱腹早餐健身代餐</t>
        </is>
      </c>
      <c r="B1208" t="inlineStr">
        <is>
          <t>recvgd5oYIecqA.jpg</t>
        </is>
      </c>
      <c r="C1208" s="2" t="str">
        <f>=HYPERLINK("https://xhslink.com/m/2KA5ybyWnBE", "https://xhslink.com/m/2KA5ybyWnBE")</f>
        <v>https://xhslink.com/m/2KA5ybyWnBE</v>
      </c>
      <c r="D1208"/>
      <c r="E1208">
        <v>63000</v>
      </c>
      <c r="F1208">
        <v>23.8</v>
      </c>
      <c r="G1208"/>
      <c r="H1208">
        <v>300</v>
      </c>
      <c r="I1208" t="inlineStr">
        <is>
          <t>面包</t>
        </is>
      </c>
      <c r="J1208" t="inlineStr">
        <is>
          <t>0.00</t>
        </is>
      </c>
      <c r="K1208" t="inlineStr">
        <is>
          <t>🔥低粉爆款</t>
        </is>
      </c>
      <c r="L1208" t="inlineStr">
        <is>
          <t>福满多手作面包的店</t>
        </is>
      </c>
      <c r="M1208">
        <v>7067</v>
      </c>
      <c r="N1208">
        <v>4.36</v>
      </c>
      <c r="O1208">
        <v>84000</v>
      </c>
      <c r="P1208" t="inlineStr">
        <is>
          <t>6946774223d3ce0001c8eb93</t>
        </is>
      </c>
      <c r="Q1208" t="inlineStr">
        <is>
          <t>🚫重复</t>
        </is>
      </c>
      <c r="R1208" t="inlineStr">
        <is>
          <t>15周</t>
        </is>
      </c>
      <c r="S1208" t="inlineStr">
        <is>
          <t>8.91</t>
        </is>
      </c>
      <c r="T1208" t="inlineStr">
        <is>
          <t>美食滋补</t>
        </is>
      </c>
      <c r="U1208" t="inlineStr">
        <is>
          <t>休闲零食</t>
        </is>
      </c>
      <c r="V1208" s="3">
        <v>46120.939930555556</v>
      </c>
      <c r="W1208" t="inlineStr">
        <is>
          <t>2026-Q2</t>
        </is>
      </c>
    </row>
    <row r="1209" ht="25.5" customHeight="1">
      <c r="A1209" t="inlineStr">
        <is>
          <t>【小谭家】农家特色手工鲜鸡蛋面 劲道爽滑 自然晾晒而成</t>
        </is>
      </c>
      <c r="B1209" t="inlineStr">
        <is>
          <t>recvgd5oYIb6Sb.jpg</t>
        </is>
      </c>
      <c r="C1209" s="2" t="str">
        <f>=HYPERLINK("https://xhslink.com/m/96EyUeyAOlp", "https://xhslink.com/m/96EyUeyAOlp")</f>
        <v>https://xhslink.com/m/96EyUeyAOlp</v>
      </c>
      <c r="D1209"/>
      <c r="E1209">
        <v>23000</v>
      </c>
      <c r="F1209">
        <v>26.8</v>
      </c>
      <c r="G1209"/>
      <c r="H1209">
        <v>300</v>
      </c>
      <c r="I1209" t="inlineStr">
        <is>
          <t>面条</t>
        </is>
      </c>
      <c r="J1209" t="inlineStr">
        <is>
          <t>0.01</t>
        </is>
      </c>
      <c r="K1209"/>
      <c r="L1209" t="inlineStr">
        <is>
          <t>沉默小谭的店</t>
        </is>
      </c>
      <c r="M1209">
        <v>25000</v>
      </c>
      <c r="N1209">
        <v>4.52</v>
      </c>
      <c r="O1209">
        <v>39000</v>
      </c>
      <c r="P1209" t="inlineStr">
        <is>
          <t>684bfe1b0da50d0001d71b45</t>
        </is>
      </c>
      <c r="Q1209"/>
      <c r="R1209" t="inlineStr">
        <is>
          <t>15周</t>
        </is>
      </c>
      <c r="S1209" t="inlineStr">
        <is>
          <t>0.92</t>
        </is>
      </c>
      <c r="T1209" t="inlineStr">
        <is>
          <t>美食滋补</t>
        </is>
      </c>
      <c r="U1209" t="inlineStr">
        <is>
          <t>休闲零食</t>
        </is>
      </c>
      <c r="V1209" s="3">
        <v>46120.939930555556</v>
      </c>
      <c r="W1209" t="inlineStr">
        <is>
          <t>2026-Q2</t>
        </is>
      </c>
    </row>
    <row r="1210" ht="25.5" customHeight="1">
      <c r="A1210" t="inlineStr">
        <is>
          <t>【限时特惠】新款健身游泳包干湿分离大容量防水袋折叠旅行洗漱包</t>
        </is>
      </c>
      <c r="B1210" t="inlineStr">
        <is>
          <t>recvgd5oYItBQe.jpg</t>
        </is>
      </c>
      <c r="C1210" s="2" t="str">
        <f>=HYPERLINK("https://xhslink.com/m/2RzXYAGcqMt", "https://xhslink.com/m/2RzXYAGcqMt")</f>
        <v>https://xhslink.com/m/2RzXYAGcqMt</v>
      </c>
      <c r="D1210"/>
      <c r="E1210">
        <v>18000</v>
      </c>
      <c r="F1210">
        <v>38.9</v>
      </c>
      <c r="G1210">
        <v>21.9</v>
      </c>
      <c r="H1210">
        <v>300</v>
      </c>
      <c r="I1210" t="inlineStr">
        <is>
          <t>游泳</t>
        </is>
      </c>
      <c r="J1210" t="inlineStr">
        <is>
          <t>0.02</t>
        </is>
      </c>
      <c r="K1210" t="inlineStr">
        <is>
          <t>🔥低粉爆款</t>
        </is>
      </c>
      <c r="L1210" t="inlineStr">
        <is>
          <t>糖包小兔的店</t>
        </is>
      </c>
      <c r="M1210">
        <v>1184</v>
      </c>
      <c r="N1210">
        <v>4.57</v>
      </c>
      <c r="O1210">
        <v>18000</v>
      </c>
      <c r="P1210" t="inlineStr">
        <is>
          <t>68281b4a0e10380001249286</t>
        </is>
      </c>
      <c r="Q1210" t="inlineStr">
        <is>
          <t>🚫重复</t>
        </is>
      </c>
      <c r="R1210" t="inlineStr">
        <is>
          <t>15周</t>
        </is>
      </c>
      <c r="S1210" t="inlineStr">
        <is>
          <t>15.20</t>
        </is>
      </c>
      <c r="T1210" t="inlineStr">
        <is>
          <t>运动潮玩</t>
        </is>
      </c>
      <c r="U1210" t="inlineStr">
        <is>
          <t>运动户外装备</t>
        </is>
      </c>
      <c r="V1210" s="3">
        <v>46120.939930555556</v>
      </c>
      <c r="W1210" t="inlineStr">
        <is>
          <t>2026-Q2</t>
        </is>
      </c>
    </row>
    <row r="1211" ht="25.5" customHeight="1">
      <c r="A1211" t="inlineStr">
        <is>
          <t>准现货！紫标航海系列V领连衣裙</t>
        </is>
      </c>
      <c r="B1211" t="inlineStr">
        <is>
          <t>recvgd5oYIDH9H.jpg</t>
        </is>
      </c>
      <c r="C1211" s="2" t="str">
        <f>=HYPERLINK("https://xhslink.com/m/23fA76iIvYm", "https://xhslink.com/m/23fA76iIvYm")</f>
        <v>https://xhslink.com/m/23fA76iIvYm</v>
      </c>
      <c r="D1211"/>
      <c r="E1211">
        <v>1041</v>
      </c>
      <c r="F1211">
        <v>1299</v>
      </c>
      <c r="G1211"/>
      <c r="H1211">
        <v>300</v>
      </c>
      <c r="I1211" t="inlineStr">
        <is>
          <t>连衣裙</t>
        </is>
      </c>
      <c r="J1211" t="inlineStr">
        <is>
          <t>0.29</t>
        </is>
      </c>
      <c r="K1211"/>
      <c r="L1211" t="inlineStr">
        <is>
          <t>Shirley梨梨梨的店</t>
        </is>
      </c>
      <c r="M1211">
        <v>17000</v>
      </c>
      <c r="N1211">
        <v>4.53</v>
      </c>
      <c r="O1211">
        <v>13000</v>
      </c>
      <c r="P1211" t="inlineStr">
        <is>
          <t>6959654996a9fa00015a1301</t>
        </is>
      </c>
      <c r="Q1211" t="inlineStr">
        <is>
          <t>🚫重复</t>
        </is>
      </c>
      <c r="R1211" t="inlineStr">
        <is>
          <t>15周</t>
        </is>
      </c>
      <c r="S1211" t="inlineStr">
        <is>
          <t>0.06</t>
        </is>
      </c>
      <c r="T1211" t="inlineStr">
        <is>
          <t>服饰穿搭</t>
        </is>
      </c>
      <c r="U1211" t="inlineStr">
        <is>
          <t>女装</t>
        </is>
      </c>
      <c r="V1211" s="3">
        <v>46120.939930555556</v>
      </c>
      <c r="W1211" t="inlineStr">
        <is>
          <t>2026-Q2</t>
        </is>
      </c>
    </row>
    <row r="1212" ht="25.5" customHeight="1">
      <c r="A1212" t="inlineStr">
        <is>
          <t>爱丽丝梦境 挂脖连衣裙女春夏设计感印花度假风收腰裙子</t>
        </is>
      </c>
      <c r="B1212" t="inlineStr">
        <is>
          <t>recvgd5oYIheIT.jpg</t>
        </is>
      </c>
      <c r="C1212" s="2" t="str">
        <f>=HYPERLINK("https://xhslink.com/m/9EJSbD15Xuy", "https://xhslink.com/m/9EJSbD15Xuy")</f>
        <v>https://xhslink.com/m/9EJSbD15Xuy</v>
      </c>
      <c r="D1212"/>
      <c r="E1212">
        <v>684</v>
      </c>
      <c r="F1212">
        <v>119</v>
      </c>
      <c r="G1212">
        <v>114</v>
      </c>
      <c r="H1212">
        <v>300</v>
      </c>
      <c r="I1212" t="inlineStr">
        <is>
          <t>连衣裙</t>
        </is>
      </c>
      <c r="J1212" t="inlineStr">
        <is>
          <t>0.44</t>
        </is>
      </c>
      <c r="K1212"/>
      <c r="L1212" t="inlineStr">
        <is>
          <t>珊珊小嘟的店</t>
        </is>
      </c>
      <c r="M1212">
        <v>5036</v>
      </c>
      <c r="N1212">
        <v>4.39</v>
      </c>
      <c r="O1212">
        <v>13000</v>
      </c>
      <c r="P1212" t="inlineStr">
        <is>
          <t>69c4fd7d5e5f05000174f294</t>
        </is>
      </c>
      <c r="Q1212"/>
      <c r="R1212" t="inlineStr">
        <is>
          <t>15周</t>
        </is>
      </c>
      <c r="S1212" t="inlineStr">
        <is>
          <t>0.14</t>
        </is>
      </c>
      <c r="T1212" t="inlineStr">
        <is>
          <t>服饰穿搭</t>
        </is>
      </c>
      <c r="U1212" t="inlineStr">
        <is>
          <t>女装</t>
        </is>
      </c>
      <c r="V1212" s="3">
        <v>46120.939930555556</v>
      </c>
      <c r="W1212" t="inlineStr">
        <is>
          <t>2026-Q2</t>
        </is>
      </c>
    </row>
    <row r="1213" ht="25.5" customHeight="1">
      <c r="A1213" t="inlineStr">
        <is>
          <t>【高品质版】老头背心 慵懒宽松背心T恤夏季雪花棉百搭内搭打底</t>
        </is>
      </c>
      <c r="B1213" t="inlineStr">
        <is>
          <t>recvgjaKncYYQ2.jpg</t>
        </is>
      </c>
      <c r="C1213" s="2" t="str">
        <f>=HYPERLINK("https://xhslink.com/m/AyJJDL5ZoMI", "https://xhslink.com/m/AyJJDL5ZoMI")</f>
        <v>https://xhslink.com/m/AyJJDL5ZoMI</v>
      </c>
      <c r="D1213"/>
      <c r="E1213">
        <v>35000</v>
      </c>
      <c r="F1213">
        <v>39.9</v>
      </c>
      <c r="G1213">
        <v>29.9</v>
      </c>
      <c r="H1213">
        <v>300</v>
      </c>
      <c r="I1213" t="inlineStr">
        <is>
          <t>背心吊带</t>
        </is>
      </c>
      <c r="J1213" t="inlineStr">
        <is>
          <t>0.01</t>
        </is>
      </c>
      <c r="K1213" t="inlineStr">
        <is>
          <t>🔥低粉爆款</t>
        </is>
      </c>
      <c r="L1213" t="inlineStr">
        <is>
          <t>大耳朵藏不住的店</t>
        </is>
      </c>
      <c r="M1213">
        <v>7198</v>
      </c>
      <c r="N1213">
        <v>4.62</v>
      </c>
      <c r="O1213">
        <v>311000</v>
      </c>
      <c r="P1213" t="inlineStr">
        <is>
          <t>67fee6c1a7524b0001d379a6</t>
        </is>
      </c>
      <c r="Q1213" t="inlineStr">
        <is>
          <t>🚫重复</t>
        </is>
      </c>
      <c r="R1213" t="inlineStr">
        <is>
          <t>15周</t>
        </is>
      </c>
      <c r="S1213" t="inlineStr">
        <is>
          <t>4.86</t>
        </is>
      </c>
      <c r="T1213" t="inlineStr">
        <is>
          <t>服饰穿搭</t>
        </is>
      </c>
      <c r="U1213" t="inlineStr">
        <is>
          <t>女装</t>
        </is>
      </c>
      <c r="V1213" s="3">
        <v>46121.98079861111</v>
      </c>
      <c r="W1213" t="inlineStr">
        <is>
          <t>2026-Q2</t>
        </is>
      </c>
    </row>
    <row r="1214" ht="25.5" customHeight="1">
      <c r="A1214" t="inlineStr">
        <is>
          <t>胖胖家·韩国设计款牛皮做旧锁扣大容量单肩包斜挎包通勤包电脑包</t>
        </is>
      </c>
      <c r="B1214" t="inlineStr">
        <is>
          <t>recvgjaKncFiul.jpg</t>
        </is>
      </c>
      <c r="C1214" s="2" t="str">
        <f>=HYPERLINK("https://xhslink.com/m/tdwyfVu9ik", "https://xhslink.com/m/tdwyfVu9ik")</f>
        <v>https://xhslink.com/m/tdwyfVu9ik</v>
      </c>
      <c r="D1214"/>
      <c r="E1214">
        <v>413</v>
      </c>
      <c r="F1214">
        <v>378</v>
      </c>
      <c r="G1214"/>
      <c r="H1214">
        <v>300</v>
      </c>
      <c r="I1214" t="inlineStr">
        <is>
          <t>通勤电脑包</t>
        </is>
      </c>
      <c r="J1214" t="inlineStr">
        <is>
          <t>0.73</t>
        </is>
      </c>
      <c r="K1214"/>
      <c r="L1214" t="inlineStr">
        <is>
          <t>胖胖梨百货的店</t>
        </is>
      </c>
      <c r="M1214">
        <v>3297</v>
      </c>
      <c r="N1214">
        <v>4.57</v>
      </c>
      <c r="O1214">
        <v>1312</v>
      </c>
      <c r="P1214" t="inlineStr">
        <is>
          <t>69cd23b19b23c90001d23aac</t>
        </is>
      </c>
      <c r="Q1214"/>
      <c r="R1214" t="inlineStr">
        <is>
          <t>15周</t>
        </is>
      </c>
      <c r="S1214" t="inlineStr">
        <is>
          <t>0.13</t>
        </is>
      </c>
      <c r="T1214" t="inlineStr">
        <is>
          <t>服饰穿搭</t>
        </is>
      </c>
      <c r="U1214" t="inlineStr">
        <is>
          <t>鞋靴箱包</t>
        </is>
      </c>
      <c r="V1214" s="3">
        <v>46121.98079861111</v>
      </c>
      <c r="W1214" t="inlineStr">
        <is>
          <t>2026-Q2</t>
        </is>
      </c>
    </row>
    <row r="1215" ht="25.5" customHeight="1">
      <c r="A1215" t="inlineStr">
        <is>
          <t>【每天仅100单】私房纯手作系列碱水包 低卡饱腹早餐健身代餐</t>
        </is>
      </c>
      <c r="B1215" t="inlineStr">
        <is>
          <t>recvgjaKncHJNQ.jpg</t>
        </is>
      </c>
      <c r="C1215" s="2" t="str">
        <f>=HYPERLINK("https://xhslink.com/m/f5mNoxbDeY", "https://xhslink.com/m/f5mNoxbDeY")</f>
        <v>https://xhslink.com/m/f5mNoxbDeY</v>
      </c>
      <c r="D1215"/>
      <c r="E1215">
        <v>63000</v>
      </c>
      <c r="F1215">
        <v>52.8</v>
      </c>
      <c r="G1215"/>
      <c r="H1215">
        <v>300</v>
      </c>
      <c r="I1215" t="inlineStr">
        <is>
          <t>面包</t>
        </is>
      </c>
      <c r="J1215" t="inlineStr">
        <is>
          <t>0.00</t>
        </is>
      </c>
      <c r="K1215" t="inlineStr">
        <is>
          <t>🔥低粉爆款</t>
        </is>
      </c>
      <c r="L1215" t="inlineStr">
        <is>
          <t>福满多手作面包的店</t>
        </is>
      </c>
      <c r="M1215">
        <v>7105</v>
      </c>
      <c r="N1215">
        <v>4.34</v>
      </c>
      <c r="O1215">
        <v>84000</v>
      </c>
      <c r="P1215" t="inlineStr">
        <is>
          <t>696ecfe83db79c0001adb69b</t>
        </is>
      </c>
      <c r="Q1215" t="inlineStr">
        <is>
          <t>🚫重复</t>
        </is>
      </c>
      <c r="R1215" t="inlineStr">
        <is>
          <t>15周</t>
        </is>
      </c>
      <c r="S1215" t="inlineStr">
        <is>
          <t>8.87</t>
        </is>
      </c>
      <c r="T1215" t="inlineStr">
        <is>
          <t>美食滋补</t>
        </is>
      </c>
      <c r="U1215" t="inlineStr">
        <is>
          <t>休闲零食</t>
        </is>
      </c>
      <c r="V1215" s="3">
        <v>46121.98079861111</v>
      </c>
      <c r="W1215" t="inlineStr">
        <is>
          <t>2026-Q2</t>
        </is>
      </c>
    </row>
    <row r="1216" ht="25.5" customHeight="1">
      <c r="A1216" t="inlineStr">
        <is>
          <t>李空空【爱在西元前】复古蓝高腰微喇牛仔阔腿裤女复古显瘦长裤子</t>
        </is>
      </c>
      <c r="B1216" t="inlineStr">
        <is>
          <t>recvgjaKncgskb.jpg</t>
        </is>
      </c>
      <c r="C1216" s="2" t="str">
        <f>=HYPERLINK("https://xhslink.com/m/6cUfh1q7fU5", "https://xhslink.com/m/6cUfh1q7fU5")</f>
        <v>https://xhslink.com/m/6cUfh1q7fU5</v>
      </c>
      <c r="D1216"/>
      <c r="E1216">
        <v>67000</v>
      </c>
      <c r="F1216">
        <v>99.99</v>
      </c>
      <c r="G1216"/>
      <c r="H1216">
        <v>300</v>
      </c>
      <c r="I1216" t="inlineStr">
        <is>
          <t>裤子</t>
        </is>
      </c>
      <c r="J1216" t="inlineStr">
        <is>
          <t>0.00</t>
        </is>
      </c>
      <c r="K1216"/>
      <c r="L1216" t="inlineStr">
        <is>
          <t>李空空的店</t>
        </is>
      </c>
      <c r="M1216">
        <v>103000</v>
      </c>
      <c r="N1216">
        <v>4.58</v>
      </c>
      <c r="O1216">
        <v>567000</v>
      </c>
      <c r="P1216" t="inlineStr">
        <is>
          <t>69c8ff18d4e1ce00010f9236</t>
        </is>
      </c>
      <c r="Q1216" t="inlineStr">
        <is>
          <t>🚫重复</t>
        </is>
      </c>
      <c r="R1216" t="inlineStr">
        <is>
          <t>15周</t>
        </is>
      </c>
      <c r="S1216" t="inlineStr">
        <is>
          <t>0.65</t>
        </is>
      </c>
      <c r="T1216" t="inlineStr">
        <is>
          <t>服饰穿搭</t>
        </is>
      </c>
      <c r="U1216" t="inlineStr">
        <is>
          <t>女装</t>
        </is>
      </c>
      <c r="V1216" s="3">
        <v>46121.98079861111</v>
      </c>
      <c r="W1216" t="inlineStr">
        <is>
          <t>2026-Q2</t>
        </is>
      </c>
    </row>
    <row r="1217" ht="25.5" customHeight="1">
      <c r="A1217" t="inlineStr">
        <is>
          <t>KAKASA · 经典款白色短裤简约纯色棉布松紧腰宽松休闲百搭短裤白色裤子女</t>
        </is>
      </c>
      <c r="B1217" t="inlineStr">
        <is>
          <t>recvgjaKnclUxV.jpg</t>
        </is>
      </c>
      <c r="C1217" s="2" t="str">
        <f>=HYPERLINK("https://xhslink.com/m/7WszPvret5A", "https://xhslink.com/m/7WszPvret5A")</f>
        <v>https://xhslink.com/m/7WszPvret5A</v>
      </c>
      <c r="D1217"/>
      <c r="E1217">
        <v>53000</v>
      </c>
      <c r="F1217">
        <v>118</v>
      </c>
      <c r="G1217">
        <v>98</v>
      </c>
      <c r="H1217">
        <v>300</v>
      </c>
      <c r="I1217" t="inlineStr">
        <is>
          <t>裤子</t>
        </is>
      </c>
      <c r="J1217" t="inlineStr">
        <is>
          <t>0.01</t>
        </is>
      </c>
      <c r="K1217"/>
      <c r="L1217" t="inlineStr">
        <is>
          <t>KAKASA的店</t>
        </is>
      </c>
      <c r="M1217">
        <v>117000</v>
      </c>
      <c r="N1217">
        <v>4.72</v>
      </c>
      <c r="O1217">
        <v>293000</v>
      </c>
      <c r="P1217" t="inlineStr">
        <is>
          <t>6519506b9b4b5f00018d64fa</t>
        </is>
      </c>
      <c r="Q1217" t="inlineStr">
        <is>
          <t>🚫重复</t>
        </is>
      </c>
      <c r="R1217" t="inlineStr">
        <is>
          <t>15周</t>
        </is>
      </c>
      <c r="S1217" t="inlineStr">
        <is>
          <t>0.45</t>
        </is>
      </c>
      <c r="T1217" t="inlineStr">
        <is>
          <t>服饰穿搭</t>
        </is>
      </c>
      <c r="U1217" t="inlineStr">
        <is>
          <t>女装</t>
        </is>
      </c>
      <c r="V1217" s="3">
        <v>46121.98079861111</v>
      </c>
      <c r="W1217" t="inlineStr">
        <is>
          <t>2026-Q2</t>
        </is>
      </c>
    </row>
    <row r="1218" ht="25.5" customHeight="1">
      <c r="A1218" t="inlineStr">
        <is>
          <t>天丝莱赛尔!显瘦修胯会呼吸的“轻牛仔”天丝垂感直筒裤</t>
        </is>
      </c>
      <c r="B1218" t="inlineStr">
        <is>
          <t>recvgjaKncWsCz.jpg</t>
        </is>
      </c>
      <c r="C1218" s="2" t="str">
        <f>=HYPERLINK("https://xhslink.com/m/9yKVkPgsdEH", "https://xhslink.com/m/9yKVkPgsdEH")</f>
        <v>https://xhslink.com/m/9yKVkPgsdEH</v>
      </c>
      <c r="D1218"/>
      <c r="E1218">
        <v>20000</v>
      </c>
      <c r="F1218">
        <v>229</v>
      </c>
      <c r="G1218">
        <v>199</v>
      </c>
      <c r="H1218">
        <v>300</v>
      </c>
      <c r="I1218" t="inlineStr">
        <is>
          <t>裤子</t>
        </is>
      </c>
      <c r="J1218" t="inlineStr">
        <is>
          <t>0.01</t>
        </is>
      </c>
      <c r="K1218"/>
      <c r="L1218" t="inlineStr">
        <is>
          <t>白畔BAIPAN的店</t>
        </is>
      </c>
      <c r="M1218">
        <v>71000</v>
      </c>
      <c r="N1218">
        <v>4.68</v>
      </c>
      <c r="O1218">
        <v>267000</v>
      </c>
      <c r="P1218" t="inlineStr">
        <is>
          <t>6717acfd175dab00015f66b8</t>
        </is>
      </c>
      <c r="Q1218" t="inlineStr">
        <is>
          <t>🚫重复</t>
        </is>
      </c>
      <c r="R1218" t="inlineStr">
        <is>
          <t>15周</t>
        </is>
      </c>
      <c r="S1218" t="inlineStr">
        <is>
          <t>0.28</t>
        </is>
      </c>
      <c r="T1218" t="inlineStr">
        <is>
          <t>服饰穿搭</t>
        </is>
      </c>
      <c r="U1218" t="inlineStr">
        <is>
          <t>女装</t>
        </is>
      </c>
      <c r="V1218" s="3">
        <v>46121.98079861111</v>
      </c>
      <c r="W1218" t="inlineStr">
        <is>
          <t>2026-Q2</t>
        </is>
      </c>
    </row>
    <row r="1219" ht="25.5" customHeight="1">
      <c r="A1219" t="inlineStr">
        <is>
          <t>微喇裤黑色西装裤女高腰显瘦2026春夏垂感好高品质马蹄裤微喇裤</t>
        </is>
      </c>
      <c r="B1219" t="inlineStr">
        <is>
          <t>recvgjaKncDQZm.jpg</t>
        </is>
      </c>
      <c r="C1219" s="2" t="str">
        <f>=HYPERLINK("https://xhslink.com/m/9L3pbz7YrmV", "https://xhslink.com/m/9L3pbz7YrmV")</f>
        <v>https://xhslink.com/m/9L3pbz7YrmV</v>
      </c>
      <c r="D1219"/>
      <c r="E1219">
        <v>16000</v>
      </c>
      <c r="F1219">
        <v>109</v>
      </c>
      <c r="G1219">
        <v>79</v>
      </c>
      <c r="H1219">
        <v>300</v>
      </c>
      <c r="I1219" t="inlineStr">
        <is>
          <t>裤子</t>
        </is>
      </c>
      <c r="J1219" t="inlineStr">
        <is>
          <t>0.02</t>
        </is>
      </c>
      <c r="K1219" t="inlineStr">
        <is>
          <t>🔥低粉爆款</t>
        </is>
      </c>
      <c r="L1219" t="inlineStr">
        <is>
          <t>X雯雯优选的店</t>
        </is>
      </c>
      <c r="M1219">
        <v>359</v>
      </c>
      <c r="N1219">
        <v>4.66</v>
      </c>
      <c r="O1219">
        <v>18000</v>
      </c>
      <c r="P1219" t="inlineStr">
        <is>
          <t>6805e8fa51259e00153f0c4a</t>
        </is>
      </c>
      <c r="Q1219"/>
      <c r="R1219" t="inlineStr">
        <is>
          <t>15周</t>
        </is>
      </c>
      <c r="S1219" t="inlineStr">
        <is>
          <t>44.57</t>
        </is>
      </c>
      <c r="T1219" t="inlineStr">
        <is>
          <t>服饰穿搭</t>
        </is>
      </c>
      <c r="U1219" t="inlineStr">
        <is>
          <t>女装</t>
        </is>
      </c>
      <c r="V1219" s="3">
        <v>46121.98079861111</v>
      </c>
      <c r="W1219" t="inlineStr">
        <is>
          <t>2026-Q2</t>
        </is>
      </c>
    </row>
    <row r="1220" ht="25.5" customHeight="1">
      <c r="A1220" t="inlineStr">
        <is>
          <t>蜜桃条纹双拼收腹高腰透气收腹塑形无痕提臀瑜伽裤短裤夏季显瘦</t>
        </is>
      </c>
      <c r="B1220" t="inlineStr">
        <is>
          <t>recvgjaKncKh84.jpg</t>
        </is>
      </c>
      <c r="C1220" s="2" t="str">
        <f>=HYPERLINK("https://xhslink.com/m/9A6SV2brGTY", "https://xhslink.com/m/9A6SV2brGTY")</f>
        <v>https://xhslink.com/m/9A6SV2brGTY</v>
      </c>
      <c r="D1220"/>
      <c r="E1220">
        <v>19000</v>
      </c>
      <c r="F1220">
        <v>29.8</v>
      </c>
      <c r="G1220"/>
      <c r="H1220">
        <v>300</v>
      </c>
      <c r="I1220" t="inlineStr">
        <is>
          <t>裤子</t>
        </is>
      </c>
      <c r="J1220" t="inlineStr">
        <is>
          <t>0.02</t>
        </is>
      </c>
      <c r="K1220" t="inlineStr">
        <is>
          <t>🔥低粉爆款</t>
        </is>
      </c>
      <c r="L1220" t="inlineStr">
        <is>
          <t>亦可安然的店</t>
        </is>
      </c>
      <c r="M1220">
        <v>548</v>
      </c>
      <c r="N1220">
        <v>4.68</v>
      </c>
      <c r="O1220">
        <v>21000</v>
      </c>
      <c r="P1220" t="inlineStr">
        <is>
          <t>6849d0d70da50d0001c5b585</t>
        </is>
      </c>
      <c r="Q1220" t="inlineStr">
        <is>
          <t>🚫重复</t>
        </is>
      </c>
      <c r="R1220" t="inlineStr">
        <is>
          <t>15周</t>
        </is>
      </c>
      <c r="S1220" t="inlineStr">
        <is>
          <t>34.67</t>
        </is>
      </c>
      <c r="T1220" t="inlineStr">
        <is>
          <t>服饰穿搭</t>
        </is>
      </c>
      <c r="U1220" t="inlineStr">
        <is>
          <t>女装</t>
        </is>
      </c>
      <c r="V1220" s="3">
        <v>46121.98079861111</v>
      </c>
      <c r="W1220" t="inlineStr">
        <is>
          <t>2026-Q2</t>
        </is>
      </c>
    </row>
    <row r="1221" ht="25.5" customHeight="1">
      <c r="A1221" t="inlineStr">
        <is>
          <t>「梨形身材天菜」高腰阔腿运动裤速干宽松直筒显瘦休闲阔腿裤</t>
        </is>
      </c>
      <c r="B1221" t="inlineStr">
        <is>
          <t>recvgjaKncrJmO.jpg</t>
        </is>
      </c>
      <c r="C1221" s="2" t="str">
        <f>=HYPERLINK("https://xhslink.com/m/9I0vBWGxKCo", "https://xhslink.com/m/9I0vBWGxKCo")</f>
        <v>https://xhslink.com/m/9I0vBWGxKCo</v>
      </c>
      <c r="D1221"/>
      <c r="E1221">
        <v>4780</v>
      </c>
      <c r="F1221">
        <v>109</v>
      </c>
      <c r="G1221">
        <v>59</v>
      </c>
      <c r="H1221">
        <v>300</v>
      </c>
      <c r="I1221" t="inlineStr">
        <is>
          <t>裤子</t>
        </is>
      </c>
      <c r="J1221" t="inlineStr">
        <is>
          <t>0.06</t>
        </is>
      </c>
      <c r="K1221" t="inlineStr">
        <is>
          <t>🔥低粉爆款</t>
        </is>
      </c>
      <c r="L1221" t="inlineStr">
        <is>
          <t>郑郑方形的店</t>
        </is>
      </c>
      <c r="M1221">
        <v>237</v>
      </c>
      <c r="N1221">
        <v>4.51</v>
      </c>
      <c r="O1221">
        <v>5882</v>
      </c>
      <c r="P1221" t="inlineStr">
        <is>
          <t>69a4143b0270070016f45c54</t>
        </is>
      </c>
      <c r="Q1221" t="inlineStr">
        <is>
          <t>🚫重复</t>
        </is>
      </c>
      <c r="R1221" t="inlineStr">
        <is>
          <t>15周</t>
        </is>
      </c>
      <c r="S1221" t="inlineStr">
        <is>
          <t>20.17</t>
        </is>
      </c>
      <c r="T1221" t="inlineStr">
        <is>
          <t>服饰穿搭</t>
        </is>
      </c>
      <c r="U1221" t="inlineStr">
        <is>
          <t>女装</t>
        </is>
      </c>
      <c r="V1221" s="3">
        <v>46121.98079861111</v>
      </c>
      <c r="W1221" t="inlineStr">
        <is>
          <t>2026-Q2</t>
        </is>
      </c>
    </row>
    <row r="1222" ht="25.5" customHeight="1">
      <c r="A1222" t="inlineStr">
        <is>
          <t>FF&amp;X.春夏高腰四面弹梨形显瘦遮垮直筒微喇女士牛仔裤5100</t>
        </is>
      </c>
      <c r="B1222" t="inlineStr">
        <is>
          <t>recvgjaKncriMW.jpg</t>
        </is>
      </c>
      <c r="C1222" s="2" t="str">
        <f>=HYPERLINK("https://xhslink.com/m/14TGOCRlgBJ", "https://xhslink.com/m/14TGOCRlgBJ")</f>
        <v>https://xhslink.com/m/14TGOCRlgBJ</v>
      </c>
      <c r="D1222"/>
      <c r="E1222">
        <v>4610</v>
      </c>
      <c r="F1222">
        <v>298</v>
      </c>
      <c r="G1222">
        <v>285</v>
      </c>
      <c r="H1222">
        <v>300</v>
      </c>
      <c r="I1222" t="inlineStr">
        <is>
          <t>裤子</t>
        </is>
      </c>
      <c r="J1222" t="inlineStr">
        <is>
          <t>0.07</t>
        </is>
      </c>
      <c r="K1222" t="inlineStr">
        <is>
          <t>🔥低粉爆款</t>
        </is>
      </c>
      <c r="L1222" t="inlineStr">
        <is>
          <t>方方夏的店</t>
        </is>
      </c>
      <c r="M1222">
        <v>303</v>
      </c>
      <c r="N1222">
        <v>4.61</v>
      </c>
      <c r="O1222">
        <v>4854</v>
      </c>
      <c r="P1222" t="inlineStr">
        <is>
          <t>6939872ff994e6000151f58f</t>
        </is>
      </c>
      <c r="Q1222" t="inlineStr">
        <is>
          <t>🚫重复</t>
        </is>
      </c>
      <c r="R1222" t="inlineStr">
        <is>
          <t>15周</t>
        </is>
      </c>
      <c r="S1222" t="inlineStr">
        <is>
          <t>15.21</t>
        </is>
      </c>
      <c r="T1222" t="inlineStr">
        <is>
          <t>服饰穿搭</t>
        </is>
      </c>
      <c r="U1222" t="inlineStr">
        <is>
          <t>女装</t>
        </is>
      </c>
      <c r="V1222" s="3">
        <v>46121.98079861111</v>
      </c>
      <c r="W1222" t="inlineStr">
        <is>
          <t>2026-Q2</t>
        </is>
      </c>
    </row>
    <row r="1223" ht="25.5" customHeight="1">
      <c r="A1223" t="inlineStr">
        <is>
          <t>Goo大吉·复古蓝烫钻微喇阔腿牛仔裤女高腰显瘦垂感百搭拖地长裤子</t>
        </is>
      </c>
      <c r="B1223" t="inlineStr">
        <is>
          <t>recvgjaKncHlyh.jpg</t>
        </is>
      </c>
      <c r="C1223" s="2" t="str">
        <f>=HYPERLINK("https://xhslink.com/m/8YukyR7B5Is", "https://xhslink.com/m/8YukyR7B5Is")</f>
        <v>https://xhslink.com/m/8YukyR7B5Is</v>
      </c>
      <c r="D1223"/>
      <c r="E1223">
        <v>4490</v>
      </c>
      <c r="F1223">
        <v>168</v>
      </c>
      <c r="G1223">
        <v>117</v>
      </c>
      <c r="H1223">
        <v>300</v>
      </c>
      <c r="I1223" t="inlineStr">
        <is>
          <t>裤子</t>
        </is>
      </c>
      <c r="J1223" t="inlineStr">
        <is>
          <t>0.07</t>
        </is>
      </c>
      <c r="K1223"/>
      <c r="L1223" t="inlineStr">
        <is>
          <t>Goo大吉的店</t>
        </is>
      </c>
      <c r="M1223">
        <v>61000</v>
      </c>
      <c r="N1223">
        <v>4.54</v>
      </c>
      <c r="O1223">
        <v>262000</v>
      </c>
      <c r="P1223" t="inlineStr">
        <is>
          <t>69a64741094aed0001594e95</t>
        </is>
      </c>
      <c r="Q1223" t="inlineStr">
        <is>
          <t>🚫重复</t>
        </is>
      </c>
      <c r="R1223" t="inlineStr">
        <is>
          <t>15周</t>
        </is>
      </c>
      <c r="S1223" t="inlineStr">
        <is>
          <t>0.07</t>
        </is>
      </c>
      <c r="T1223" t="inlineStr">
        <is>
          <t>服饰穿搭</t>
        </is>
      </c>
      <c r="U1223" t="inlineStr">
        <is>
          <t>女装</t>
        </is>
      </c>
      <c r="V1223" s="3">
        <v>46121.98079861111</v>
      </c>
      <c r="W1223" t="inlineStr">
        <is>
          <t>2026-Q2</t>
        </is>
      </c>
    </row>
    <row r="1224" ht="25.5" customHeight="1">
      <c r="A1224" t="inlineStr">
        <is>
          <t>木卡家 · 【窄版工装裤】定制款春夏季美式宽松休闲工装裤</t>
        </is>
      </c>
      <c r="B1224" t="inlineStr">
        <is>
          <t>recvgjaKncvvFm.jpg</t>
        </is>
      </c>
      <c r="C1224" s="2" t="str">
        <f>=HYPERLINK("https://xhslink.com/m/2EkftQ1yPSC", "https://xhslink.com/m/2EkftQ1yPSC")</f>
        <v>https://xhslink.com/m/2EkftQ1yPSC</v>
      </c>
      <c r="D1224"/>
      <c r="E1224">
        <v>2230</v>
      </c>
      <c r="F1224">
        <v>199.9</v>
      </c>
      <c r="G1224"/>
      <c r="H1224">
        <v>300</v>
      </c>
      <c r="I1224" t="inlineStr">
        <is>
          <t>裤子</t>
        </is>
      </c>
      <c r="J1224" t="inlineStr">
        <is>
          <t>0.13</t>
        </is>
      </c>
      <c r="K1224"/>
      <c r="L1224" t="inlineStr">
        <is>
          <t>木卡家的店</t>
        </is>
      </c>
      <c r="M1224">
        <v>47000</v>
      </c>
      <c r="N1224">
        <v>4.61</v>
      </c>
      <c r="O1224">
        <v>97000</v>
      </c>
      <c r="P1224" t="inlineStr">
        <is>
          <t>69b64635c13d0f00151ee2ca</t>
        </is>
      </c>
      <c r="Q1224"/>
      <c r="R1224" t="inlineStr">
        <is>
          <t>15周</t>
        </is>
      </c>
      <c r="S1224" t="inlineStr">
        <is>
          <t>0.05</t>
        </is>
      </c>
      <c r="T1224" t="inlineStr">
        <is>
          <t>服饰穿搭</t>
        </is>
      </c>
      <c r="U1224" t="inlineStr">
        <is>
          <t>女装</t>
        </is>
      </c>
      <c r="V1224" s="3">
        <v>46121.98079861111</v>
      </c>
      <c r="W1224" t="inlineStr">
        <is>
          <t>2026-Q2</t>
        </is>
      </c>
    </row>
    <row r="1225" ht="25.5" customHeight="1">
      <c r="A1225" t="inlineStr">
        <is>
          <t>维特丝 · 洗发水控油蓬松推荐留香持久去屑止痒男女洗头膏洗发露官方旗舰店</t>
        </is>
      </c>
      <c r="B1225" t="inlineStr">
        <is>
          <t>recvgjaKncwV3l.jpg</t>
        </is>
      </c>
      <c r="C1225" s="2" t="str">
        <f>=HYPERLINK("https://xhslink.com/m/vqdnpD9FSH", "https://xhslink.com/m/vqdnpD9FSH")</f>
        <v>https://xhslink.com/m/vqdnpD9FSH</v>
      </c>
      <c r="D1225"/>
      <c r="E1225">
        <v>41000</v>
      </c>
      <c r="F1225">
        <v>119</v>
      </c>
      <c r="G1225">
        <v>89</v>
      </c>
      <c r="H1225">
        <v>300</v>
      </c>
      <c r="I1225" t="inlineStr">
        <is>
          <t>养发</t>
        </is>
      </c>
      <c r="J1225" t="inlineStr">
        <is>
          <t>0.01</t>
        </is>
      </c>
      <c r="K1225"/>
      <c r="L1225" t="inlineStr">
        <is>
          <t>维特丝旗舰店</t>
        </is>
      </c>
      <c r="M1225">
        <v>30000</v>
      </c>
      <c r="N1225">
        <v>4.53</v>
      </c>
      <c r="O1225">
        <v>199000</v>
      </c>
      <c r="P1225" t="inlineStr">
        <is>
          <t>6901e4c45b9deb0001415c50</t>
        </is>
      </c>
      <c r="Q1225" t="inlineStr">
        <is>
          <t>🚫重复</t>
        </is>
      </c>
      <c r="R1225" t="inlineStr">
        <is>
          <t>15周</t>
        </is>
      </c>
      <c r="S1225" t="inlineStr">
        <is>
          <t>1.37</t>
        </is>
      </c>
      <c r="T1225" t="inlineStr">
        <is>
          <t>美妆个护</t>
        </is>
      </c>
      <c r="U1225" t="inlineStr">
        <is>
          <t>个人护理</t>
        </is>
      </c>
      <c r="V1225" s="3">
        <v>46121.98079861111</v>
      </c>
      <c r="W1225" t="inlineStr">
        <is>
          <t>2026-Q2</t>
        </is>
      </c>
    </row>
    <row r="1226" ht="25.5" customHeight="1">
      <c r="A1226" t="inlineStr">
        <is>
          <t>清润六物饮｜海底椰雪梨玉竹无花果..沙参约70克一包</t>
        </is>
      </c>
      <c r="B1226" t="inlineStr">
        <is>
          <t>recvgoYCuBTuoz.jpg</t>
        </is>
      </c>
      <c r="C1226" s="2" t="str">
        <f>=HYPERLINK("https://xhslink.com/m/6HmD8aGamJu", "https://xhslink.com/m/6HmD8aGamJu")</f>
        <v>https://xhslink.com/m/6HmD8aGamJu</v>
      </c>
      <c r="D1226"/>
      <c r="E1226">
        <v>12000</v>
      </c>
      <c r="F1226">
        <v>29.9</v>
      </c>
      <c r="G1226"/>
      <c r="H1226">
        <v>300</v>
      </c>
      <c r="I1226" t="inlineStr">
        <is>
          <t>养生茶</t>
        </is>
      </c>
      <c r="J1226" t="inlineStr">
        <is>
          <t>0.03</t>
        </is>
      </c>
      <c r="K1226" t="inlineStr">
        <is>
          <t>🔥低粉爆款</t>
        </is>
      </c>
      <c r="L1226" t="inlineStr">
        <is>
          <t>茶事的店</t>
        </is>
      </c>
      <c r="M1226">
        <v>1981</v>
      </c>
      <c r="N1226">
        <v>4.5</v>
      </c>
      <c r="O1226">
        <v>19000</v>
      </c>
      <c r="P1226" t="inlineStr">
        <is>
          <t>69437e4096f5ad000111fb76</t>
        </is>
      </c>
      <c r="Q1226" t="inlineStr">
        <is>
          <t>🚫重复</t>
        </is>
      </c>
      <c r="R1226" t="inlineStr">
        <is>
          <t>15周</t>
        </is>
      </c>
      <c r="S1226" t="inlineStr">
        <is>
          <t>6.06</t>
        </is>
      </c>
      <c r="T1226" t="inlineStr">
        <is>
          <t>美食滋补</t>
        </is>
      </c>
      <c r="U1226" t="inlineStr">
        <is>
          <t>酒水冲饮</t>
        </is>
      </c>
      <c r="V1226" s="3">
        <v>46122.97351851852</v>
      </c>
      <c r="W1226" t="inlineStr">
        <is>
          <t>2026-Q2</t>
        </is>
      </c>
    </row>
    <row r="1227" ht="25.5" customHeight="1">
      <c r="A1227" t="inlineStr">
        <is>
          <t>海南金煌芒甜芒果热带水果当季生熟两吃变黄食用更甜</t>
        </is>
      </c>
      <c r="B1227" t="inlineStr">
        <is>
          <t>recvgoYCuB9lGp.jpg</t>
        </is>
      </c>
      <c r="C1227" s="2" t="str">
        <f>=HYPERLINK("https://xhslink.com/m/9Rtk4f3vIRL", "https://xhslink.com/m/9Rtk4f3vIRL")</f>
        <v>https://xhslink.com/m/9Rtk4f3vIRL</v>
      </c>
      <c r="D1227"/>
      <c r="E1227">
        <v>253000</v>
      </c>
      <c r="F1227">
        <v>68.8</v>
      </c>
      <c r="G1227">
        <v>58.8</v>
      </c>
      <c r="H1227">
        <v>300</v>
      </c>
      <c r="I1227" t="inlineStr">
        <is>
          <t>水果</t>
        </is>
      </c>
      <c r="J1227" t="inlineStr">
        <is>
          <t>0.00</t>
        </is>
      </c>
      <c r="K1227" t="inlineStr">
        <is>
          <t>🔥低粉爆款</t>
        </is>
      </c>
      <c r="L1227" t="inlineStr">
        <is>
          <t>昕昕水果园的店</t>
        </is>
      </c>
      <c r="M1227">
        <v>23000</v>
      </c>
      <c r="N1227">
        <v>4.49</v>
      </c>
      <c r="O1227">
        <v>289000</v>
      </c>
      <c r="P1227" t="inlineStr">
        <is>
          <t>69a83997970f0000016783cf</t>
        </is>
      </c>
      <c r="Q1227" t="inlineStr">
        <is>
          <t>🚫重复</t>
        </is>
      </c>
      <c r="R1227" t="inlineStr">
        <is>
          <t>15周</t>
        </is>
      </c>
      <c r="S1227" t="inlineStr">
        <is>
          <t>11.00</t>
        </is>
      </c>
      <c r="T1227" t="inlineStr">
        <is>
          <t>美食滋补</t>
        </is>
      </c>
      <c r="U1227" t="inlineStr">
        <is>
          <t>生鲜特产</t>
        </is>
      </c>
      <c r="V1227" s="3">
        <v>46122.97351851852</v>
      </c>
      <c r="W1227" t="inlineStr">
        <is>
          <t>2026-Q2</t>
        </is>
      </c>
    </row>
    <row r="1228" ht="25.5" customHeight="1">
      <c r="A1228" t="inlineStr">
        <is>
          <t>美式复古高腰阔腿裤直筒七分裤牛仔裤女夏</t>
        </is>
      </c>
      <c r="B1228" t="inlineStr">
        <is>
          <t>recvgoYCuBq9VE.jpg</t>
        </is>
      </c>
      <c r="C1228" s="2" t="str">
        <f>=HYPERLINK("https://xhslink.com/m/ATeXca84xiU", "https://xhslink.com/m/ATeXca84xiU")</f>
        <v>https://xhslink.com/m/ATeXca84xiU</v>
      </c>
      <c r="D1228"/>
      <c r="E1228">
        <v>50000</v>
      </c>
      <c r="F1228">
        <v>78.9</v>
      </c>
      <c r="G1228"/>
      <c r="H1228">
        <v>300</v>
      </c>
      <c r="I1228" t="inlineStr">
        <is>
          <t>休闲裤</t>
        </is>
      </c>
      <c r="J1228" t="inlineStr">
        <is>
          <t>0.01</t>
        </is>
      </c>
      <c r="K1228" t="inlineStr">
        <is>
          <t>🔥低粉爆款</t>
        </is>
      </c>
      <c r="L1228" t="inlineStr">
        <is>
          <t>半勺糖Tang的店</t>
        </is>
      </c>
      <c r="M1228">
        <v>7081</v>
      </c>
      <c r="N1228">
        <v>4.31</v>
      </c>
      <c r="O1228">
        <v>151000</v>
      </c>
      <c r="P1228" t="inlineStr">
        <is>
          <t>680a1a6ed390bd00017758df</t>
        </is>
      </c>
      <c r="Q1228" t="inlineStr">
        <is>
          <t>🚫重复</t>
        </is>
      </c>
      <c r="R1228" t="inlineStr">
        <is>
          <t>15周</t>
        </is>
      </c>
      <c r="S1228" t="inlineStr">
        <is>
          <t>7.06</t>
        </is>
      </c>
      <c r="T1228" t="inlineStr">
        <is>
          <t>服饰穿搭</t>
        </is>
      </c>
      <c r="U1228" t="inlineStr">
        <is>
          <t>女装</t>
        </is>
      </c>
      <c r="V1228" s="3">
        <v>46122.97351851852</v>
      </c>
      <c r="W1228" t="inlineStr">
        <is>
          <t>2026-Q2</t>
        </is>
      </c>
    </row>
    <row r="1229" ht="25.5" customHeight="1">
      <c r="A1229" t="inlineStr">
        <is>
          <t>一只予【低腰丰胯短裤】夏季辣妹女百搭弹力修身显瘦热裤休闲裤子</t>
        </is>
      </c>
      <c r="B1229" t="inlineStr">
        <is>
          <t>recvgoYCuBK6J9.jpg</t>
        </is>
      </c>
      <c r="C1229" s="2" t="str">
        <f>=HYPERLINK("https://xhslink.com/m/3vzmJHzoj0X", "https://xhslink.com/m/3vzmJHzoj0X")</f>
        <v>https://xhslink.com/m/3vzmJHzoj0X</v>
      </c>
      <c r="D1229"/>
      <c r="E1229">
        <v>21000</v>
      </c>
      <c r="F1229">
        <v>89</v>
      </c>
      <c r="G1229"/>
      <c r="H1229">
        <v>300</v>
      </c>
      <c r="I1229" t="inlineStr">
        <is>
          <t>短裤</t>
        </is>
      </c>
      <c r="J1229" t="inlineStr">
        <is>
          <t>0.01</t>
        </is>
      </c>
      <c r="K1229"/>
      <c r="L1229" t="inlineStr">
        <is>
          <t>一只予漫画身材服饰的店</t>
        </is>
      </c>
      <c r="M1229">
        <v>33000</v>
      </c>
      <c r="N1229">
        <v>4.47</v>
      </c>
      <c r="O1229">
        <v>80000</v>
      </c>
      <c r="P1229" t="inlineStr">
        <is>
          <t>6780efdbb1ef540001b4ce6c</t>
        </is>
      </c>
      <c r="Q1229"/>
      <c r="R1229" t="inlineStr">
        <is>
          <t>15周</t>
        </is>
      </c>
      <c r="S1229" t="inlineStr">
        <is>
          <t>0.64</t>
        </is>
      </c>
      <c r="T1229" t="inlineStr">
        <is>
          <t>服饰穿搭</t>
        </is>
      </c>
      <c r="U1229" t="inlineStr">
        <is>
          <t>女装</t>
        </is>
      </c>
      <c r="V1229" s="3">
        <v>46122.97351851852</v>
      </c>
      <c r="W1229" t="inlineStr">
        <is>
          <t>2026-Q2</t>
        </is>
      </c>
    </row>
    <row r="1230" ht="25.5" customHeight="1">
      <c r="A1230" t="inlineStr">
        <is>
          <t>【不近视款】复古大框户外骑行登山滑雪防风护目镜墨镜防晒太阳镜</t>
        </is>
      </c>
      <c r="B1230" t="inlineStr">
        <is>
          <t>recvgoYCuBlczP.jpg</t>
        </is>
      </c>
      <c r="C1230" s="2" t="str">
        <f>=HYPERLINK("https://xhslink.com/m/9lMJCaDQP8Q", "https://xhslink.com/m/9lMJCaDQP8Q")</f>
        <v>https://xhslink.com/m/9lMJCaDQP8Q</v>
      </c>
      <c r="D1230"/>
      <c r="E1230">
        <v>30000</v>
      </c>
      <c r="F1230">
        <v>56.9</v>
      </c>
      <c r="G1230">
        <v>16.9</v>
      </c>
      <c r="H1230">
        <v>300</v>
      </c>
      <c r="I1230" t="inlineStr">
        <is>
          <t>运动包配</t>
        </is>
      </c>
      <c r="J1230" t="inlineStr">
        <is>
          <t>0.01</t>
        </is>
      </c>
      <c r="K1230" t="inlineStr">
        <is>
          <t>🔥低粉爆款</t>
        </is>
      </c>
      <c r="L1230" t="inlineStr">
        <is>
          <t>小野女士眼镜的店</t>
        </is>
      </c>
      <c r="M1230">
        <v>6286</v>
      </c>
      <c r="N1230">
        <v>4.65</v>
      </c>
      <c r="O1230">
        <v>380000</v>
      </c>
      <c r="P1230" t="inlineStr">
        <is>
          <t>68c3f90dc33f6100013e863a</t>
        </is>
      </c>
      <c r="Q1230" t="inlineStr">
        <is>
          <t>🚫重复</t>
        </is>
      </c>
      <c r="R1230" t="inlineStr">
        <is>
          <t>15周</t>
        </is>
      </c>
      <c r="S1230" t="inlineStr">
        <is>
          <t>4.77</t>
        </is>
      </c>
      <c r="T1230" t="inlineStr">
        <is>
          <t>运动潮玩</t>
        </is>
      </c>
      <c r="U1230" t="inlineStr">
        <is>
          <t>运动户外装备</t>
        </is>
      </c>
      <c r="V1230" s="3">
        <v>46122.97351851852</v>
      </c>
      <c r="W1230" t="inlineStr">
        <is>
          <t>2026-Q2</t>
        </is>
      </c>
    </row>
    <row r="1231" ht="25.5" customHeight="1">
      <c r="A1231" t="inlineStr">
        <is>
          <t>大容量旅行包女短途手提行李袋收纳待产包登机包健身包旅游出差包</t>
        </is>
      </c>
      <c r="B1231" t="inlineStr">
        <is>
          <t>recvgoYCuBvNUA.jpg</t>
        </is>
      </c>
      <c r="C1231" s="2" t="str">
        <f>=HYPERLINK("https://xhslink.com/m/7VXHVKRAi5b", "https://xhslink.com/m/7VXHVKRAi5b")</f>
        <v>https://xhslink.com/m/7VXHVKRAi5b</v>
      </c>
      <c r="D1231"/>
      <c r="E1231">
        <v>53000</v>
      </c>
      <c r="F1231">
        <v>49.9</v>
      </c>
      <c r="G1231"/>
      <c r="H1231">
        <v>300</v>
      </c>
      <c r="I1231" t="inlineStr">
        <is>
          <t>运动包配</t>
        </is>
      </c>
      <c r="J1231" t="inlineStr">
        <is>
          <t>0.01</t>
        </is>
      </c>
      <c r="K1231" t="inlineStr">
        <is>
          <t>🔥低粉爆款</t>
        </is>
      </c>
      <c r="L1231" t="inlineStr">
        <is>
          <t>慢客箱包的店</t>
        </is>
      </c>
      <c r="M1231">
        <v>3044</v>
      </c>
      <c r="N1231">
        <v>4.79</v>
      </c>
      <c r="O1231">
        <v>81000</v>
      </c>
      <c r="P1231" t="inlineStr">
        <is>
          <t>6868b931756506000194afd6</t>
        </is>
      </c>
      <c r="Q1231" t="inlineStr">
        <is>
          <t>🚫重复</t>
        </is>
      </c>
      <c r="R1231" t="inlineStr">
        <is>
          <t>15周</t>
        </is>
      </c>
      <c r="S1231" t="inlineStr">
        <is>
          <t>17.41</t>
        </is>
      </c>
      <c r="T1231" t="inlineStr">
        <is>
          <t>运动潮玩</t>
        </is>
      </c>
      <c r="U1231" t="inlineStr">
        <is>
          <t>旅行出行</t>
        </is>
      </c>
      <c r="V1231" s="3">
        <v>46122.97351851852</v>
      </c>
      <c r="W1231" t="inlineStr">
        <is>
          <t>2026-Q2</t>
        </is>
      </c>
    </row>
    <row r="1232" ht="25.5" customHeight="1">
      <c r="A1232" t="inlineStr">
        <is>
          <t>Taaoi口袋磁力片创意拼搭益智玩具儿童早教男孩女孩生日礼物</t>
        </is>
      </c>
      <c r="B1232" t="inlineStr">
        <is>
          <t>recvguTbC1pzAI.jpg</t>
        </is>
      </c>
      <c r="C1232" s="2" t="str">
        <f>=HYPERLINK("https://xhslink.com/m/2lneNGwahog", "https://xhslink.com/m/2lneNGwahog")</f>
        <v>https://xhslink.com/m/2lneNGwahog</v>
      </c>
      <c r="D1232"/>
      <c r="E1232">
        <v>1205</v>
      </c>
      <c r="F1232">
        <v>62.8</v>
      </c>
      <c r="G1232">
        <v>33.5</v>
      </c>
      <c r="H1232">
        <v>300</v>
      </c>
      <c r="I1232" t="inlineStr">
        <is>
          <t>益智玩具</t>
        </is>
      </c>
      <c r="J1232" t="inlineStr">
        <is>
          <t>0.25</t>
        </is>
      </c>
      <c r="K1232"/>
      <c r="L1232" t="inlineStr">
        <is>
          <t>Taaol Baby的店</t>
        </is>
      </c>
      <c r="M1232">
        <v>11000</v>
      </c>
      <c r="N1232">
        <v>4.44</v>
      </c>
      <c r="O1232">
        <v>160000</v>
      </c>
      <c r="P1232" t="inlineStr">
        <is>
          <t>69bba5762652690001e2c860</t>
        </is>
      </c>
      <c r="Q1232" t="inlineStr">
        <is>
          <t>🚫重复</t>
        </is>
      </c>
      <c r="R1232" t="inlineStr">
        <is>
          <t>15周</t>
        </is>
      </c>
      <c r="S1232" t="inlineStr">
        <is>
          <t>0.11</t>
        </is>
      </c>
      <c r="T1232" t="inlineStr">
        <is>
          <t>母婴亲子</t>
        </is>
      </c>
      <c r="U1232" t="inlineStr">
        <is>
          <t>玩具早教</t>
        </is>
      </c>
      <c r="V1232" s="3">
        <v>46123.98462962963</v>
      </c>
      <c r="W1232" t="inlineStr">
        <is>
          <t>2026-Q2</t>
        </is>
      </c>
    </row>
    <row r="1233" ht="25.5" customHeight="1">
      <c r="A1233" t="inlineStr">
        <is>
          <t>chikoku · 青弓月芽高足弓洞洞鞋女夏新款足弓支撑厚底拖鞋男外穿防滑沙滩鞋</t>
        </is>
      </c>
      <c r="B1233" t="inlineStr">
        <is>
          <t>recvguTbC1Oe9w.jpg</t>
        </is>
      </c>
      <c r="C1233" s="2" t="str">
        <f>=HYPERLINK("https://xhslink.com/m/7jv0SOdDuOF", "https://xhslink.com/m/7jv0SOdDuOF")</f>
        <v>https://xhslink.com/m/7jv0SOdDuOF</v>
      </c>
      <c r="D1233"/>
      <c r="E1233">
        <v>2191</v>
      </c>
      <c r="F1233">
        <v>49.9</v>
      </c>
      <c r="G1233">
        <v>39.9</v>
      </c>
      <c r="H1233">
        <v>300</v>
      </c>
      <c r="I1233" t="inlineStr">
        <is>
          <t>鞋靴</t>
        </is>
      </c>
      <c r="J1233" t="inlineStr">
        <is>
          <t>0.14</t>
        </is>
      </c>
      <c r="K1233"/>
      <c r="L1233" t="inlineStr">
        <is>
          <t>chikoku旗舰店</t>
        </is>
      </c>
      <c r="M1233">
        <v>270000</v>
      </c>
      <c r="N1233">
        <v>4.73</v>
      </c>
      <c r="O1233">
        <v>226000</v>
      </c>
      <c r="P1233" t="inlineStr">
        <is>
          <t>69d20def10b42d0001c308e7</t>
        </is>
      </c>
      <c r="Q1233" t="inlineStr">
        <is>
          <t>🚫重复</t>
        </is>
      </c>
      <c r="R1233" t="inlineStr">
        <is>
          <t>15周</t>
        </is>
      </c>
      <c r="S1233" t="inlineStr">
        <is>
          <t>0.01</t>
        </is>
      </c>
      <c r="T1233" t="inlineStr">
        <is>
          <t>服饰穿搭</t>
        </is>
      </c>
      <c r="U1233" t="inlineStr">
        <is>
          <t>鞋靴箱包</t>
        </is>
      </c>
      <c r="V1233" s="3">
        <v>46123.98462962963</v>
      </c>
      <c r="W1233" t="inlineStr">
        <is>
          <t>2026-Q2</t>
        </is>
      </c>
    </row>
    <row r="1234" ht="25.5" customHeight="1">
      <c r="A1234" t="inlineStr">
        <is>
          <t>复古蝴蝶结真皮芭蕾舞鞋亮面弹力带简约单鞋平底奶奶鞋YS-260008</t>
        </is>
      </c>
      <c r="B1234" t="inlineStr">
        <is>
          <t>recvguTbC1Xs2E.jpg</t>
        </is>
      </c>
      <c r="C1234" s="2" t="str">
        <f>=HYPERLINK("https://xhslink.com/m/7bvZTspMb6P", "https://xhslink.com/m/7bvZTspMb6P")</f>
        <v>https://xhslink.com/m/7bvZTspMb6P</v>
      </c>
      <c r="D1234"/>
      <c r="E1234">
        <v>1665</v>
      </c>
      <c r="F1234">
        <v>699</v>
      </c>
      <c r="G1234">
        <v>380</v>
      </c>
      <c r="H1234">
        <v>300</v>
      </c>
      <c r="I1234" t="inlineStr">
        <is>
          <t>鞋靴</t>
        </is>
      </c>
      <c r="J1234" t="inlineStr">
        <is>
          <t>0.18</t>
        </is>
      </c>
      <c r="K1234"/>
      <c r="L1234" t="inlineStr">
        <is>
          <t>桐宝的鞋柜日记的店</t>
        </is>
      </c>
      <c r="M1234">
        <v>12000</v>
      </c>
      <c r="N1234">
        <v>4.66</v>
      </c>
      <c r="O1234">
        <v>11000</v>
      </c>
      <c r="P1234" t="inlineStr">
        <is>
          <t>6976122365a1a10001e46f31</t>
        </is>
      </c>
      <c r="Q1234"/>
      <c r="R1234" t="inlineStr">
        <is>
          <t>15周</t>
        </is>
      </c>
      <c r="S1234" t="inlineStr">
        <is>
          <t>0.14</t>
        </is>
      </c>
      <c r="T1234" t="inlineStr">
        <is>
          <t>服饰穿搭</t>
        </is>
      </c>
      <c r="U1234" t="inlineStr">
        <is>
          <t>鞋靴箱包</t>
        </is>
      </c>
      <c r="V1234" s="3">
        <v>46123.98462962963</v>
      </c>
      <c r="W1234" t="inlineStr">
        <is>
          <t>2026-Q2</t>
        </is>
      </c>
    </row>
    <row r="1235" ht="25.5" customHeight="1">
      <c r="A1235" t="inlineStr">
        <is>
          <t>5CM厚底内增高德训鞋女小白鞋子2026新款春夏薄款透气阿甘鞋板鞋</t>
        </is>
      </c>
      <c r="B1235" t="inlineStr">
        <is>
          <t>recvguTbC1OqST.jpg</t>
        </is>
      </c>
      <c r="C1235" s="2" t="str">
        <f>=HYPERLINK("https://xhslink.com/m/8AQAANpBhww", "https://xhslink.com/m/8AQAANpBhww")</f>
        <v>https://xhslink.com/m/8AQAANpBhww</v>
      </c>
      <c r="D1235"/>
      <c r="E1235">
        <v>1239</v>
      </c>
      <c r="F1235">
        <v>49.9</v>
      </c>
      <c r="G1235">
        <v>39.92</v>
      </c>
      <c r="H1235">
        <v>300</v>
      </c>
      <c r="I1235" t="inlineStr">
        <is>
          <t>鞋靴</t>
        </is>
      </c>
      <c r="J1235" t="inlineStr">
        <is>
          <t>0.24</t>
        </is>
      </c>
      <c r="K1235" t="inlineStr">
        <is>
          <t>🔥低粉爆款</t>
        </is>
      </c>
      <c r="L1235" t="inlineStr">
        <is>
          <t>一只酱shoes的店</t>
        </is>
      </c>
      <c r="M1235">
        <v>125</v>
      </c>
      <c r="N1235">
        <v>4.67</v>
      </c>
      <c r="O1235">
        <v>1478</v>
      </c>
      <c r="P1235" t="inlineStr">
        <is>
          <t>69b8113bd9bb8900150c4067</t>
        </is>
      </c>
      <c r="Q1235"/>
      <c r="R1235" t="inlineStr">
        <is>
          <t>15周</t>
        </is>
      </c>
      <c r="S1235" t="inlineStr">
        <is>
          <t>9.91</t>
        </is>
      </c>
      <c r="T1235" t="inlineStr">
        <is>
          <t>服饰穿搭</t>
        </is>
      </c>
      <c r="U1235" t="inlineStr">
        <is>
          <t>鞋靴箱包</t>
        </is>
      </c>
      <c r="V1235" s="3">
        <v>46123.98462962963</v>
      </c>
      <c r="W1235" t="inlineStr">
        <is>
          <t>2026-Q2</t>
        </is>
      </c>
    </row>
    <row r="1236" ht="25.5" customHeight="1">
      <c r="A1236" t="inlineStr">
        <is>
          <t>【600g】量贩装品质恰巴塔600克 9-10枚面包无蔗糖健康健身代餐</t>
        </is>
      </c>
      <c r="B1236" t="inlineStr">
        <is>
          <t>recvguTbC1gFae.jpg</t>
        </is>
      </c>
      <c r="C1236" s="2" t="str">
        <f>=HYPERLINK("https://xhslink.com/m/2ovqv4h8Po8", "https://xhslink.com/m/2ovqv4h8Po8")</f>
        <v>https://xhslink.com/m/2ovqv4h8Po8</v>
      </c>
      <c r="D1236"/>
      <c r="E1236">
        <v>44000</v>
      </c>
      <c r="F1236">
        <v>29.9</v>
      </c>
      <c r="G1236"/>
      <c r="H1236">
        <v>300</v>
      </c>
      <c r="I1236" t="inlineStr">
        <is>
          <t>碱水面包</t>
        </is>
      </c>
      <c r="J1236" t="inlineStr">
        <is>
          <t>0.01</t>
        </is>
      </c>
      <c r="K1236" t="inlineStr">
        <is>
          <t>🔥低粉爆款</t>
        </is>
      </c>
      <c r="L1236" t="inlineStr">
        <is>
          <t>美糖手工烘焙工坊的店</t>
        </is>
      </c>
      <c r="M1236">
        <v>9158</v>
      </c>
      <c r="N1236">
        <v>4.64</v>
      </c>
      <c r="O1236">
        <v>65000</v>
      </c>
      <c r="P1236" t="inlineStr">
        <is>
          <t>6870c2701cfd980001c713ea</t>
        </is>
      </c>
      <c r="Q1236" t="inlineStr">
        <is>
          <t>🚫重复</t>
        </is>
      </c>
      <c r="R1236" t="inlineStr">
        <is>
          <t>15周</t>
        </is>
      </c>
      <c r="S1236" t="inlineStr">
        <is>
          <t>4.80</t>
        </is>
      </c>
      <c r="T1236" t="inlineStr">
        <is>
          <t>美食滋补</t>
        </is>
      </c>
      <c r="U1236" t="inlineStr">
        <is>
          <t>休闲零食</t>
        </is>
      </c>
      <c r="V1236" s="3">
        <v>46123.98462962963</v>
      </c>
      <c r="W1236" t="inlineStr">
        <is>
          <t>2026-Q2</t>
        </is>
      </c>
    </row>
    <row r="1237" ht="25.5" customHeight="1">
      <c r="A1237" t="inlineStr">
        <is>
          <t>【加购满15包邮】无熏硫可检测 黄芪当归枸杞麦冬茯苓红大枣玫瑰</t>
        </is>
      </c>
      <c r="B1237" t="inlineStr">
        <is>
          <t>__upload_recvgAET7xb4g7.jpg</t>
        </is>
      </c>
      <c r="C1237" s="2" t="str">
        <f>=HYPERLINK("https://xhslink.com/m/7EtsIDfLzEz", "https://xhslink.com/m/7EtsIDfLzEz")</f>
        <v>https://xhslink.com/m/7EtsIDfLzEz</v>
      </c>
      <c r="D1237"/>
      <c r="E1237">
        <v>42000</v>
      </c>
      <c r="F1237">
        <v>2</v>
      </c>
      <c r="G1237"/>
      <c r="H1237">
        <v>300</v>
      </c>
      <c r="I1237" t="inlineStr">
        <is>
          <t>气血滋补</t>
        </is>
      </c>
      <c r="J1237" t="inlineStr">
        <is>
          <t>0.01</t>
        </is>
      </c>
      <c r="K1237" t="inlineStr">
        <is>
          <t>🔥低粉爆款</t>
        </is>
      </c>
      <c r="L1237" t="inlineStr">
        <is>
          <t>事事顺滋补的店</t>
        </is>
      </c>
      <c r="M1237">
        <v>11000</v>
      </c>
      <c r="N1237">
        <v>4.7</v>
      </c>
      <c r="O1237">
        <v>61000</v>
      </c>
      <c r="P1237" t="inlineStr">
        <is>
          <t>685fadfd3a11a8000183f536</t>
        </is>
      </c>
      <c r="Q1237" t="inlineStr">
        <is>
          <t>🚫重复</t>
        </is>
      </c>
      <c r="R1237" t="inlineStr">
        <is>
          <t>15周</t>
        </is>
      </c>
      <c r="S1237" t="inlineStr">
        <is>
          <t>3.82</t>
        </is>
      </c>
      <c r="T1237" t="inlineStr">
        <is>
          <t>美食滋补</t>
        </is>
      </c>
      <c r="U1237" t="inlineStr">
        <is>
          <t>营养滋补</t>
        </is>
      </c>
      <c r="V1237" s="3">
        <v>46124.971342592595</v>
      </c>
      <c r="W1237" t="inlineStr">
        <is>
          <t>2026-Q2</t>
        </is>
      </c>
    </row>
    <row r="1238" ht="25.5" customHeight="1">
      <c r="A1238" t="inlineStr">
        <is>
          <t>HARIBO · 现货！限量联名德国哈瑞宝小熊橡皮软糖哈利波特联名限定款</t>
        </is>
      </c>
      <c r="B1238" t="inlineStr">
        <is>
          <t>__upload_recvgAET7x41oA.jpg</t>
        </is>
      </c>
      <c r="C1238" s="2" t="str">
        <f>=HYPERLINK("https://xhslink.com/m/2k8wr5hMpoM", "https://xhslink.com/m/2k8wr5hMpoM")</f>
        <v>https://xhslink.com/m/2k8wr5hMpoM</v>
      </c>
      <c r="D1238"/>
      <c r="E1238">
        <v>40000</v>
      </c>
      <c r="F1238">
        <v>20.9</v>
      </c>
      <c r="G1238"/>
      <c r="H1238">
        <v>300</v>
      </c>
      <c r="I1238" t="inlineStr">
        <is>
          <t>软糖</t>
        </is>
      </c>
      <c r="J1238" t="inlineStr">
        <is>
          <t>0.01</t>
        </is>
      </c>
      <c r="K1238" t="inlineStr">
        <is>
          <t>🔥低粉爆款</t>
        </is>
      </c>
      <c r="L1238" t="inlineStr">
        <is>
          <t>榛子🌰的店</t>
        </is>
      </c>
      <c r="M1238">
        <v>1718</v>
      </c>
      <c r="N1238">
        <v>4.49</v>
      </c>
      <c r="O1238">
        <v>47000</v>
      </c>
      <c r="P1238" t="inlineStr">
        <is>
          <t>68ac2685acb11600017fd07e</t>
        </is>
      </c>
      <c r="Q1238" t="inlineStr">
        <is>
          <t>🚫重复</t>
        </is>
      </c>
      <c r="R1238" t="inlineStr">
        <is>
          <t>15周</t>
        </is>
      </c>
      <c r="S1238" t="inlineStr">
        <is>
          <t>23.28</t>
        </is>
      </c>
      <c r="T1238" t="inlineStr">
        <is>
          <t>美食滋补</t>
        </is>
      </c>
      <c r="U1238" t="inlineStr">
        <is>
          <t>休闲零食</t>
        </is>
      </c>
      <c r="V1238" s="3">
        <v>46124.971342592595</v>
      </c>
      <c r="W1238" t="inlineStr">
        <is>
          <t>2026-Q2</t>
        </is>
      </c>
    </row>
    <row r="1239" ht="25.5" customHeight="1">
      <c r="A1239" t="inlineStr">
        <is>
          <t>【华妃同款】铜锣烧手工奶油夹心糕点零食混合口味面包蛋糕加量版</t>
        </is>
      </c>
      <c r="B1239" t="inlineStr">
        <is>
          <t>__upload_recvgAET7x012P.jpg</t>
        </is>
      </c>
      <c r="C1239" s="2" t="str">
        <f>=HYPERLINK("https://xhslink.com/m/8KHFdYMl3dw", "https://xhslink.com/m/8KHFdYMl3dw")</f>
        <v>https://xhslink.com/m/8KHFdYMl3dw</v>
      </c>
      <c r="D1239"/>
      <c r="E1239">
        <v>106000</v>
      </c>
      <c r="F1239">
        <v>29.9</v>
      </c>
      <c r="G1239">
        <v>19.9</v>
      </c>
      <c r="H1239">
        <v>300</v>
      </c>
      <c r="I1239" t="inlineStr">
        <is>
          <t>零食</t>
        </is>
      </c>
      <c r="J1239" t="inlineStr">
        <is>
          <t>0.00</t>
        </is>
      </c>
      <c r="K1239" t="inlineStr">
        <is>
          <t>🔥低粉爆款</t>
        </is>
      </c>
      <c r="L1239" t="inlineStr">
        <is>
          <t>怪兽吃不饱的店</t>
        </is>
      </c>
      <c r="M1239">
        <v>5491</v>
      </c>
      <c r="N1239">
        <v>4.33</v>
      </c>
      <c r="O1239">
        <v>111000</v>
      </c>
      <c r="P1239" t="inlineStr">
        <is>
          <t>693a424071595800019ba8ef</t>
        </is>
      </c>
      <c r="Q1239"/>
      <c r="R1239" t="inlineStr">
        <is>
          <t>15周</t>
        </is>
      </c>
      <c r="S1239" t="inlineStr">
        <is>
          <t>19.30</t>
        </is>
      </c>
      <c r="T1239" t="inlineStr">
        <is>
          <t>美食滋补</t>
        </is>
      </c>
      <c r="U1239" t="inlineStr">
        <is>
          <t>休闲零食</t>
        </is>
      </c>
      <c r="V1239" s="3">
        <v>46124.971342592595</v>
      </c>
      <c r="W1239" t="inlineStr">
        <is>
          <t>2026-Q2</t>
        </is>
      </c>
    </row>
    <row r="1240" ht="25.5" customHeight="1">
      <c r="A1240" t="inlineStr">
        <is>
          <t>键盘+连接壳｜怀旧实体键盘 定制黑mei键盘蓝牙键盘 定制款不退</t>
        </is>
      </c>
      <c r="B1240" t="inlineStr">
        <is>
          <t>__upload_recvgAET7xXPJd.jpg</t>
        </is>
      </c>
      <c r="C1240" s="2" t="str">
        <f>=HYPERLINK("https://xhslink.com/m/2ny4jtu9Rw2", "https://xhslink.com/m/2ny4jtu9Rw2")</f>
        <v>https://xhslink.com/m/2ny4jtu9Rw2</v>
      </c>
      <c r="D1240"/>
      <c r="E1240">
        <v>445</v>
      </c>
      <c r="F1240">
        <v>688</v>
      </c>
      <c r="G1240"/>
      <c r="H1240">
        <v>300</v>
      </c>
      <c r="I1240" t="inlineStr">
        <is>
          <t>手机键盘</t>
        </is>
      </c>
      <c r="J1240" t="inlineStr">
        <is>
          <t>0.67</t>
        </is>
      </c>
      <c r="K1240"/>
      <c r="L1240" t="inlineStr">
        <is>
          <t>一瓶虞子酱的店</t>
        </is>
      </c>
      <c r="M1240">
        <v>46000</v>
      </c>
      <c r="N1240">
        <v>4.69</v>
      </c>
      <c r="O1240">
        <v>6022</v>
      </c>
      <c r="P1240" t="inlineStr">
        <is>
          <t>67a16c5f5ed72700013591dc</t>
        </is>
      </c>
      <c r="Q1240"/>
      <c r="R1240" t="inlineStr">
        <is>
          <t>15周</t>
        </is>
      </c>
      <c r="S1240" t="inlineStr">
        <is>
          <t>0.01</t>
        </is>
      </c>
      <c r="T1240" t="inlineStr">
        <is>
          <t>家居生活</t>
        </is>
      </c>
      <c r="U1240" t="inlineStr">
        <is>
          <t>厨房餐饮</t>
        </is>
      </c>
      <c r="V1240" s="3">
        <v>46124.971342592595</v>
      </c>
      <c r="W1240" t="inlineStr">
        <is>
          <t>2026-Q2</t>
        </is>
      </c>
    </row>
    <row r="1241" ht="25.5" customHeight="1">
      <c r="A1241" t="inlineStr">
        <is>
          <t>其他 · 口袋便携式磁吸手机支架三脚架拍照直播手机支架桌面手持自拍杆</t>
        </is>
      </c>
      <c r="B1241" t="inlineStr">
        <is>
          <t>__upload_recvgAET7xXRFE.jpg</t>
        </is>
      </c>
      <c r="C1241" s="2" t="str">
        <f>=HYPERLINK("https://xhslink.com/m/8L7ZABd4vfp", "https://xhslink.com/m/8L7ZABd4vfp")</f>
        <v>https://xhslink.com/m/8L7ZABd4vfp</v>
      </c>
      <c r="D1241"/>
      <c r="E1241">
        <v>12000</v>
      </c>
      <c r="F1241">
        <v>59.9</v>
      </c>
      <c r="G1241">
        <v>39.9</v>
      </c>
      <c r="H1241">
        <v>300</v>
      </c>
      <c r="I1241" t="inlineStr">
        <is>
          <t>手机支架</t>
        </is>
      </c>
      <c r="J1241" t="inlineStr">
        <is>
          <t>0.03</t>
        </is>
      </c>
      <c r="K1241" t="inlineStr">
        <is>
          <t>🔥低粉爆款</t>
        </is>
      </c>
      <c r="L1241" t="inlineStr">
        <is>
          <t>A暴汗俱乐部的店</t>
        </is>
      </c>
      <c r="M1241">
        <v>105</v>
      </c>
      <c r="N1241">
        <v>4.45</v>
      </c>
      <c r="O1241">
        <v>12000</v>
      </c>
      <c r="P1241" t="inlineStr">
        <is>
          <t>694f4a3963db6a0015b40f18</t>
        </is>
      </c>
      <c r="Q1241" t="inlineStr">
        <is>
          <t>🚫重复</t>
        </is>
      </c>
      <c r="R1241" t="inlineStr">
        <is>
          <t>15周</t>
        </is>
      </c>
      <c r="S1241" t="inlineStr">
        <is>
          <t>114.29</t>
        </is>
      </c>
      <c r="T1241" t="inlineStr">
        <is>
          <t>数码家电</t>
        </is>
      </c>
      <c r="U1241" t="inlineStr">
        <is>
          <t>数码配件</t>
        </is>
      </c>
      <c r="V1241" s="3">
        <v>46124.971342592595</v>
      </c>
      <c r="W1241" t="inlineStr">
        <is>
          <t>2026-Q2</t>
        </is>
      </c>
    </row>
    <row r="1242" ht="25.5" customHeight="1">
      <c r="A1242" t="inlineStr">
        <is>
          <t>双面磁吸手机支架大全合金材质桌面支架赠2个磁吸环</t>
        </is>
      </c>
      <c r="B1242" t="inlineStr">
        <is>
          <t>__upload_recvgAET7xRwcr.jpg</t>
        </is>
      </c>
      <c r="C1242" s="2" t="str">
        <f>=HYPERLINK("https://xhslink.com/m/4o8goTCtTPc", "https://xhslink.com/m/4o8goTCtTPc")</f>
        <v>https://xhslink.com/m/4o8goTCtTPc</v>
      </c>
      <c r="D1242"/>
      <c r="E1242">
        <v>23000</v>
      </c>
      <c r="F1242">
        <v>36.3</v>
      </c>
      <c r="G1242">
        <v>30.8</v>
      </c>
      <c r="H1242">
        <v>300</v>
      </c>
      <c r="I1242" t="inlineStr">
        <is>
          <t>手机支架</t>
        </is>
      </c>
      <c r="J1242" t="inlineStr">
        <is>
          <t>0.01</t>
        </is>
      </c>
      <c r="K1242" t="inlineStr">
        <is>
          <t>🔥低粉爆款</t>
        </is>
      </c>
      <c r="L1242" t="inlineStr">
        <is>
          <t>嘟嘟伊娃的店</t>
        </is>
      </c>
      <c r="M1242">
        <v>2553</v>
      </c>
      <c r="N1242">
        <v>4.42</v>
      </c>
      <c r="O1242">
        <v>27000</v>
      </c>
      <c r="P1242" t="inlineStr">
        <is>
          <t>68e8e14fed3b2f00012b7899</t>
        </is>
      </c>
      <c r="Q1242" t="inlineStr">
        <is>
          <t>🚫重复</t>
        </is>
      </c>
      <c r="R1242" t="inlineStr">
        <is>
          <t>15周</t>
        </is>
      </c>
      <c r="S1242" t="inlineStr">
        <is>
          <t>9.01</t>
        </is>
      </c>
      <c r="T1242" t="inlineStr">
        <is>
          <t>数码家电</t>
        </is>
      </c>
      <c r="U1242" t="inlineStr">
        <is>
          <t>数码配件</t>
        </is>
      </c>
      <c r="V1242" s="3">
        <v>46124.971342592595</v>
      </c>
      <c r="W1242" t="inlineStr">
        <is>
          <t>2026-Q2</t>
        </is>
      </c>
    </row>
    <row r="1243" ht="25.5" customHeight="1">
      <c r="A1243" t="inlineStr">
        <is>
          <t>【前200单立减30元】韩版正肩V领显瘦短袖t恤</t>
        </is>
      </c>
      <c r="B1243" t="inlineStr">
        <is>
          <t>__upload_recvgAET7xfFBk.jpg</t>
        </is>
      </c>
      <c r="C1243" s="2" t="str">
        <f>=HYPERLINK("https://xhslink.com/m/7UXTmYp8VOK", "https://xhslink.com/m/7UXTmYp8VOK")</f>
        <v>https://xhslink.com/m/7UXTmYp8VOK</v>
      </c>
      <c r="D1243"/>
      <c r="E1243">
        <v>1483</v>
      </c>
      <c r="F1243">
        <v>69.9</v>
      </c>
      <c r="G1243">
        <v>39.9</v>
      </c>
      <c r="H1243">
        <v>300</v>
      </c>
      <c r="I1243" t="inlineStr">
        <is>
          <t>T恤</t>
        </is>
      </c>
      <c r="J1243" t="inlineStr">
        <is>
          <t>0.20</t>
        </is>
      </c>
      <c r="K1243"/>
      <c r="L1243" t="inlineStr">
        <is>
          <t>美式我的最爱的店</t>
        </is>
      </c>
      <c r="M1243">
        <v>21000</v>
      </c>
      <c r="N1243">
        <v>4.61</v>
      </c>
      <c r="O1243">
        <v>223000</v>
      </c>
      <c r="P1243" t="inlineStr">
        <is>
          <t>69b1484147c2d500010e0cd5</t>
        </is>
      </c>
      <c r="Q1243"/>
      <c r="R1243" t="inlineStr">
        <is>
          <t>15周</t>
        </is>
      </c>
      <c r="S1243" t="inlineStr">
        <is>
          <t>0.07</t>
        </is>
      </c>
      <c r="T1243" t="inlineStr">
        <is>
          <t>服饰穿搭</t>
        </is>
      </c>
      <c r="U1243" t="inlineStr">
        <is>
          <t>女装</t>
        </is>
      </c>
      <c r="V1243" s="3">
        <v>46124.971342592595</v>
      </c>
      <c r="W1243" t="inlineStr">
        <is>
          <t>2026-Q2</t>
        </is>
      </c>
    </row>
    <row r="1244" ht="25.5" customHeight="1">
      <c r="A1244" t="inlineStr">
        <is>
          <t>LLF-柔软亲肤天丝亮闪blingbling撒银插肩短袖薄款百搭T恤上衣</t>
        </is>
      </c>
      <c r="B1244" t="inlineStr">
        <is>
          <t>__upload_recvgAET7xq5TA.jpg</t>
        </is>
      </c>
      <c r="C1244" s="2" t="str">
        <f>=HYPERLINK("https://xhslink.com/m/1vje7Swx03h", "https://xhslink.com/m/1vje7Swx03h")</f>
        <v>https://xhslink.com/m/1vje7Swx03h</v>
      </c>
      <c r="D1244"/>
      <c r="E1244">
        <v>1457</v>
      </c>
      <c r="F1244">
        <v>130</v>
      </c>
      <c r="G1244">
        <v>85</v>
      </c>
      <c r="H1244">
        <v>300</v>
      </c>
      <c r="I1244" t="inlineStr">
        <is>
          <t>T恤</t>
        </is>
      </c>
      <c r="J1244" t="inlineStr">
        <is>
          <t>0.21</t>
        </is>
      </c>
      <c r="K1244"/>
      <c r="L1244" t="inlineStr">
        <is>
          <t>LLFa的店</t>
        </is>
      </c>
      <c r="M1244">
        <v>3752</v>
      </c>
      <c r="N1244">
        <v>4.56</v>
      </c>
      <c r="O1244">
        <v>66000</v>
      </c>
      <c r="P1244" t="inlineStr">
        <is>
          <t>69c1439b5e5f050001e11e35</t>
        </is>
      </c>
      <c r="Q1244" t="inlineStr">
        <is>
          <t>🚫重复</t>
        </is>
      </c>
      <c r="R1244" t="inlineStr">
        <is>
          <t>15周</t>
        </is>
      </c>
      <c r="S1244" t="inlineStr">
        <is>
          <t>0.39</t>
        </is>
      </c>
      <c r="T1244" t="inlineStr">
        <is>
          <t>服饰穿搭</t>
        </is>
      </c>
      <c r="U1244" t="inlineStr">
        <is>
          <t>女装</t>
        </is>
      </c>
      <c r="V1244" s="3">
        <v>46124.971342592595</v>
      </c>
      <c r="W1244" t="inlineStr">
        <is>
          <t>2026-Q2</t>
        </is>
      </c>
    </row>
    <row r="1245" ht="25.5" customHeight="1">
      <c r="A1245" t="inlineStr">
        <is>
          <t>Tangle · 幻石系列扭扭乐ADHD专注力手指训练神器解压小玩具</t>
        </is>
      </c>
      <c r="B1245" t="inlineStr">
        <is>
          <t>__upload_recvgAET7xazR9.jpg</t>
        </is>
      </c>
      <c r="C1245" s="2" t="str">
        <f>=HYPERLINK("https://xhslink.com/m/9Yq5APZNo5m", "https://xhslink.com/m/9Yq5APZNo5m")</f>
        <v>https://xhslink.com/m/9Yq5APZNo5m</v>
      </c>
      <c r="D1245"/>
      <c r="E1245">
        <v>37000</v>
      </c>
      <c r="F1245">
        <v>50</v>
      </c>
      <c r="G1245"/>
      <c r="H1245">
        <v>300</v>
      </c>
      <c r="I1245" t="inlineStr">
        <is>
          <t>解压玩具</t>
        </is>
      </c>
      <c r="J1245" t="inlineStr">
        <is>
          <t>0.01</t>
        </is>
      </c>
      <c r="K1245"/>
      <c r="L1245" t="inlineStr">
        <is>
          <t>Tangle旗舰店</t>
        </is>
      </c>
      <c r="M1245">
        <v>87000</v>
      </c>
      <c r="N1245">
        <v>4.53</v>
      </c>
      <c r="O1245">
        <v>156000</v>
      </c>
      <c r="P1245" t="inlineStr">
        <is>
          <t>69057a10aa1e7b0015b4a653</t>
        </is>
      </c>
      <c r="Q1245" t="inlineStr">
        <is>
          <t>🚫重复</t>
        </is>
      </c>
      <c r="R1245" t="inlineStr">
        <is>
          <t>15周</t>
        </is>
      </c>
      <c r="S1245" t="inlineStr">
        <is>
          <t>0.43</t>
        </is>
      </c>
      <c r="T1245" t="inlineStr">
        <is>
          <t>母婴亲子</t>
        </is>
      </c>
      <c r="U1245" t="inlineStr">
        <is>
          <t>玩具早教</t>
        </is>
      </c>
      <c r="V1245" s="3">
        <v>46124.971342592595</v>
      </c>
      <c r="W1245" t="inlineStr">
        <is>
          <t>2026-Q2</t>
        </is>
      </c>
    </row>
    <row r="1246" ht="25.5" customHeight="1">
      <c r="A1246" t="inlineStr">
        <is>
          <t>【发光人生盲盒】情绪摆件/礼物推荐/创意摆件/桌面装饰/解压玩具</t>
        </is>
      </c>
      <c r="B1246" t="inlineStr">
        <is>
          <t>__upload_recvgAET7xSqhb.jpg</t>
        </is>
      </c>
      <c r="C1246" s="2" t="str">
        <f>=HYPERLINK("https://xhslink.com/m/3Bu0jjY363L", "https://xhslink.com/m/3Bu0jjY363L")</f>
        <v>https://xhslink.com/m/3Bu0jjY363L</v>
      </c>
      <c r="D1246"/>
      <c r="E1246">
        <v>3180</v>
      </c>
      <c r="F1246">
        <v>118.9</v>
      </c>
      <c r="G1246">
        <v>78.9</v>
      </c>
      <c r="H1246">
        <v>300</v>
      </c>
      <c r="I1246" t="inlineStr">
        <is>
          <t>解压玩具</t>
        </is>
      </c>
      <c r="J1246" t="inlineStr">
        <is>
          <t>0.09</t>
        </is>
      </c>
      <c r="K1246" t="inlineStr">
        <is>
          <t>🔥低粉爆款</t>
        </is>
      </c>
      <c r="L1246" t="inlineStr">
        <is>
          <t>一颗青苹果OvO的店</t>
        </is>
      </c>
      <c r="M1246">
        <v>414</v>
      </c>
      <c r="N1246">
        <v>4.61</v>
      </c>
      <c r="O1246">
        <v>3187</v>
      </c>
      <c r="P1246" t="inlineStr">
        <is>
          <t>69c6b18b51d7aa000118ecb9</t>
        </is>
      </c>
      <c r="Q1246" t="inlineStr">
        <is>
          <t>🚫重复</t>
        </is>
      </c>
      <c r="R1246" t="inlineStr">
        <is>
          <t>15周</t>
        </is>
      </c>
      <c r="S1246" t="inlineStr">
        <is>
          <t>7.68</t>
        </is>
      </c>
      <c r="T1246" t="inlineStr">
        <is>
          <t>家居生活</t>
        </is>
      </c>
      <c r="U1246" t="inlineStr">
        <is>
          <t>家具家装</t>
        </is>
      </c>
      <c r="V1246" s="3">
        <v>46124.971342592595</v>
      </c>
      <c r="W1246" t="inlineStr">
        <is>
          <t>2026-Q2</t>
        </is>
      </c>
    </row>
    <row r="1247" ht="25.5" customHeight="1">
      <c r="A1247" t="inlineStr">
        <is>
          <t>OTHER · 仿剑麻地毯日式客厅茶几地毯飘窗毯拍照猫抓毯门口大面积地毯</t>
        </is>
      </c>
      <c r="B1247" t="inlineStr">
        <is>
          <t>recvgGy2lLaPBv.jpg</t>
        </is>
      </c>
      <c r="C1247" s="2" t="str">
        <f>=HYPERLINK("https://xhslink.com/m/gM4KZ8aifs", "https://xhslink.com/m/gM4KZ8aifs")</f>
        <v>https://xhslink.com/m/gM4KZ8aifs</v>
      </c>
      <c r="D1247"/>
      <c r="E1247">
        <v>12000</v>
      </c>
      <c r="F1247">
        <v>52.95</v>
      </c>
      <c r="G1247">
        <v>45.01</v>
      </c>
      <c r="H1247">
        <v>300</v>
      </c>
      <c r="I1247" t="inlineStr">
        <is>
          <t>地毯</t>
        </is>
      </c>
      <c r="J1247" t="inlineStr">
        <is>
          <t>0.03</t>
        </is>
      </c>
      <c r="K1247" t="inlineStr">
        <is>
          <t>🔥低粉爆款</t>
        </is>
      </c>
      <c r="L1247" t="inlineStr">
        <is>
          <t>壹枕的店</t>
        </is>
      </c>
      <c r="M1247">
        <v>811</v>
      </c>
      <c r="N1247">
        <v>4.48</v>
      </c>
      <c r="O1247">
        <v>19000</v>
      </c>
      <c r="P1247" t="inlineStr">
        <is>
          <t>684a72970b26930015135b10</t>
        </is>
      </c>
      <c r="Q1247" t="inlineStr">
        <is>
          <t>🚫重复</t>
        </is>
      </c>
      <c r="R1247" t="inlineStr">
        <is>
          <t>16周</t>
        </is>
      </c>
      <c r="S1247" t="inlineStr">
        <is>
          <t>14.80</t>
        </is>
      </c>
      <c r="T1247" t="inlineStr">
        <is>
          <t>家居生活</t>
        </is>
      </c>
      <c r="U1247" t="inlineStr">
        <is>
          <t>家居日用</t>
        </is>
      </c>
      <c r="V1247" s="3">
        <v>46125.97859953704</v>
      </c>
      <c r="W1247" t="inlineStr">
        <is>
          <t>2026-Q2</t>
        </is>
      </c>
    </row>
    <row r="1248" ht="25.5" customHeight="1">
      <c r="A1248" t="inlineStr">
        <is>
          <t>预售14天发 小美人 陶瓷花瓶 鲜花花瓶家居插花 不完美介意勿拍</t>
        </is>
      </c>
      <c r="B1248" t="inlineStr">
        <is>
          <t>recvgGy5hQURdk.jpg</t>
        </is>
      </c>
      <c r="C1248" s="2" t="str">
        <f>=HYPERLINK("https://xhslink.com/m/5mGAc0kALxW", "https://xhslink.com/m/5mGAc0kALxW")</f>
        <v>https://xhslink.com/m/5mGAc0kALxW</v>
      </c>
      <c r="D1248"/>
      <c r="E1248">
        <v>1028</v>
      </c>
      <c r="F1248">
        <v>68</v>
      </c>
      <c r="G1248"/>
      <c r="H1248">
        <v>300</v>
      </c>
      <c r="I1248" t="inlineStr">
        <is>
          <t>绿植</t>
        </is>
      </c>
      <c r="J1248" t="inlineStr">
        <is>
          <t>0.29</t>
        </is>
      </c>
      <c r="K1248"/>
      <c r="L1248" t="inlineStr">
        <is>
          <t>贝贝碎碎念的店</t>
        </is>
      </c>
      <c r="M1248">
        <v>4548</v>
      </c>
      <c r="N1248">
        <v>4.49</v>
      </c>
      <c r="O1248">
        <v>8043</v>
      </c>
      <c r="P1248" t="inlineStr">
        <is>
          <t>68d54cb9ed3b2f0001c26015</t>
        </is>
      </c>
      <c r="Q1248"/>
      <c r="R1248" t="inlineStr">
        <is>
          <t>16周</t>
        </is>
      </c>
      <c r="S1248" t="inlineStr">
        <is>
          <t>0.23</t>
        </is>
      </c>
      <c r="T1248" t="inlineStr">
        <is>
          <t>家居生活</t>
        </is>
      </c>
      <c r="U1248" t="inlineStr">
        <is>
          <t>家具家装</t>
        </is>
      </c>
      <c r="V1248" s="3">
        <v>46125.978738425925</v>
      </c>
      <c r="W1248" t="inlineStr">
        <is>
          <t>2026-Q2</t>
        </is>
      </c>
    </row>
    <row r="1249" ht="25.5" customHeight="1">
      <c r="A1249" t="inlineStr">
        <is>
          <t>插画海报小夜灯卧室客厅沙发角落书桌氛围感2025新款今年流行灯</t>
        </is>
      </c>
      <c r="B1249" t="inlineStr">
        <is>
          <t>recvgGy5hQgNsi.jpg</t>
        </is>
      </c>
      <c r="C1249" s="2" t="str">
        <f>=HYPERLINK("https://xhslink.com/m/4GC9z0g5YaO", "https://xhslink.com/m/4GC9z0g5YaO")</f>
        <v>https://xhslink.com/m/4GC9z0g5YaO</v>
      </c>
      <c r="D1249"/>
      <c r="E1249">
        <v>3713</v>
      </c>
      <c r="F1249">
        <v>49.9</v>
      </c>
      <c r="G1249">
        <v>45.9</v>
      </c>
      <c r="H1249">
        <v>300</v>
      </c>
      <c r="I1249" t="inlineStr">
        <is>
          <t>灯</t>
        </is>
      </c>
      <c r="J1249" t="inlineStr">
        <is>
          <t>0.08</t>
        </is>
      </c>
      <c r="K1249"/>
      <c r="L1249" t="inlineStr">
        <is>
          <t>原画in room的店</t>
        </is>
      </c>
      <c r="M1249">
        <v>1545</v>
      </c>
      <c r="N1249">
        <v>4.72</v>
      </c>
      <c r="O1249">
        <v>3940</v>
      </c>
      <c r="P1249" t="inlineStr">
        <is>
          <t>68a48d38dc73de000142f89a</t>
        </is>
      </c>
      <c r="Q1249" t="inlineStr">
        <is>
          <t>🚫重复</t>
        </is>
      </c>
      <c r="R1249" t="inlineStr">
        <is>
          <t>16周</t>
        </is>
      </c>
      <c r="S1249" t="inlineStr">
        <is>
          <t>2.40</t>
        </is>
      </c>
      <c r="T1249" t="inlineStr">
        <is>
          <t>家居生活</t>
        </is>
      </c>
      <c r="U1249" t="inlineStr">
        <is>
          <t>家具家装</t>
        </is>
      </c>
      <c r="V1249" s="3">
        <v>46125.978738425925</v>
      </c>
      <c r="W1249" t="inlineStr">
        <is>
          <t>2026-Q2</t>
        </is>
      </c>
    </row>
    <row r="1250" ht="25.5" customHeight="1">
      <c r="A1250" t="inlineStr">
        <is>
          <t>乐潮 · 夏日凉感透气升级加厚免洗茶几垫别墅高级感免洗床边毯柔软亲肤</t>
        </is>
      </c>
      <c r="B1250" t="inlineStr">
        <is>
          <t>recvgGy5hQPaUi.jpg</t>
        </is>
      </c>
      <c r="C1250" s="2" t="str">
        <f>=HYPERLINK("https://xhslink.com/m/8ZuzT6ExlZF", "https://xhslink.com/m/8ZuzT6ExlZF")</f>
        <v>https://xhslink.com/m/8ZuzT6ExlZF</v>
      </c>
      <c r="D1250"/>
      <c r="E1250">
        <v>10000</v>
      </c>
      <c r="F1250">
        <v>150</v>
      </c>
      <c r="G1250"/>
      <c r="H1250">
        <v>300</v>
      </c>
      <c r="I1250" t="inlineStr">
        <is>
          <t>地毯</t>
        </is>
      </c>
      <c r="J1250" t="inlineStr">
        <is>
          <t>0.03</t>
        </is>
      </c>
      <c r="K1250"/>
      <c r="L1250" t="inlineStr">
        <is>
          <t>乐潮旗舰店</t>
        </is>
      </c>
      <c r="M1250">
        <v>160000</v>
      </c>
      <c r="N1250">
        <v>4.41</v>
      </c>
      <c r="O1250">
        <v>52000</v>
      </c>
      <c r="P1250" t="inlineStr">
        <is>
          <t>696347c81bb69f0001fe11c5</t>
        </is>
      </c>
      <c r="Q1250"/>
      <c r="R1250" t="inlineStr">
        <is>
          <t>16周</t>
        </is>
      </c>
      <c r="S1250" t="inlineStr">
        <is>
          <t>0.06</t>
        </is>
      </c>
      <c r="T1250" t="inlineStr">
        <is>
          <t>家居生活</t>
        </is>
      </c>
      <c r="U1250" t="inlineStr">
        <is>
          <t>家居日用</t>
        </is>
      </c>
      <c r="V1250" s="3">
        <v>46125.978738425925</v>
      </c>
      <c r="W1250" t="inlineStr">
        <is>
          <t>2026-Q2</t>
        </is>
      </c>
    </row>
    <row r="1251" ht="25.5" customHeight="1">
      <c r="A1251" t="inlineStr">
        <is>
          <t>SAN-X · 正版San-X角落生物晴雨伞可爱炸虾白熊水龙黄猫便携黑胶雨伞手动</t>
        </is>
      </c>
      <c r="B1251" t="inlineStr">
        <is>
          <t>recvgGy5hQiXVR.jpg</t>
        </is>
      </c>
      <c r="C1251" s="2" t="str">
        <f>=HYPERLINK("https://xhslink.com/m/5poBmCj90l0", "https://xhslink.com/m/5poBmCj90l0")</f>
        <v>https://xhslink.com/m/5poBmCj90l0</v>
      </c>
      <c r="D1251"/>
      <c r="E1251">
        <v>802</v>
      </c>
      <c r="F1251">
        <v>49.9</v>
      </c>
      <c r="G1251">
        <v>39.9</v>
      </c>
      <c r="H1251">
        <v>300</v>
      </c>
      <c r="I1251" t="inlineStr">
        <is>
          <t>伞</t>
        </is>
      </c>
      <c r="J1251" t="inlineStr">
        <is>
          <t>0.37</t>
        </is>
      </c>
      <c r="K1251"/>
      <c r="L1251" t="inlineStr">
        <is>
          <t>艾皮淘淘屋的店</t>
        </is>
      </c>
      <c r="M1251">
        <v>11000</v>
      </c>
      <c r="N1251">
        <v>4.61</v>
      </c>
      <c r="O1251">
        <v>21000</v>
      </c>
      <c r="P1251" t="inlineStr">
        <is>
          <t>69ca88bbadd7e50001a19545</t>
        </is>
      </c>
      <c r="Q1251"/>
      <c r="R1251" t="inlineStr">
        <is>
          <t>16周</t>
        </is>
      </c>
      <c r="S1251" t="inlineStr">
        <is>
          <t>0.07</t>
        </is>
      </c>
      <c r="T1251" t="inlineStr">
        <is>
          <t>家居生活</t>
        </is>
      </c>
      <c r="U1251" t="inlineStr">
        <is>
          <t>家居日用</t>
        </is>
      </c>
      <c r="V1251" s="3">
        <v>46125.978738425925</v>
      </c>
      <c r="W1251" t="inlineStr">
        <is>
          <t>2026-Q2</t>
        </is>
      </c>
    </row>
    <row r="1252" ht="25.5" customHeight="1">
      <c r="A1252" t="inlineStr">
        <is>
          <t>16骨晴雨两用彩胶遮阳伞防晒加固抗风加大折叠防紫外线木柄太阳伞</t>
        </is>
      </c>
      <c r="B1252" t="inlineStr">
        <is>
          <t>recvgGy5hQYuWh.jpg</t>
        </is>
      </c>
      <c r="C1252" s="2" t="str">
        <f>=HYPERLINK("https://xhslink.com/m/YfOzrr1q04", "https://xhslink.com/m/YfOzrr1q04")</f>
        <v>https://xhslink.com/m/YfOzrr1q04</v>
      </c>
      <c r="D1252"/>
      <c r="E1252">
        <v>12000</v>
      </c>
      <c r="F1252">
        <v>36.9</v>
      </c>
      <c r="G1252"/>
      <c r="H1252">
        <v>300</v>
      </c>
      <c r="I1252" t="inlineStr">
        <is>
          <t>伞</t>
        </is>
      </c>
      <c r="J1252" t="inlineStr">
        <is>
          <t>0.03</t>
        </is>
      </c>
      <c r="K1252" t="inlineStr">
        <is>
          <t>🔥低粉爆款</t>
        </is>
      </c>
      <c r="L1252" t="inlineStr">
        <is>
          <t>CITY的雨伞摊子的店</t>
        </is>
      </c>
      <c r="M1252">
        <v>3308</v>
      </c>
      <c r="N1252">
        <v>4.45</v>
      </c>
      <c r="O1252">
        <v>26000</v>
      </c>
      <c r="P1252" t="inlineStr">
        <is>
          <t>683294616fdc8e0001078c18</t>
        </is>
      </c>
      <c r="Q1252" t="inlineStr">
        <is>
          <t>🚫重复</t>
        </is>
      </c>
      <c r="R1252" t="inlineStr">
        <is>
          <t>16周</t>
        </is>
      </c>
      <c r="S1252" t="inlineStr">
        <is>
          <t>3.63</t>
        </is>
      </c>
      <c r="T1252" t="inlineStr">
        <is>
          <t>家居生活</t>
        </is>
      </c>
      <c r="U1252" t="inlineStr">
        <is>
          <t>家居日用</t>
        </is>
      </c>
      <c r="V1252" s="3">
        <v>46125.978738425925</v>
      </c>
      <c r="W1252" t="inlineStr">
        <is>
          <t>2026-Q2</t>
        </is>
      </c>
    </row>
    <row r="1253" ht="25.5" customHeight="1">
      <c r="A1253" t="inlineStr">
        <is>
          <t>多巴胺小推车可移动书架置物架落地零食客厅收纳架卧室床头储物架</t>
        </is>
      </c>
      <c r="B1253" t="inlineStr">
        <is>
          <t>recvgGy5hQrShj.jpg</t>
        </is>
      </c>
      <c r="C1253" s="2" t="str">
        <f>=HYPERLINK("https://xhslink.com/m/6vVU8tq8UgT", "https://xhslink.com/m/6vVU8tq8UgT")</f>
        <v>https://xhslink.com/m/6vVU8tq8UgT</v>
      </c>
      <c r="D1253"/>
      <c r="E1253">
        <v>13000</v>
      </c>
      <c r="F1253">
        <v>14.9</v>
      </c>
      <c r="G1253">
        <v>9.9</v>
      </c>
      <c r="H1253">
        <v>300</v>
      </c>
      <c r="I1253" t="inlineStr">
        <is>
          <t>卧室收纳</t>
        </is>
      </c>
      <c r="J1253" t="inlineStr">
        <is>
          <t>0.02</t>
        </is>
      </c>
      <c r="K1253" t="inlineStr">
        <is>
          <t>🔥低粉爆款</t>
        </is>
      </c>
      <c r="L1253" t="inlineStr">
        <is>
          <t>贝忆商贸行的店</t>
        </is>
      </c>
      <c r="M1253">
        <v>208</v>
      </c>
      <c r="N1253">
        <v>4.4</v>
      </c>
      <c r="O1253">
        <v>28000</v>
      </c>
      <c r="P1253" t="inlineStr">
        <is>
          <t>69270292b8c5080001836bc0</t>
        </is>
      </c>
      <c r="Q1253" t="inlineStr">
        <is>
          <t>🚫重复</t>
        </is>
      </c>
      <c r="R1253" t="inlineStr">
        <is>
          <t>16周</t>
        </is>
      </c>
      <c r="S1253" t="inlineStr">
        <is>
          <t>62.50</t>
        </is>
      </c>
      <c r="T1253" t="inlineStr">
        <is>
          <t>家居生活</t>
        </is>
      </c>
      <c r="U1253" t="inlineStr">
        <is>
          <t>家居日用</t>
        </is>
      </c>
      <c r="V1253" s="3">
        <v>46125.978738425925</v>
      </c>
      <c r="W1253" t="inlineStr">
        <is>
          <t>2026-Q2</t>
        </is>
      </c>
    </row>
    <row r="1254" ht="25.5" customHeight="1">
      <c r="A1254" t="inlineStr">
        <is>
          <t>咪制霉豆腐系列毛绒挂件5cm白毛霉豆腐猫猫原创正版</t>
        </is>
      </c>
      <c r="B1254" t="inlineStr">
        <is>
          <t>recvgGy5hQOxvP.jpg</t>
        </is>
      </c>
      <c r="C1254" s="2" t="str">
        <f>=HYPERLINK("https://xhslink.com/m/1XSVAIdfWXB", "https://xhslink.com/m/1XSVAIdfWXB")</f>
        <v>https://xhslink.com/m/1XSVAIdfWXB</v>
      </c>
      <c r="D1254"/>
      <c r="E1254">
        <v>2324</v>
      </c>
      <c r="F1254">
        <v>79.9</v>
      </c>
      <c r="G1254"/>
      <c r="H1254">
        <v>300</v>
      </c>
      <c r="I1254" t="inlineStr">
        <is>
          <t>毛绒玩具</t>
        </is>
      </c>
      <c r="J1254" t="inlineStr">
        <is>
          <t>0.13</t>
        </is>
      </c>
      <c r="K1254"/>
      <c r="L1254" t="inlineStr">
        <is>
          <t>抱抱计划的店</t>
        </is>
      </c>
      <c r="M1254">
        <v>100000</v>
      </c>
      <c r="N1254">
        <v>4.58</v>
      </c>
      <c r="O1254">
        <v>32000</v>
      </c>
      <c r="P1254" t="inlineStr">
        <is>
          <t>69ce066da219810001e1b41c</t>
        </is>
      </c>
      <c r="Q1254" t="inlineStr">
        <is>
          <t>🚫重复</t>
        </is>
      </c>
      <c r="R1254" t="inlineStr">
        <is>
          <t>16周</t>
        </is>
      </c>
      <c r="S1254" t="inlineStr">
        <is>
          <t>0.02</t>
        </is>
      </c>
      <c r="T1254" t="inlineStr">
        <is>
          <t>母婴亲子</t>
        </is>
      </c>
      <c r="U1254" t="inlineStr">
        <is>
          <t>玩具早教</t>
        </is>
      </c>
      <c r="V1254" s="3">
        <v>46125.978738425925</v>
      </c>
      <c r="W1254" t="inlineStr">
        <is>
          <t>2026-Q2</t>
        </is>
      </c>
    </row>
    <row r="1255" ht="25.5" customHeight="1">
      <c r="A1255" t="inlineStr">
        <is>
          <t>无边 · 原创设计立体花法式小众网纱上衣透视T恤圆领短袖女夏</t>
        </is>
      </c>
      <c r="B1255" t="inlineStr">
        <is>
          <t>recvgGy5hQfXSn.jpg</t>
        </is>
      </c>
      <c r="C1255" s="2" t="str">
        <f>=HYPERLINK("https://xhslink.com/m/1SzFbtD0wql", "https://xhslink.com/m/1SzFbtD0wql")</f>
        <v>https://xhslink.com/m/1SzFbtD0wql</v>
      </c>
      <c r="D1255"/>
      <c r="E1255">
        <v>13000</v>
      </c>
      <c r="F1255">
        <v>269</v>
      </c>
      <c r="G1255">
        <v>228.65</v>
      </c>
      <c r="H1255">
        <v>300</v>
      </c>
      <c r="I1255" t="inlineStr">
        <is>
          <t>上衣</t>
        </is>
      </c>
      <c r="J1255" t="inlineStr">
        <is>
          <t>0.02</t>
        </is>
      </c>
      <c r="K1255"/>
      <c r="L1255" t="inlineStr">
        <is>
          <t>无边旗舰店</t>
        </is>
      </c>
      <c r="M1255">
        <v>12000</v>
      </c>
      <c r="N1255">
        <v>4.52</v>
      </c>
      <c r="O1255">
        <v>18000</v>
      </c>
      <c r="P1255" t="inlineStr">
        <is>
          <t>62ecd40e977bfc0001e0b415</t>
        </is>
      </c>
      <c r="Q1255" t="inlineStr">
        <is>
          <t>🚫重复</t>
        </is>
      </c>
      <c r="R1255" t="inlineStr">
        <is>
          <t>16周</t>
        </is>
      </c>
      <c r="S1255" t="inlineStr">
        <is>
          <t>1.08</t>
        </is>
      </c>
      <c r="T1255" t="inlineStr">
        <is>
          <t>服饰穿搭</t>
        </is>
      </c>
      <c r="U1255" t="inlineStr">
        <is>
          <t>女装</t>
        </is>
      </c>
      <c r="V1255" s="3">
        <v>46125.978738425925</v>
      </c>
      <c r="W1255" t="inlineStr">
        <is>
          <t>2026-Q2</t>
        </is>
      </c>
    </row>
    <row r="1256" ht="25.5" customHeight="1">
      <c r="A1256" t="inlineStr">
        <is>
          <t>麻仁 · 100%纯棉美式连笔星星灰色短袖t恤女2026原创夏季宽松重磅ins上衣</t>
        </is>
      </c>
      <c r="B1256" t="inlineStr">
        <is>
          <t>recvgGy5hQ49zr.jpg</t>
        </is>
      </c>
      <c r="C1256" s="2" t="str">
        <f>=HYPERLINK("https://xhslink.com/m/5NYIgjMUGVr", "https://xhslink.com/m/5NYIgjMUGVr")</f>
        <v>https://xhslink.com/m/5NYIgjMUGVr</v>
      </c>
      <c r="D1256"/>
      <c r="E1256">
        <v>5027</v>
      </c>
      <c r="F1256">
        <v>39.8</v>
      </c>
      <c r="G1256">
        <v>37.8</v>
      </c>
      <c r="H1256">
        <v>300</v>
      </c>
      <c r="I1256" t="inlineStr">
        <is>
          <t>上衣</t>
        </is>
      </c>
      <c r="J1256" t="inlineStr">
        <is>
          <t>0.06</t>
        </is>
      </c>
      <c r="K1256"/>
      <c r="L1256" t="inlineStr">
        <is>
          <t>麻仁旗舰店</t>
        </is>
      </c>
      <c r="M1256">
        <v>27000</v>
      </c>
      <c r="N1256">
        <v>4.66</v>
      </c>
      <c r="O1256">
        <v>217000</v>
      </c>
      <c r="P1256" t="inlineStr">
        <is>
          <t>699151021dbf920001a46ded</t>
        </is>
      </c>
      <c r="Q1256" t="inlineStr">
        <is>
          <t>🚫重复</t>
        </is>
      </c>
      <c r="R1256" t="inlineStr">
        <is>
          <t>16周</t>
        </is>
      </c>
      <c r="S1256" t="inlineStr">
        <is>
          <t>0.19</t>
        </is>
      </c>
      <c r="T1256" t="inlineStr">
        <is>
          <t>服饰穿搭</t>
        </is>
      </c>
      <c r="U1256" t="inlineStr">
        <is>
          <t>女装</t>
        </is>
      </c>
      <c r="V1256" s="3">
        <v>46125.978738425925</v>
      </c>
      <c r="W1256" t="inlineStr">
        <is>
          <t>2026-Q2</t>
        </is>
      </c>
    </row>
    <row r="1257" ht="25.5" customHeight="1">
      <c r="A1257" t="inlineStr">
        <is>
          <t>杏色交叉针织衫女夏季2026新款设计感露背洋气显瘦无袖上衣</t>
        </is>
      </c>
      <c r="B1257" t="inlineStr">
        <is>
          <t>recvgGy5hQiqUq.jpg</t>
        </is>
      </c>
      <c r="C1257" s="2" t="str">
        <f>=HYPERLINK("https://xhslink.com/m/8ADqjt3YLEZ", "https://xhslink.com/m/8ADqjt3YLEZ")</f>
        <v>https://xhslink.com/m/8ADqjt3YLEZ</v>
      </c>
      <c r="D1257"/>
      <c r="E1257">
        <v>39000</v>
      </c>
      <c r="F1257">
        <v>59.9</v>
      </c>
      <c r="G1257"/>
      <c r="H1257">
        <v>300</v>
      </c>
      <c r="I1257" t="inlineStr">
        <is>
          <t>上衣</t>
        </is>
      </c>
      <c r="J1257" t="inlineStr">
        <is>
          <t>0.01</t>
        </is>
      </c>
      <c r="K1257"/>
      <c r="L1257" t="inlineStr">
        <is>
          <t>KK穿搭分享~的店</t>
        </is>
      </c>
      <c r="M1257">
        <v>597000</v>
      </c>
      <c r="N1257">
        <v>4.6</v>
      </c>
      <c r="O1257">
        <v>3111000</v>
      </c>
      <c r="P1257" t="inlineStr">
        <is>
          <t>6667eac5f7984c0001024b2e</t>
        </is>
      </c>
      <c r="Q1257" t="inlineStr">
        <is>
          <t>🚫重复</t>
        </is>
      </c>
      <c r="R1257" t="inlineStr">
        <is>
          <t>16周</t>
        </is>
      </c>
      <c r="S1257" t="inlineStr">
        <is>
          <t>0.07</t>
        </is>
      </c>
      <c r="T1257" t="inlineStr">
        <is>
          <t>服饰穿搭</t>
        </is>
      </c>
      <c r="U1257" t="inlineStr">
        <is>
          <t>女装</t>
        </is>
      </c>
      <c r="V1257" s="3">
        <v>46125.978738425925</v>
      </c>
      <c r="W1257" t="inlineStr">
        <is>
          <t>2026-Q2</t>
        </is>
      </c>
    </row>
    <row r="1258" ht="25.5" customHeight="1">
      <c r="A1258" t="inlineStr">
        <is>
          <t>早乙女惠子 · saotome日系复古风立领塔克褶抽绳A字短袖衬衫连衣裙 STMQZ252232</t>
        </is>
      </c>
      <c r="B1258" t="inlineStr">
        <is>
          <t>recvgGy5hQTxRo.jpg</t>
        </is>
      </c>
      <c r="C1258" s="2" t="str">
        <f>=HYPERLINK("https://xhslink.com/m/7h8A3Hkk9E8", "https://xhslink.com/m/7h8A3Hkk9E8")</f>
        <v>https://xhslink.com/m/7h8A3Hkk9E8</v>
      </c>
      <c r="D1258"/>
      <c r="E1258">
        <v>2812</v>
      </c>
      <c r="F1258">
        <v>159</v>
      </c>
      <c r="G1258">
        <v>149</v>
      </c>
      <c r="H1258">
        <v>300</v>
      </c>
      <c r="I1258" t="inlineStr">
        <is>
          <t>上衣</t>
        </is>
      </c>
      <c r="J1258" t="inlineStr">
        <is>
          <t>0.11</t>
        </is>
      </c>
      <c r="K1258"/>
      <c r="L1258" t="inlineStr">
        <is>
          <t>Saotome早乙女惠子旗舰店</t>
        </is>
      </c>
      <c r="M1258">
        <v>120000</v>
      </c>
      <c r="N1258">
        <v>4.6</v>
      </c>
      <c r="O1258">
        <v>137000</v>
      </c>
      <c r="P1258" t="inlineStr">
        <is>
          <t>67f9febb1899f10001db6065</t>
        </is>
      </c>
      <c r="Q1258"/>
      <c r="R1258" t="inlineStr">
        <is>
          <t>16周</t>
        </is>
      </c>
      <c r="S1258" t="inlineStr">
        <is>
          <t>0.02</t>
        </is>
      </c>
      <c r="T1258" t="inlineStr">
        <is>
          <t>服饰穿搭</t>
        </is>
      </c>
      <c r="U1258" t="inlineStr">
        <is>
          <t>女装</t>
        </is>
      </c>
      <c r="V1258" s="3">
        <v>46125.978738425925</v>
      </c>
      <c r="W1258" t="inlineStr">
        <is>
          <t>2026-Q2</t>
        </is>
      </c>
    </row>
    <row r="1259" ht="25.5" customHeight="1">
      <c r="A1259" t="inlineStr">
        <is>
          <t>可爱小狗豆袋玩偶毛绒玩偶软萌包包配饰送闺蜜送朋友趣味礼物</t>
        </is>
      </c>
      <c r="B1259" t="inlineStr">
        <is>
          <t>recvgGy5hQvu2o.jpg</t>
        </is>
      </c>
      <c r="C1259" s="2" t="str">
        <f>=HYPERLINK("https://xhslink.com/m/2oafrfLcNa7", "https://xhslink.com/m/2oafrfLcNa7")</f>
        <v>https://xhslink.com/m/2oafrfLcNa7</v>
      </c>
      <c r="D1259"/>
      <c r="E1259">
        <v>5217</v>
      </c>
      <c r="F1259">
        <v>27.9</v>
      </c>
      <c r="G1259"/>
      <c r="H1259">
        <v>300</v>
      </c>
      <c r="I1259" t="inlineStr">
        <is>
          <t>毛线玩偶</t>
        </is>
      </c>
      <c r="J1259" t="inlineStr">
        <is>
          <t>0.06</t>
        </is>
      </c>
      <c r="K1259"/>
      <c r="L1259" t="inlineStr">
        <is>
          <t>优翊玩偶的店</t>
        </is>
      </c>
      <c r="M1259">
        <v>4079</v>
      </c>
      <c r="N1259">
        <v>4.63</v>
      </c>
      <c r="O1259">
        <v>17000</v>
      </c>
      <c r="P1259" t="inlineStr">
        <is>
          <t>695a73c2b249210001b73a44</t>
        </is>
      </c>
      <c r="Q1259" t="inlineStr">
        <is>
          <t>🚫重复</t>
        </is>
      </c>
      <c r="R1259" t="inlineStr">
        <is>
          <t>16周</t>
        </is>
      </c>
      <c r="S1259" t="inlineStr">
        <is>
          <t>1.28</t>
        </is>
      </c>
      <c r="T1259" t="inlineStr">
        <is>
          <t>服饰穿搭</t>
        </is>
      </c>
      <c r="U1259" t="inlineStr">
        <is>
          <t>鞋靴箱包</t>
        </is>
      </c>
      <c r="V1259" s="3">
        <v>46125.978738425925</v>
      </c>
      <c r="W1259" t="inlineStr">
        <is>
          <t>2026-Q2</t>
        </is>
      </c>
    </row>
    <row r="1260" ht="25.5" customHeight="1">
      <c r="A1260" t="inlineStr">
        <is>
          <t>力桑 · 一支手工胶DIY手工胶水儿童玩偶专用软胶布艺钩织扭扭棒无痕胶水</t>
        </is>
      </c>
      <c r="B1260" t="inlineStr">
        <is>
          <t>__upload_recvgMo2dT2ypw.jpg</t>
        </is>
      </c>
      <c r="C1260" s="2" t="str">
        <f>=HYPERLINK("https://xhslink.com/m/ASycC90MFTo", "https://xhslink.com/m/ASycC90MFTo")</f>
        <v>https://xhslink.com/m/ASycC90MFTo</v>
      </c>
      <c r="D1260"/>
      <c r="E1260">
        <v>60000</v>
      </c>
      <c r="F1260">
        <v>18.9</v>
      </c>
      <c r="G1260">
        <v>16.9</v>
      </c>
      <c r="H1260">
        <v>300</v>
      </c>
      <c r="I1260" t="inlineStr">
        <is>
          <t>胶水</t>
        </is>
      </c>
      <c r="J1260" t="inlineStr">
        <is>
          <t>0.01</t>
        </is>
      </c>
      <c r="K1260" t="inlineStr">
        <is>
          <t>🔥低粉爆款</t>
        </is>
      </c>
      <c r="L1260" t="inlineStr">
        <is>
          <t>力桑胶的店</t>
        </is>
      </c>
      <c r="M1260">
        <v>6537</v>
      </c>
      <c r="N1260">
        <v>4.63</v>
      </c>
      <c r="O1260">
        <v>72000</v>
      </c>
      <c r="P1260" t="inlineStr">
        <is>
          <t>67b94fe04a59360001259334</t>
        </is>
      </c>
      <c r="Q1260"/>
      <c r="R1260" t="inlineStr">
        <is>
          <t>16周</t>
        </is>
      </c>
      <c r="S1260" t="inlineStr">
        <is>
          <t>9.18</t>
        </is>
      </c>
      <c r="T1260" t="inlineStr">
        <is>
          <t>母婴亲子</t>
        </is>
      </c>
      <c r="U1260" t="inlineStr">
        <is>
          <t>童装童鞋</t>
        </is>
      </c>
      <c r="V1260" s="3">
        <v>46126.977164351854</v>
      </c>
      <c r="W1260" t="inlineStr">
        <is>
          <t>2026-Q2</t>
        </is>
      </c>
    </row>
    <row r="1261" ht="25.5" customHeight="1">
      <c r="A1261" t="inlineStr">
        <is>
          <t>自制纯色系列｜短袖短裤胸垫套装慵懒简约宽松春夏家居服套装</t>
        </is>
      </c>
      <c r="B1261" t="inlineStr">
        <is>
          <t>__upload_recvgMo2ZYz8d7.jpg</t>
        </is>
      </c>
      <c r="C1261" s="2" t="str">
        <f>=HYPERLINK("https://xhslink.com/m/7KdfcOehcuU", "https://xhslink.com/m/7KdfcOehcuU")</f>
        <v>https://xhslink.com/m/7KdfcOehcuU</v>
      </c>
      <c r="D1261"/>
      <c r="E1261">
        <v>15000</v>
      </c>
      <c r="F1261">
        <v>66.8</v>
      </c>
      <c r="G1261">
        <v>46.8</v>
      </c>
      <c r="H1261">
        <v>300</v>
      </c>
      <c r="I1261" t="inlineStr">
        <is>
          <t>夏天睡衣</t>
        </is>
      </c>
      <c r="J1261" t="inlineStr">
        <is>
          <t>0.02</t>
        </is>
      </c>
      <c r="K1261"/>
      <c r="L1261" t="inlineStr">
        <is>
          <t>Luna Na的店</t>
        </is>
      </c>
      <c r="M1261">
        <v>30000</v>
      </c>
      <c r="N1261">
        <v>4.69</v>
      </c>
      <c r="O1261">
        <v>332000</v>
      </c>
      <c r="P1261" t="inlineStr">
        <is>
          <t>67ea997c5020170001accbf1</t>
        </is>
      </c>
      <c r="Q1261" t="inlineStr">
        <is>
          <t>🚫重复</t>
        </is>
      </c>
      <c r="R1261" t="inlineStr">
        <is>
          <t>16周</t>
        </is>
      </c>
      <c r="S1261" t="inlineStr">
        <is>
          <t>0.50</t>
        </is>
      </c>
      <c r="T1261" t="inlineStr">
        <is>
          <t>服饰穿搭</t>
        </is>
      </c>
      <c r="U1261" t="inlineStr">
        <is>
          <t>女装</t>
        </is>
      </c>
      <c r="V1261" s="3">
        <v>46126.97719907408</v>
      </c>
      <c r="W1261" t="inlineStr">
        <is>
          <t>2026-Q2</t>
        </is>
      </c>
    </row>
    <row r="1262" ht="25.5" customHeight="1">
      <c r="A1262" t="inlineStr">
        <is>
          <t>打底内搭方领小背心女夏秋季薄款外穿遮副乳修身百搭8647(无胸垫)</t>
        </is>
      </c>
      <c r="B1262" t="inlineStr">
        <is>
          <t>__upload_recvgMo2ZYtdA1.jpg</t>
        </is>
      </c>
      <c r="C1262" s="2" t="str">
        <f>=HYPERLINK("https://xhslink.com/m/9UKgcvgeCbB", "https://xhslink.com/m/9UKgcvgeCbB")</f>
        <v>https://xhslink.com/m/9UKgcvgeCbB</v>
      </c>
      <c r="D1262"/>
      <c r="E1262">
        <v>53000</v>
      </c>
      <c r="F1262">
        <v>29.9</v>
      </c>
      <c r="G1262">
        <v>28.9</v>
      </c>
      <c r="H1262">
        <v>300</v>
      </c>
      <c r="I1262" t="inlineStr">
        <is>
          <t>背心吊带</t>
        </is>
      </c>
      <c r="J1262" t="inlineStr">
        <is>
          <t>0.01</t>
        </is>
      </c>
      <c r="K1262" t="inlineStr">
        <is>
          <t>🔥低粉爆款</t>
        </is>
      </c>
      <c r="L1262" t="inlineStr">
        <is>
          <t>笑笑工作室的店</t>
        </is>
      </c>
      <c r="M1262">
        <v>11000</v>
      </c>
      <c r="N1262">
        <v>4.61</v>
      </c>
      <c r="O1262">
        <v>187000</v>
      </c>
      <c r="P1262" t="inlineStr">
        <is>
          <t>63f9afc5e9ae3d00016ca680</t>
        </is>
      </c>
      <c r="Q1262" t="inlineStr">
        <is>
          <t>🚫重复</t>
        </is>
      </c>
      <c r="R1262" t="inlineStr">
        <is>
          <t>16周</t>
        </is>
      </c>
      <c r="S1262" t="inlineStr">
        <is>
          <t>4.82</t>
        </is>
      </c>
      <c r="T1262" t="inlineStr">
        <is>
          <t>服饰穿搭</t>
        </is>
      </c>
      <c r="U1262" t="inlineStr">
        <is>
          <t>女装</t>
        </is>
      </c>
      <c r="V1262" s="3">
        <v>46126.97719907408</v>
      </c>
      <c r="W1262" t="inlineStr">
        <is>
          <t>2026-Q2</t>
        </is>
      </c>
    </row>
    <row r="1263" ht="25.5" customHeight="1">
      <c r="A1263" t="inlineStr">
        <is>
          <t>运动背心螺纹带胸垫瑜伽上衣透气健身服</t>
        </is>
      </c>
      <c r="B1263" t="inlineStr">
        <is>
          <t>__upload_recvgMo2ZYsDlO.jpg</t>
        </is>
      </c>
      <c r="C1263" s="2" t="str">
        <f>=HYPERLINK("https://xhslink.com/m/A2fO6zXPA9j", "https://xhslink.com/m/A2fO6zXPA9j")</f>
        <v>https://xhslink.com/m/A2fO6zXPA9j</v>
      </c>
      <c r="D1263"/>
      <c r="E1263">
        <v>14000</v>
      </c>
      <c r="F1263">
        <v>89</v>
      </c>
      <c r="G1263"/>
      <c r="H1263">
        <v>300</v>
      </c>
      <c r="I1263" t="inlineStr">
        <is>
          <t>背心吊带</t>
        </is>
      </c>
      <c r="J1263" t="inlineStr">
        <is>
          <t>0.02</t>
        </is>
      </c>
      <c r="K1263" t="inlineStr">
        <is>
          <t>🔥低粉爆款</t>
        </is>
      </c>
      <c r="L1263" t="inlineStr">
        <is>
          <t>小橙子YO的店</t>
        </is>
      </c>
      <c r="M1263">
        <v>1952</v>
      </c>
      <c r="N1263">
        <v>4.62</v>
      </c>
      <c r="O1263">
        <v>24000</v>
      </c>
      <c r="P1263" t="inlineStr">
        <is>
          <t>669a84b68b74b500015cf365</t>
        </is>
      </c>
      <c r="Q1263" t="inlineStr">
        <is>
          <t>🚫重复</t>
        </is>
      </c>
      <c r="R1263" t="inlineStr">
        <is>
          <t>16周</t>
        </is>
      </c>
      <c r="S1263" t="inlineStr">
        <is>
          <t>7.17</t>
        </is>
      </c>
      <c r="T1263" t="inlineStr">
        <is>
          <t>运动潮玩</t>
        </is>
      </c>
      <c r="U1263" t="inlineStr">
        <is>
          <t>运动户外装备</t>
        </is>
      </c>
      <c r="V1263" s="3">
        <v>46126.97719907408</v>
      </c>
      <c r="W1263" t="inlineStr">
        <is>
          <t>2026-Q2</t>
        </is>
      </c>
    </row>
    <row r="1264" ht="25.5" customHeight="1">
      <c r="A1264" t="inlineStr">
        <is>
          <t>「蚕丝短袖」自制款 羊毛蚕丝巨柔软 比想象中凉快 很适合夏天</t>
        </is>
      </c>
      <c r="B1264" t="inlineStr">
        <is>
          <t>__upload_recvgMo2ZYvO2o.jpg</t>
        </is>
      </c>
      <c r="C1264" s="2" t="str">
        <f>=HYPERLINK("https://xhslink.com/m/4JFnyrOee5p", "https://xhslink.com/m/4JFnyrOee5p")</f>
        <v>https://xhslink.com/m/4JFnyrOee5p</v>
      </c>
      <c r="D1264"/>
      <c r="E1264">
        <v>8467</v>
      </c>
      <c r="F1264">
        <v>89</v>
      </c>
      <c r="G1264"/>
      <c r="H1264">
        <v>300</v>
      </c>
      <c r="I1264" t="inlineStr">
        <is>
          <t>上衣</t>
        </is>
      </c>
      <c r="J1264" t="inlineStr">
        <is>
          <t>0.04</t>
        </is>
      </c>
      <c r="K1264"/>
      <c r="L1264" t="inlineStr">
        <is>
          <t>田中小鸡Tanaka Hiyoko的店</t>
        </is>
      </c>
      <c r="M1264">
        <v>92000</v>
      </c>
      <c r="N1264">
        <v>4.68</v>
      </c>
      <c r="O1264">
        <v>228000</v>
      </c>
      <c r="P1264" t="inlineStr">
        <is>
          <t>69bd0e7f5e5f050001882490</t>
        </is>
      </c>
      <c r="Q1264" t="inlineStr">
        <is>
          <t>🚫重复</t>
        </is>
      </c>
      <c r="R1264" t="inlineStr">
        <is>
          <t>16周</t>
        </is>
      </c>
      <c r="S1264" t="inlineStr">
        <is>
          <t>0.09</t>
        </is>
      </c>
      <c r="T1264" t="inlineStr">
        <is>
          <t>服饰穿搭</t>
        </is>
      </c>
      <c r="U1264" t="inlineStr">
        <is>
          <t>女装</t>
        </is>
      </c>
      <c r="V1264" s="3">
        <v>46126.97719907408</v>
      </c>
      <c r="W1264" t="inlineStr">
        <is>
          <t>2026-Q2</t>
        </is>
      </c>
    </row>
    <row r="1265" ht="25.5" customHeight="1">
      <c r="A1265" t="inlineStr">
        <is>
          <t>新款透气修身显瘦运动上衣女瑜伽服跑步速干短袖t恤健身服夏</t>
        </is>
      </c>
      <c r="B1265" t="inlineStr">
        <is>
          <t>__upload_recvgMo2ZYVK24.jpg</t>
        </is>
      </c>
      <c r="C1265" s="2" t="str">
        <f>=HYPERLINK("https://xhslink.com/m/6XOZePmGMgX", "https://xhslink.com/m/6XOZePmGMgX")</f>
        <v>https://xhslink.com/m/6XOZePmGMgX</v>
      </c>
      <c r="D1265"/>
      <c r="E1265">
        <v>592</v>
      </c>
      <c r="F1265">
        <v>98</v>
      </c>
      <c r="G1265">
        <v>55</v>
      </c>
      <c r="H1265">
        <v>300</v>
      </c>
      <c r="I1265" t="inlineStr">
        <is>
          <t>上衣</t>
        </is>
      </c>
      <c r="J1265" t="inlineStr">
        <is>
          <t>0.51</t>
        </is>
      </c>
      <c r="K1265" t="inlineStr">
        <is>
          <t>🔥低粉爆款</t>
        </is>
      </c>
      <c r="L1265" t="inlineStr">
        <is>
          <t>柚见uc的店</t>
        </is>
      </c>
      <c r="M1265">
        <v>186</v>
      </c>
      <c r="N1265">
        <v>4.6</v>
      </c>
      <c r="O1265">
        <v>1207</v>
      </c>
      <c r="P1265" t="inlineStr">
        <is>
          <t>698073751153580015a9990a</t>
        </is>
      </c>
      <c r="Q1265"/>
      <c r="R1265" t="inlineStr">
        <is>
          <t>16周</t>
        </is>
      </c>
      <c r="S1265" t="inlineStr">
        <is>
          <t>3.18</t>
        </is>
      </c>
      <c r="T1265" t="inlineStr">
        <is>
          <t>运动潮玩</t>
        </is>
      </c>
      <c r="U1265" t="inlineStr">
        <is>
          <t>运动户外装备</t>
        </is>
      </c>
      <c r="V1265" s="3">
        <v>46126.97719907408</v>
      </c>
      <c r="W1265" t="inlineStr">
        <is>
          <t>2026-Q2</t>
        </is>
      </c>
    </row>
    <row r="1266" ht="25.5" customHeight="1">
      <c r="A1266" t="inlineStr">
        <is>
          <t>足银999 铃铛纯银手链 红绳铃铛手绳 有响声 大小可调节 酒红色绳</t>
        </is>
      </c>
      <c r="B1266" t="inlineStr">
        <is>
          <t>__upload_recvgMo2ZYd1mu.jpg</t>
        </is>
      </c>
      <c r="C1266" s="2" t="str">
        <f>=HYPERLINK("https://xhslink.com/m/4WSCzekfVvo", "https://xhslink.com/m/4WSCzekfVvo")</f>
        <v>https://xhslink.com/m/4WSCzekfVvo</v>
      </c>
      <c r="D1266"/>
      <c r="E1266">
        <v>887</v>
      </c>
      <c r="F1266">
        <v>45</v>
      </c>
      <c r="G1266">
        <v>43</v>
      </c>
      <c r="H1266">
        <v>300</v>
      </c>
      <c r="I1266" t="inlineStr">
        <is>
          <t>手饰</t>
        </is>
      </c>
      <c r="J1266" t="inlineStr">
        <is>
          <t>0.34</t>
        </is>
      </c>
      <c r="K1266"/>
      <c r="L1266" t="inlineStr">
        <is>
          <t>u酱珠宝的店</t>
        </is>
      </c>
      <c r="M1266">
        <v>61000</v>
      </c>
      <c r="N1266">
        <v>4.61</v>
      </c>
      <c r="O1266">
        <v>51000</v>
      </c>
      <c r="P1266" t="inlineStr">
        <is>
          <t>69c60167ffa26d0001d57a11</t>
        </is>
      </c>
      <c r="Q1266"/>
      <c r="R1266" t="inlineStr">
        <is>
          <t>16周</t>
        </is>
      </c>
      <c r="S1266" t="inlineStr">
        <is>
          <t>0.01</t>
        </is>
      </c>
      <c r="T1266" t="inlineStr">
        <is>
          <t>服饰穿搭</t>
        </is>
      </c>
      <c r="U1266" t="inlineStr">
        <is>
          <t>配饰</t>
        </is>
      </c>
      <c r="V1266" s="3">
        <v>46126.97719907408</v>
      </c>
      <c r="W1266" t="inlineStr">
        <is>
          <t>2026-Q2</t>
        </is>
      </c>
    </row>
    <row r="1267" ht="25.5" customHeight="1">
      <c r="A1267" t="inlineStr">
        <is>
          <t>低腰不贴腿百搭喇叭裤拖地牛仔裤女美式辣妹阔腿裤</t>
        </is>
      </c>
      <c r="B1267" t="inlineStr">
        <is>
          <t>__upload_recvgMo2ZYH1JF.jpg</t>
        </is>
      </c>
      <c r="C1267" s="2" t="str">
        <f>=HYPERLINK("https://xhslink.com/m/4PMWAQ1ttRK", "https://xhslink.com/m/4PMWAQ1ttRK")</f>
        <v>https://xhslink.com/m/4PMWAQ1ttRK</v>
      </c>
      <c r="D1267"/>
      <c r="E1267">
        <v>138000</v>
      </c>
      <c r="F1267">
        <v>95</v>
      </c>
      <c r="G1267">
        <v>79.75</v>
      </c>
      <c r="H1267">
        <v>300</v>
      </c>
      <c r="I1267" t="inlineStr">
        <is>
          <t>牛仔裤</t>
        </is>
      </c>
      <c r="J1267" t="inlineStr">
        <is>
          <t>0.00</t>
        </is>
      </c>
      <c r="K1267"/>
      <c r="L1267" t="inlineStr">
        <is>
          <t>OKOKOK的店</t>
        </is>
      </c>
      <c r="M1267">
        <v>234000</v>
      </c>
      <c r="N1267">
        <v>4.5</v>
      </c>
      <c r="O1267">
        <v>1140000</v>
      </c>
      <c r="P1267" t="inlineStr">
        <is>
          <t>6741886d17e95f0001f5cf1b</t>
        </is>
      </c>
      <c r="Q1267" t="inlineStr">
        <is>
          <t>🚫重复</t>
        </is>
      </c>
      <c r="R1267" t="inlineStr">
        <is>
          <t>16周</t>
        </is>
      </c>
      <c r="S1267" t="inlineStr">
        <is>
          <t>0.59</t>
        </is>
      </c>
      <c r="T1267" t="inlineStr">
        <is>
          <t>服饰穿搭</t>
        </is>
      </c>
      <c r="U1267" t="inlineStr">
        <is>
          <t>女装</t>
        </is>
      </c>
      <c r="V1267" s="3">
        <v>46126.97719907408</v>
      </c>
      <c r="W1267" t="inlineStr">
        <is>
          <t>2026-Q2</t>
        </is>
      </c>
    </row>
    <row r="1268" ht="25.5" customHeight="1">
      <c r="A1268" t="inlineStr">
        <is>
          <t>小个子梨形身材美式复古宽松阔腿裤设计感口袋百搭显瘦弯刀牛仔裤</t>
        </is>
      </c>
      <c r="B1268" t="inlineStr">
        <is>
          <t>__upload_recvgMo2ZYKJN2.jpg</t>
        </is>
      </c>
      <c r="C1268" s="2" t="str">
        <f>=HYPERLINK("https://xhslink.com/m/tCGugLjMHr", "https://xhslink.com/m/tCGugLjMHr")</f>
        <v>https://xhslink.com/m/tCGugLjMHr</v>
      </c>
      <c r="D1268"/>
      <c r="E1268">
        <v>37000</v>
      </c>
      <c r="F1268">
        <v>218</v>
      </c>
      <c r="G1268">
        <v>98</v>
      </c>
      <c r="H1268">
        <v>300</v>
      </c>
      <c r="I1268" t="inlineStr">
        <is>
          <t>牛仔裤</t>
        </is>
      </c>
      <c r="J1268" t="inlineStr">
        <is>
          <t>0.01</t>
        </is>
      </c>
      <c r="K1268" t="inlineStr">
        <is>
          <t>🔥低粉爆款</t>
        </is>
      </c>
      <c r="L1268" t="inlineStr">
        <is>
          <t>郑源源的店</t>
        </is>
      </c>
      <c r="M1268">
        <v>793</v>
      </c>
      <c r="N1268">
        <v>4.6</v>
      </c>
      <c r="O1268">
        <v>46000</v>
      </c>
      <c r="P1268" t="inlineStr">
        <is>
          <t>68d93b30d3eed20001e963f2</t>
        </is>
      </c>
      <c r="Q1268" t="inlineStr">
        <is>
          <t>🚫重复</t>
        </is>
      </c>
      <c r="R1268" t="inlineStr">
        <is>
          <t>16周</t>
        </is>
      </c>
      <c r="S1268" t="inlineStr">
        <is>
          <t>46.66</t>
        </is>
      </c>
      <c r="T1268" t="inlineStr">
        <is>
          <t>服饰穿搭</t>
        </is>
      </c>
      <c r="U1268" t="inlineStr">
        <is>
          <t>女装</t>
        </is>
      </c>
      <c r="V1268" s="3">
        <v>46126.97719907408</v>
      </c>
      <c r="W1268" t="inlineStr">
        <is>
          <t>2026-Q2</t>
        </is>
      </c>
    </row>
    <row r="1269" ht="25.5" customHeight="1">
      <c r="A1269" t="inlineStr">
        <is>
          <t>低腰微喇牛仔裤女2026春季新款黑牛同款显瘦微弹百搭喇叭裤拖地裤</t>
        </is>
      </c>
      <c r="B1269" t="inlineStr">
        <is>
          <t>__upload_recvgMo2ZYPwXk.jpg</t>
        </is>
      </c>
      <c r="C1269" s="2" t="str">
        <f>=HYPERLINK("https://xhslink.com/m/3PtXe5iRajR", "https://xhslink.com/m/3PtXe5iRajR")</f>
        <v>https://xhslink.com/m/3PtXe5iRajR</v>
      </c>
      <c r="D1269"/>
      <c r="E1269">
        <v>28000</v>
      </c>
      <c r="F1269">
        <v>98</v>
      </c>
      <c r="G1269">
        <v>97</v>
      </c>
      <c r="H1269">
        <v>300</v>
      </c>
      <c r="I1269" t="inlineStr">
        <is>
          <t>牛仔裤</t>
        </is>
      </c>
      <c r="J1269" t="inlineStr">
        <is>
          <t>0.01</t>
        </is>
      </c>
      <c r="K1269"/>
      <c r="L1269" t="inlineStr">
        <is>
          <t>哈哈哈穿搭分享的店</t>
        </is>
      </c>
      <c r="M1269">
        <v>21000</v>
      </c>
      <c r="N1269">
        <v>4.46</v>
      </c>
      <c r="O1269">
        <v>42000</v>
      </c>
      <c r="P1269" t="inlineStr">
        <is>
          <t>68a57a6cdb7e430001e6f0d5</t>
        </is>
      </c>
      <c r="Q1269" t="inlineStr">
        <is>
          <t>🚫重复</t>
        </is>
      </c>
      <c r="R1269" t="inlineStr">
        <is>
          <t>16周</t>
        </is>
      </c>
      <c r="S1269" t="inlineStr">
        <is>
          <t>1.33</t>
        </is>
      </c>
      <c r="T1269" t="inlineStr">
        <is>
          <t>服饰穿搭</t>
        </is>
      </c>
      <c r="U1269" t="inlineStr">
        <is>
          <t>女装</t>
        </is>
      </c>
      <c r="V1269" s="3">
        <v>46126.97719907408</v>
      </c>
      <c r="W1269" t="inlineStr">
        <is>
          <t>2026-Q2</t>
        </is>
      </c>
    </row>
    <row r="1270" ht="25.5" customHeight="1">
      <c r="A1270" t="inlineStr">
        <is>
          <t>立体剪裁· 轻奢质感大牛面料显高显瘦高腰窄版直筒女牛仔裤</t>
        </is>
      </c>
      <c r="B1270" t="inlineStr">
        <is>
          <t>__upload_recvgMo2ZYzvBj.jpg</t>
        </is>
      </c>
      <c r="C1270" s="2" t="str">
        <f>=HYPERLINK("https://xhslink.com/m/9pM2AOGrByG", "https://xhslink.com/m/9pM2AOGrByG")</f>
        <v>https://xhslink.com/m/9pM2AOGrByG</v>
      </c>
      <c r="D1270"/>
      <c r="E1270">
        <v>6198</v>
      </c>
      <c r="F1270">
        <v>269</v>
      </c>
      <c r="G1270">
        <v>219</v>
      </c>
      <c r="H1270">
        <v>300</v>
      </c>
      <c r="I1270" t="inlineStr">
        <is>
          <t>牛仔裤</t>
        </is>
      </c>
      <c r="J1270" t="inlineStr">
        <is>
          <t>0.05</t>
        </is>
      </c>
      <c r="K1270"/>
      <c r="L1270" t="inlineStr">
        <is>
          <t>BillCunningham的店</t>
        </is>
      </c>
      <c r="M1270">
        <v>2341</v>
      </c>
      <c r="N1270">
        <v>4.6</v>
      </c>
      <c r="O1270">
        <v>8135</v>
      </c>
      <c r="P1270" t="inlineStr">
        <is>
          <t>67b849fd4a593600011ebfba</t>
        </is>
      </c>
      <c r="Q1270"/>
      <c r="R1270" t="inlineStr">
        <is>
          <t>16周</t>
        </is>
      </c>
      <c r="S1270" t="inlineStr">
        <is>
          <t>2.65</t>
        </is>
      </c>
      <c r="T1270" t="inlineStr">
        <is>
          <t>服饰穿搭</t>
        </is>
      </c>
      <c r="U1270" t="inlineStr">
        <is>
          <t>女装</t>
        </is>
      </c>
      <c r="V1270" s="3">
        <v>46126.97719907408</v>
      </c>
      <c r="W1270" t="inlineStr">
        <is>
          <t>2026-Q2</t>
        </is>
      </c>
    </row>
    <row r="1271" ht="25.5" customHeight="1">
      <c r="A1271" t="inlineStr">
        <is>
          <t>rain.cun · 有运费险·腿粗救星·春夏高级感满满·高腰四面弹直筒九分牛仔裤女</t>
        </is>
      </c>
      <c r="B1271" t="inlineStr">
        <is>
          <t>__upload_recvgMo2ZYMwZg.jpg</t>
        </is>
      </c>
      <c r="C1271" s="2" t="str">
        <f>=HYPERLINK("https://xhslink.com/m/TDu7yKshTw", "https://xhslink.com/m/TDu7yKshTw")</f>
        <v>https://xhslink.com/m/TDu7yKshTw</v>
      </c>
      <c r="D1271"/>
      <c r="E1271">
        <v>11000</v>
      </c>
      <c r="F1271">
        <v>309</v>
      </c>
      <c r="G1271">
        <v>259</v>
      </c>
      <c r="H1271">
        <v>300</v>
      </c>
      <c r="I1271" t="inlineStr">
        <is>
          <t>牛仔裤</t>
        </is>
      </c>
      <c r="J1271" t="inlineStr">
        <is>
          <t>0.03</t>
        </is>
      </c>
      <c r="K1271"/>
      <c r="L1271" t="inlineStr">
        <is>
          <t>rain.cun然与纯女装主理人的店</t>
        </is>
      </c>
      <c r="M1271">
        <v>24000</v>
      </c>
      <c r="N1271">
        <v>4.65</v>
      </c>
      <c r="O1271">
        <v>21000</v>
      </c>
      <c r="P1271" t="inlineStr">
        <is>
          <t>6984580a8a7838001563f55b</t>
        </is>
      </c>
      <c r="Q1271"/>
      <c r="R1271" t="inlineStr">
        <is>
          <t>16周</t>
        </is>
      </c>
      <c r="S1271" t="inlineStr">
        <is>
          <t>0.46</t>
        </is>
      </c>
      <c r="T1271" t="inlineStr">
        <is>
          <t>服饰穿搭</t>
        </is>
      </c>
      <c r="U1271" t="inlineStr">
        <is>
          <t>女装</t>
        </is>
      </c>
      <c r="V1271" s="3">
        <v>46126.97719907408</v>
      </c>
      <c r="W1271" t="inlineStr">
        <is>
          <t>2026-Q2</t>
        </is>
      </c>
    </row>
    <row r="1272" ht="25.5" customHeight="1">
      <c r="A1272" t="inlineStr">
        <is>
          <t>sooeput · 春新款低腰弹力牛仔裤女韩版直筒裤窄版修身显瘦显腿直高个长裤</t>
        </is>
      </c>
      <c r="B1272" t="inlineStr">
        <is>
          <t>__upload_recvgMo2ZYpihW.jpg</t>
        </is>
      </c>
      <c r="C1272" s="2" t="str">
        <f>=HYPERLINK("https://xhslink.com/m/4KhEE2prtH4", "https://xhslink.com/m/4KhEE2prtH4")</f>
        <v>https://xhslink.com/m/4KhEE2prtH4</v>
      </c>
      <c r="D1272"/>
      <c r="E1272">
        <v>6315</v>
      </c>
      <c r="F1272">
        <v>158</v>
      </c>
      <c r="G1272">
        <v>98</v>
      </c>
      <c r="H1272">
        <v>300</v>
      </c>
      <c r="I1272" t="inlineStr">
        <is>
          <t>牛仔裤</t>
        </is>
      </c>
      <c r="J1272" t="inlineStr">
        <is>
          <t>0.05</t>
        </is>
      </c>
      <c r="K1272"/>
      <c r="L1272" t="inlineStr">
        <is>
          <t>SOOEPUT的店</t>
        </is>
      </c>
      <c r="M1272">
        <v>6600</v>
      </c>
      <c r="N1272">
        <v>4.62</v>
      </c>
      <c r="O1272">
        <v>57000</v>
      </c>
      <c r="P1272" t="inlineStr">
        <is>
          <t>6949469b8ff5d40001e5239d</t>
        </is>
      </c>
      <c r="Q1272" t="inlineStr">
        <is>
          <t>🚫重复</t>
        </is>
      </c>
      <c r="R1272" t="inlineStr">
        <is>
          <t>16周</t>
        </is>
      </c>
      <c r="S1272" t="inlineStr">
        <is>
          <t>0.96</t>
        </is>
      </c>
      <c r="T1272" t="inlineStr">
        <is>
          <t>服饰穿搭</t>
        </is>
      </c>
      <c r="U1272" t="inlineStr">
        <is>
          <t>女装</t>
        </is>
      </c>
      <c r="V1272" s="3">
        <v>46126.97719907408</v>
      </c>
      <c r="W1272" t="inlineStr">
        <is>
          <t>2026-Q2</t>
        </is>
      </c>
    </row>
    <row r="1273" ht="25.5" customHeight="1">
      <c r="A1273" t="inlineStr">
        <is>
          <t>右单元 · Rightcell「奶芙系列超模裤」微喇牛仔裤女2026冬高腰直筒喇叭裤</t>
        </is>
      </c>
      <c r="B1273" t="inlineStr">
        <is>
          <t>__upload_recvgMo2ZYM4Wt.jpg</t>
        </is>
      </c>
      <c r="C1273" s="2" t="str">
        <f>=HYPERLINK("https://xhslink.com/m/5sJKnSiby1N", "https://xhslink.com/m/5sJKnSiby1N")</f>
        <v>https://xhslink.com/m/5sJKnSiby1N</v>
      </c>
      <c r="D1273"/>
      <c r="E1273">
        <v>6737</v>
      </c>
      <c r="F1273">
        <v>399.99</v>
      </c>
      <c r="G1273">
        <v>351.99</v>
      </c>
      <c r="H1273">
        <v>300</v>
      </c>
      <c r="I1273" t="inlineStr">
        <is>
          <t>牛仔裤</t>
        </is>
      </c>
      <c r="J1273" t="inlineStr">
        <is>
          <t>0.04</t>
        </is>
      </c>
      <c r="K1273"/>
      <c r="L1273" t="inlineStr">
        <is>
          <t>右单元 Rightcell旗舰店</t>
        </is>
      </c>
      <c r="M1273">
        <v>55000</v>
      </c>
      <c r="N1273">
        <v>4.6</v>
      </c>
      <c r="O1273">
        <v>396000</v>
      </c>
      <c r="P1273" t="inlineStr">
        <is>
          <t>69634a1664c86a0015634b19</t>
        </is>
      </c>
      <c r="Q1273" t="inlineStr">
        <is>
          <t>🚫重复</t>
        </is>
      </c>
      <c r="R1273" t="inlineStr">
        <is>
          <t>16周</t>
        </is>
      </c>
      <c r="S1273" t="inlineStr">
        <is>
          <t>0.12</t>
        </is>
      </c>
      <c r="T1273" t="inlineStr">
        <is>
          <t>服饰穿搭</t>
        </is>
      </c>
      <c r="U1273" t="inlineStr">
        <is>
          <t>女装</t>
        </is>
      </c>
      <c r="V1273" s="3">
        <v>46126.97719907408</v>
      </c>
      <c r="W1273" t="inlineStr">
        <is>
          <t>2026-Q2</t>
        </is>
      </c>
    </row>
    <row r="1274" ht="25.5" customHeight="1">
      <c r="A1274" t="inlineStr">
        <is>
          <t>铃兰花球 |手机链包挂记号挂 |闺蜜礼物 |应援色物料一路生花礼物</t>
        </is>
      </c>
      <c r="B1274" t="inlineStr">
        <is>
          <t>__upload_recvgMo2ZY7Fs3.jpg</t>
        </is>
      </c>
      <c r="C1274" s="2" t="str">
        <f>=HYPERLINK("https://xhslink.com/m/8WWP5rbTMqX", "https://xhslink.com/m/8WWP5rbTMqX")</f>
        <v>https://xhslink.com/m/8WWP5rbTMqX</v>
      </c>
      <c r="D1274"/>
      <c r="E1274">
        <v>52000</v>
      </c>
      <c r="F1274">
        <v>20</v>
      </c>
      <c r="G1274">
        <v>6.8</v>
      </c>
      <c r="H1274">
        <v>300</v>
      </c>
      <c r="I1274" t="inlineStr">
        <is>
          <t>配饰</t>
        </is>
      </c>
      <c r="J1274" t="inlineStr">
        <is>
          <t>0.01</t>
        </is>
      </c>
      <c r="K1274"/>
      <c r="L1274" t="inlineStr">
        <is>
          <t>东北绳娘小阿予💗的店</t>
        </is>
      </c>
      <c r="M1274">
        <v>106000</v>
      </c>
      <c r="N1274">
        <v>4.54</v>
      </c>
      <c r="O1274">
        <v>363000</v>
      </c>
      <c r="P1274" t="inlineStr">
        <is>
          <t>6910289a2fdb7c00019c6136</t>
        </is>
      </c>
      <c r="Q1274" t="inlineStr">
        <is>
          <t>🚫重复</t>
        </is>
      </c>
      <c r="R1274" t="inlineStr">
        <is>
          <t>16周</t>
        </is>
      </c>
      <c r="S1274" t="inlineStr">
        <is>
          <t>0.49</t>
        </is>
      </c>
      <c r="T1274" t="inlineStr">
        <is>
          <t>服饰穿搭</t>
        </is>
      </c>
      <c r="U1274" t="inlineStr">
        <is>
          <t>配饰</t>
        </is>
      </c>
      <c r="V1274" s="3">
        <v>46126.97719907408</v>
      </c>
      <c r="W1274" t="inlineStr">
        <is>
          <t>2026-Q2</t>
        </is>
      </c>
    </row>
    <row r="1275" ht="25.5" customHeight="1">
      <c r="A1275" t="inlineStr">
        <is>
          <t>纯手工食品级硅胶捏捏</t>
        </is>
      </c>
      <c r="B1275" t="inlineStr">
        <is>
          <t>__upload_recvgMo2ZYOFI7.jpg</t>
        </is>
      </c>
      <c r="C1275" s="2" t="str">
        <f>=HYPERLINK("https://xhslink.com/m/TDv0JsbimP", "https://xhslink.com/m/TDv0JsbimP")</f>
        <v>https://xhslink.com/m/TDv0JsbimP</v>
      </c>
      <c r="D1275"/>
      <c r="E1275">
        <v>25000</v>
      </c>
      <c r="F1275">
        <v>29.9</v>
      </c>
      <c r="G1275"/>
      <c r="H1275">
        <v>300</v>
      </c>
      <c r="I1275" t="inlineStr">
        <is>
          <t>硅胶捏捏</t>
        </is>
      </c>
      <c r="J1275" t="inlineStr">
        <is>
          <t>0.01</t>
        </is>
      </c>
      <c r="K1275"/>
      <c r="L1275" t="inlineStr">
        <is>
          <t>xinxin's捏捏的店</t>
        </is>
      </c>
      <c r="M1275">
        <v>25000</v>
      </c>
      <c r="N1275">
        <v>4.39</v>
      </c>
      <c r="O1275">
        <v>47000</v>
      </c>
      <c r="P1275" t="inlineStr">
        <is>
          <t>697a55bc8dc4b30001b9973c</t>
        </is>
      </c>
      <c r="Q1275" t="inlineStr">
        <is>
          <t>🚫重复</t>
        </is>
      </c>
      <c r="R1275" t="inlineStr">
        <is>
          <t>16周</t>
        </is>
      </c>
      <c r="S1275" t="inlineStr">
        <is>
          <t>1.00</t>
        </is>
      </c>
      <c r="T1275" t="inlineStr">
        <is>
          <t>运动潮玩</t>
        </is>
      </c>
      <c r="U1275" t="inlineStr">
        <is>
          <t>潮玩手办</t>
        </is>
      </c>
      <c r="V1275" s="3">
        <v>46126.97719907408</v>
      </c>
      <c r="W1275" t="inlineStr">
        <is>
          <t>2026-Q2</t>
        </is>
      </c>
    </row>
    <row r="1276" ht="25.5" customHeight="1">
      <c r="A1276" t="inlineStr">
        <is>
          <t>【小爱果脯】加酸版酸梅粒无核厚切酸梅条桃梅肉蜜饯果脯酸爽零食</t>
        </is>
      </c>
      <c r="B1276" t="inlineStr">
        <is>
          <t>__upload_recvgSimhWTjT2.jpg</t>
        </is>
      </c>
      <c r="C1276" s="2" t="str">
        <f>=HYPERLINK("https://xhslink.com/m/S8F7Q4IoZa", "https://xhslink.com/m/S8F7Q4IoZa")</f>
        <v>https://xhslink.com/m/S8F7Q4IoZa</v>
      </c>
      <c r="D1276"/>
      <c r="E1276">
        <v>272000</v>
      </c>
      <c r="F1276">
        <v>24.9</v>
      </c>
      <c r="G1276">
        <v>9.9</v>
      </c>
      <c r="H1276">
        <v>300</v>
      </c>
      <c r="I1276" t="inlineStr">
        <is>
          <t>坚果果干</t>
        </is>
      </c>
      <c r="J1276" t="inlineStr">
        <is>
          <t>0.00</t>
        </is>
      </c>
      <c r="K1276" t="inlineStr">
        <is>
          <t>🔥低粉爆款</t>
        </is>
      </c>
      <c r="L1276" t="inlineStr">
        <is>
          <t>小爱糯叽叽果脯的店</t>
        </is>
      </c>
      <c r="M1276">
        <v>5131</v>
      </c>
      <c r="N1276">
        <v>4.35</v>
      </c>
      <c r="O1276">
        <v>301000</v>
      </c>
      <c r="P1276" t="inlineStr">
        <is>
          <t>68b138bd0c1e9b0001690f48</t>
        </is>
      </c>
      <c r="Q1276" t="inlineStr">
        <is>
          <t>🚫重复</t>
        </is>
      </c>
      <c r="R1276" t="inlineStr">
        <is>
          <t>16周</t>
        </is>
      </c>
      <c r="S1276" t="inlineStr">
        <is>
          <t>53.01</t>
        </is>
      </c>
      <c r="T1276" t="inlineStr">
        <is>
          <t>美食滋补</t>
        </is>
      </c>
      <c r="U1276" t="inlineStr">
        <is>
          <t>休闲零食</t>
        </is>
      </c>
      <c r="V1276" s="3">
        <v>46127.98767361111</v>
      </c>
      <c r="W1276" t="inlineStr">
        <is>
          <t>2026-Q2</t>
        </is>
      </c>
    </row>
    <row r="1277" ht="25.5" customHeight="1">
      <c r="A1277" t="inlineStr">
        <is>
          <t>非油炸沙炒红薯条原味不加糖红薯干嘎嘣脆儿时味道小零食-偏硬</t>
        </is>
      </c>
      <c r="B1277" t="inlineStr">
        <is>
          <t>__upload_recvgSimhW57Na.jpg</t>
        </is>
      </c>
      <c r="C1277" s="2" t="str">
        <f>=HYPERLINK("https://xhslink.com/m/8HRHlSAUtiE", "https://xhslink.com/m/8HRHlSAUtiE")</f>
        <v>https://xhslink.com/m/8HRHlSAUtiE</v>
      </c>
      <c r="D1277"/>
      <c r="E1277">
        <v>123000</v>
      </c>
      <c r="F1277">
        <v>33.9</v>
      </c>
      <c r="G1277"/>
      <c r="H1277">
        <v>300</v>
      </c>
      <c r="I1277" t="inlineStr">
        <is>
          <t>坚果果干</t>
        </is>
      </c>
      <c r="J1277" t="inlineStr">
        <is>
          <t>0.00</t>
        </is>
      </c>
      <c r="K1277" t="inlineStr">
        <is>
          <t>🔥低粉爆款</t>
        </is>
      </c>
      <c r="L1277" t="inlineStr">
        <is>
          <t>小新糯叽叽的店</t>
        </is>
      </c>
      <c r="M1277">
        <v>29000</v>
      </c>
      <c r="N1277">
        <v>4.58</v>
      </c>
      <c r="O1277">
        <v>718000</v>
      </c>
      <c r="P1277" t="inlineStr">
        <is>
          <t>649bf37d819eea0001f79068</t>
        </is>
      </c>
      <c r="Q1277" t="inlineStr">
        <is>
          <t>🚫重复</t>
        </is>
      </c>
      <c r="R1277" t="inlineStr">
        <is>
          <t>16周</t>
        </is>
      </c>
      <c r="S1277" t="inlineStr">
        <is>
          <t>4.24</t>
        </is>
      </c>
      <c r="T1277" t="inlineStr">
        <is>
          <t>美食滋补</t>
        </is>
      </c>
      <c r="U1277" t="inlineStr">
        <is>
          <t>休闲零食</t>
        </is>
      </c>
      <c r="V1277" s="3">
        <v>46127.98767361111</v>
      </c>
      <c r="W1277" t="inlineStr">
        <is>
          <t>2026-Q2</t>
        </is>
      </c>
    </row>
    <row r="1278" ht="25.5" customHeight="1">
      <c r="A1278" t="inlineStr">
        <is>
          <t>厚切苹果冻干脆健康零食非油炸 配料表只有苹果</t>
        </is>
      </c>
      <c r="B1278" t="inlineStr">
        <is>
          <t>__upload_recvgSimhWWB7V.jpg</t>
        </is>
      </c>
      <c r="C1278" s="2" t="str">
        <f>=HYPERLINK("https://xhslink.com/m/6CKfiDjuEFh", "https://xhslink.com/m/6CKfiDjuEFh")</f>
        <v>https://xhslink.com/m/6CKfiDjuEFh</v>
      </c>
      <c r="D1278"/>
      <c r="E1278">
        <v>84000</v>
      </c>
      <c r="F1278">
        <v>37.9</v>
      </c>
      <c r="G1278">
        <v>24.9</v>
      </c>
      <c r="H1278">
        <v>300</v>
      </c>
      <c r="I1278" t="inlineStr">
        <is>
          <t>坚果果干</t>
        </is>
      </c>
      <c r="J1278" t="inlineStr">
        <is>
          <t>0.00</t>
        </is>
      </c>
      <c r="K1278" t="inlineStr">
        <is>
          <t>🔥低粉爆款</t>
        </is>
      </c>
      <c r="L1278" t="inlineStr">
        <is>
          <t>饱饱吃不胖的店</t>
        </is>
      </c>
      <c r="M1278">
        <v>2480</v>
      </c>
      <c r="N1278">
        <v>4.61</v>
      </c>
      <c r="O1278">
        <v>86000</v>
      </c>
      <c r="P1278" t="inlineStr">
        <is>
          <t>6947ab118ff5d40001bec545</t>
        </is>
      </c>
      <c r="Q1278"/>
      <c r="R1278" t="inlineStr">
        <is>
          <t>16周</t>
        </is>
      </c>
      <c r="S1278" t="inlineStr">
        <is>
          <t>33.87</t>
        </is>
      </c>
      <c r="T1278" t="inlineStr">
        <is>
          <t>美食滋补</t>
        </is>
      </c>
      <c r="U1278" t="inlineStr">
        <is>
          <t>休闲零食</t>
        </is>
      </c>
      <c r="V1278" s="3">
        <v>46127.98767361111</v>
      </c>
      <c r="W1278" t="inlineStr">
        <is>
          <t>2026-Q2</t>
        </is>
      </c>
    </row>
    <row r="1279" ht="25.5" customHeight="1">
      <c r="A1279" t="inlineStr">
        <is>
          <t>芒果抱黄桃爆浆夹心草莓乌梅芭乐果干蜜饯酸甜开胃解馋休闲零食</t>
        </is>
      </c>
      <c r="B1279" t="inlineStr">
        <is>
          <t>__upload_recvgSimhWGaKH.jpg</t>
        </is>
      </c>
      <c r="C1279" s="2" t="str">
        <f>=HYPERLINK("https://xhslink.com/m/5P1yBL2BzoU", "https://xhslink.com/m/5P1yBL2BzoU")</f>
        <v>https://xhslink.com/m/5P1yBL2BzoU</v>
      </c>
      <c r="D1279"/>
      <c r="E1279">
        <v>5346</v>
      </c>
      <c r="F1279">
        <v>19.9</v>
      </c>
      <c r="G1279">
        <v>6.9</v>
      </c>
      <c r="H1279">
        <v>300</v>
      </c>
      <c r="I1279" t="inlineStr">
        <is>
          <t>坚果果干</t>
        </is>
      </c>
      <c r="J1279" t="inlineStr">
        <is>
          <t>0.06</t>
        </is>
      </c>
      <c r="K1279" t="inlineStr">
        <is>
          <t>🔥低粉爆款</t>
        </is>
      </c>
      <c r="L1279" t="inlineStr">
        <is>
          <t>阳光旬果的店</t>
        </is>
      </c>
      <c r="M1279">
        <v>237</v>
      </c>
      <c r="N1279">
        <v>4.62</v>
      </c>
      <c r="O1279">
        <v>6825</v>
      </c>
      <c r="P1279" t="inlineStr">
        <is>
          <t>69ccd898add7e50001fbce38</t>
        </is>
      </c>
      <c r="Q1279"/>
      <c r="R1279" t="inlineStr">
        <is>
          <t>16周</t>
        </is>
      </c>
      <c r="S1279" t="inlineStr">
        <is>
          <t>22.56</t>
        </is>
      </c>
      <c r="T1279" t="inlineStr">
        <is>
          <t>美食滋补</t>
        </is>
      </c>
      <c r="U1279" t="inlineStr">
        <is>
          <t>休闲零食</t>
        </is>
      </c>
      <c r="V1279" s="3">
        <v>46127.98767361111</v>
      </c>
      <c r="W1279" t="inlineStr">
        <is>
          <t>2026-Q2</t>
        </is>
      </c>
    </row>
    <row r="1280" ht="25.5" customHeight="1">
      <c r="A1280" t="inlineStr">
        <is>
          <t>春日轻养谷物饼干红枣抹茶元气滋养女性办公早餐全家春游饱腹零食</t>
        </is>
      </c>
      <c r="B1280" t="inlineStr">
        <is>
          <t>__upload_recvgSimhWYEZo.jpg</t>
        </is>
      </c>
      <c r="C1280" s="2" t="str">
        <f>=HYPERLINK("https://xhslink.com/m/6nqdQzS9ew2", "https://xhslink.com/m/6nqdQzS9ew2")</f>
        <v>https://xhslink.com/m/6nqdQzS9ew2</v>
      </c>
      <c r="D1280"/>
      <c r="E1280">
        <v>17000</v>
      </c>
      <c r="F1280">
        <v>48</v>
      </c>
      <c r="G1280">
        <v>31.9</v>
      </c>
      <c r="H1280">
        <v>300</v>
      </c>
      <c r="I1280" t="inlineStr">
        <is>
          <t>气血滋补</t>
        </is>
      </c>
      <c r="J1280" t="inlineStr">
        <is>
          <t>0.02</t>
        </is>
      </c>
      <c r="K1280" t="inlineStr">
        <is>
          <t>🔥低粉爆款</t>
        </is>
      </c>
      <c r="L1280" t="inlineStr">
        <is>
          <t>汀不下来的店</t>
        </is>
      </c>
      <c r="M1280">
        <v>3919</v>
      </c>
      <c r="N1280">
        <v>4.76</v>
      </c>
      <c r="O1280">
        <v>37000</v>
      </c>
      <c r="P1280" t="inlineStr">
        <is>
          <t>69a017b242ce000001042cc8</t>
        </is>
      </c>
      <c r="Q1280" t="inlineStr">
        <is>
          <t>🚫重复</t>
        </is>
      </c>
      <c r="R1280" t="inlineStr">
        <is>
          <t>16周</t>
        </is>
      </c>
      <c r="S1280" t="inlineStr">
        <is>
          <t>4.34</t>
        </is>
      </c>
      <c r="T1280" t="inlineStr">
        <is>
          <t>美食滋补</t>
        </is>
      </c>
      <c r="U1280" t="inlineStr">
        <is>
          <t>休闲零食</t>
        </is>
      </c>
      <c r="V1280" s="3">
        <v>46127.98767361111</v>
      </c>
      <c r="W1280" t="inlineStr">
        <is>
          <t>2026-Q2</t>
        </is>
      </c>
    </row>
    <row r="1281" ht="25.5" customHeight="1">
      <c r="A1281" t="inlineStr">
        <is>
          <t>圆领正肩短袖t恤女2026夏季显瘦百搭上衣女 220G</t>
        </is>
      </c>
      <c r="B1281" t="inlineStr">
        <is>
          <t>__upload_recvgSimhWk4ZD.jpg</t>
        </is>
      </c>
      <c r="C1281" s="2" t="str">
        <f>=HYPERLINK("https://xhslink.com/m/7OL3vcvTP8R", "https://xhslink.com/m/7OL3vcvTP8R")</f>
        <v>https://xhslink.com/m/7OL3vcvTP8R</v>
      </c>
      <c r="D1281"/>
      <c r="E1281">
        <v>3659</v>
      </c>
      <c r="F1281">
        <v>49.8</v>
      </c>
      <c r="G1281">
        <v>39.8</v>
      </c>
      <c r="H1281">
        <v>300</v>
      </c>
      <c r="I1281" t="inlineStr">
        <is>
          <t>短袖</t>
        </is>
      </c>
      <c r="J1281" t="inlineStr">
        <is>
          <t>0.08</t>
        </is>
      </c>
      <c r="K1281"/>
      <c r="L1281" t="inlineStr">
        <is>
          <t>1mo饼（2店的店</t>
        </is>
      </c>
      <c r="M1281">
        <v>3461</v>
      </c>
      <c r="N1281">
        <v>4.63</v>
      </c>
      <c r="O1281">
        <v>8943</v>
      </c>
      <c r="P1281" t="inlineStr">
        <is>
          <t>69a41f77fd48e40015feb72c</t>
        </is>
      </c>
      <c r="Q1281"/>
      <c r="R1281" t="inlineStr">
        <is>
          <t>16周</t>
        </is>
      </c>
      <c r="S1281" t="inlineStr">
        <is>
          <t>1.06</t>
        </is>
      </c>
      <c r="T1281" t="inlineStr">
        <is>
          <t>服饰穿搭</t>
        </is>
      </c>
      <c r="U1281" t="inlineStr">
        <is>
          <t>女装</t>
        </is>
      </c>
      <c r="V1281" s="3">
        <v>46127.98767361111</v>
      </c>
      <c r="W1281" t="inlineStr">
        <is>
          <t>2026-Q2</t>
        </is>
      </c>
    </row>
    <row r="1282" ht="25.5" customHeight="1">
      <c r="A1282" t="inlineStr">
        <is>
          <t>胖mm短袖T恤女2025夏季新款纯棉宽松双面印花潮美式复古大码半袖</t>
        </is>
      </c>
      <c r="B1282" t="inlineStr">
        <is>
          <t>__upload_recvgSimhWgFK3.jpg</t>
        </is>
      </c>
      <c r="C1282" s="2" t="str">
        <f>=HYPERLINK("https://xhslink.com/m/ANiY3b0DDRy", "https://xhslink.com/m/ANiY3b0DDRy")</f>
        <v>https://xhslink.com/m/ANiY3b0DDRy</v>
      </c>
      <c r="D1282"/>
      <c r="E1282">
        <v>2596</v>
      </c>
      <c r="F1282">
        <v>49</v>
      </c>
      <c r="G1282"/>
      <c r="H1282">
        <v>300</v>
      </c>
      <c r="I1282" t="inlineStr">
        <is>
          <t>短袖</t>
        </is>
      </c>
      <c r="J1282" t="inlineStr">
        <is>
          <t>0.12</t>
        </is>
      </c>
      <c r="K1282"/>
      <c r="L1282" t="inlineStr">
        <is>
          <t>YZQY T恤的店</t>
        </is>
      </c>
      <c r="M1282">
        <v>966</v>
      </c>
      <c r="N1282">
        <v>4.69</v>
      </c>
      <c r="O1282">
        <v>18000</v>
      </c>
      <c r="P1282" t="inlineStr">
        <is>
          <t>6831fcd805b70000156c6406</t>
        </is>
      </c>
      <c r="Q1282"/>
      <c r="R1282" t="inlineStr">
        <is>
          <t>16周</t>
        </is>
      </c>
      <c r="S1282" t="inlineStr">
        <is>
          <t>2.69</t>
        </is>
      </c>
      <c r="T1282" t="inlineStr">
        <is>
          <t>服饰穿搭</t>
        </is>
      </c>
      <c r="U1282" t="inlineStr">
        <is>
          <t>女装</t>
        </is>
      </c>
      <c r="V1282" s="3">
        <v>46127.98767361111</v>
      </c>
      <c r="W1282" t="inlineStr">
        <is>
          <t>2026-Q2</t>
        </is>
      </c>
    </row>
    <row r="1283" ht="25.5" customHeight="1">
      <c r="A1283" t="inlineStr">
        <is>
          <t>【圆领版】长袖T恤上衣春夏秋冬四季宽松慵懒感柔软舒适垂感罩衫</t>
        </is>
      </c>
      <c r="B1283" t="inlineStr">
        <is>
          <t>__upload_recvgSimhWg9Fm.jpg</t>
        </is>
      </c>
      <c r="C1283" s="2" t="str">
        <f>=HYPERLINK("https://xhslink.com/m/2jtxC69mKa4", "https://xhslink.com/m/2jtxC69mKa4")</f>
        <v>https://xhslink.com/m/2jtxC69mKa4</v>
      </c>
      <c r="D1283"/>
      <c r="E1283">
        <v>23000</v>
      </c>
      <c r="F1283">
        <v>99</v>
      </c>
      <c r="G1283">
        <v>79</v>
      </c>
      <c r="H1283">
        <v>300</v>
      </c>
      <c r="I1283" t="inlineStr">
        <is>
          <t>短袖</t>
        </is>
      </c>
      <c r="J1283" t="inlineStr">
        <is>
          <t>0.01</t>
        </is>
      </c>
      <c r="K1283"/>
      <c r="L1283" t="inlineStr">
        <is>
          <t>爱马橙的店</t>
        </is>
      </c>
      <c r="M1283">
        <v>24000</v>
      </c>
      <c r="N1283">
        <v>4.75</v>
      </c>
      <c r="O1283">
        <v>169000</v>
      </c>
      <c r="P1283" t="inlineStr">
        <is>
          <t>6852a6c2d4dabb000100a26d</t>
        </is>
      </c>
      <c r="Q1283" t="inlineStr">
        <is>
          <t>🚫重复</t>
        </is>
      </c>
      <c r="R1283" t="inlineStr">
        <is>
          <t>16周</t>
        </is>
      </c>
      <c r="S1283" t="inlineStr">
        <is>
          <t>0.96</t>
        </is>
      </c>
      <c r="T1283" t="inlineStr">
        <is>
          <t>服饰穿搭</t>
        </is>
      </c>
      <c r="U1283" t="inlineStr">
        <is>
          <t>女装</t>
        </is>
      </c>
      <c r="V1283" s="3">
        <v>46127.98767361111</v>
      </c>
      <c r="W1283" t="inlineStr">
        <is>
          <t>2026-Q2</t>
        </is>
      </c>
    </row>
    <row r="1284" ht="25.5" customHeight="1">
      <c r="A1284" t="inlineStr">
        <is>
          <t>米尼尼 辣妹挂脖背心微透短袖T恤罩衫女夏</t>
        </is>
      </c>
      <c r="B1284" t="inlineStr">
        <is>
          <t>__upload_recvgSimhWuOF5.jpg</t>
        </is>
      </c>
      <c r="C1284" s="2" t="str">
        <f>=HYPERLINK("https://xhslink.com/m/65kRfRM6Ip3", "https://xhslink.com/m/65kRfRM6Ip3")</f>
        <v>https://xhslink.com/m/65kRfRM6Ip3</v>
      </c>
      <c r="D1284"/>
      <c r="E1284">
        <v>8551</v>
      </c>
      <c r="F1284">
        <v>59.9</v>
      </c>
      <c r="G1284">
        <v>49.9</v>
      </c>
      <c r="H1284">
        <v>300</v>
      </c>
      <c r="I1284" t="inlineStr">
        <is>
          <t>短袖</t>
        </is>
      </c>
      <c r="J1284" t="inlineStr">
        <is>
          <t>0.04</t>
        </is>
      </c>
      <c r="K1284"/>
      <c r="L1284" t="inlineStr">
        <is>
          <t>米尼尼studio的店</t>
        </is>
      </c>
      <c r="M1284">
        <v>500000</v>
      </c>
      <c r="N1284">
        <v>4.53</v>
      </c>
      <c r="O1284">
        <v>638000</v>
      </c>
      <c r="P1284" t="inlineStr">
        <is>
          <t>688656976d60540001836ac2</t>
        </is>
      </c>
      <c r="Q1284" t="inlineStr">
        <is>
          <t>🚫重复</t>
        </is>
      </c>
      <c r="R1284" t="inlineStr">
        <is>
          <t>16周</t>
        </is>
      </c>
      <c r="S1284" t="inlineStr">
        <is>
          <t>0.02</t>
        </is>
      </c>
      <c r="T1284" t="inlineStr">
        <is>
          <t>服饰穿搭</t>
        </is>
      </c>
      <c r="U1284" t="inlineStr">
        <is>
          <t>女装</t>
        </is>
      </c>
      <c r="V1284" s="3">
        <v>46127.98767361111</v>
      </c>
      <c r="W1284" t="inlineStr">
        <is>
          <t>2026-Q2</t>
        </is>
      </c>
    </row>
    <row r="1285" ht="25.5" customHeight="1">
      <c r="A1285" t="inlineStr">
        <is>
          <t>收腰显瘦V领正肩短袖面料柔软舒服百搭经典基础打底内搭修身8736</t>
        </is>
      </c>
      <c r="B1285" t="inlineStr">
        <is>
          <t>__upload_recvgSimhWYH8W.jpg</t>
        </is>
      </c>
      <c r="C1285" s="2" t="str">
        <f>=HYPERLINK("https://xhslink.com/m/6aHddcLpEzg", "https://xhslink.com/m/6aHddcLpEzg")</f>
        <v>https://xhslink.com/m/6aHddcLpEzg</v>
      </c>
      <c r="D1285"/>
      <c r="E1285">
        <v>167000</v>
      </c>
      <c r="F1285">
        <v>69</v>
      </c>
      <c r="G1285"/>
      <c r="H1285">
        <v>300</v>
      </c>
      <c r="I1285" t="inlineStr">
        <is>
          <t>短袖</t>
        </is>
      </c>
      <c r="J1285" t="inlineStr">
        <is>
          <t>0.00</t>
        </is>
      </c>
      <c r="K1285"/>
      <c r="L1285" t="inlineStr">
        <is>
          <t>小鱼爱穿搭的店</t>
        </is>
      </c>
      <c r="M1285">
        <v>130000</v>
      </c>
      <c r="N1285">
        <v>4.47</v>
      </c>
      <c r="O1285">
        <v>614000</v>
      </c>
      <c r="P1285" t="inlineStr">
        <is>
          <t>66f93ce35bcbab0001167243</t>
        </is>
      </c>
      <c r="Q1285" t="inlineStr">
        <is>
          <t>🚫重复</t>
        </is>
      </c>
      <c r="R1285" t="inlineStr">
        <is>
          <t>16周</t>
        </is>
      </c>
      <c r="S1285" t="inlineStr">
        <is>
          <t>1.28</t>
        </is>
      </c>
      <c r="T1285" t="inlineStr">
        <is>
          <t>服饰穿搭</t>
        </is>
      </c>
      <c r="U1285" t="inlineStr">
        <is>
          <t>女装</t>
        </is>
      </c>
      <c r="V1285" s="3">
        <v>46127.98767361111</v>
      </c>
      <c r="W1285" t="inlineStr">
        <is>
          <t>2026-Q2</t>
        </is>
      </c>
    </row>
    <row r="1286" ht="25.5" customHeight="1">
      <c r="A1286" t="inlineStr">
        <is>
          <t>【35元2件】100%纯棉T恤纯色宽松百搭半袖圆领休闲男女短袖打底衫</t>
        </is>
      </c>
      <c r="B1286" t="inlineStr">
        <is>
          <t>__upload_recvgSimhWMq1C.jpg</t>
        </is>
      </c>
      <c r="C1286" s="2" t="str">
        <f>=HYPERLINK("https://xhslink.com/m/3rslfiGFj6F", "https://xhslink.com/m/3rslfiGFj6F")</f>
        <v>https://xhslink.com/m/3rslfiGFj6F</v>
      </c>
      <c r="D1286"/>
      <c r="E1286">
        <v>33000</v>
      </c>
      <c r="F1286">
        <v>95</v>
      </c>
      <c r="G1286">
        <v>35</v>
      </c>
      <c r="H1286">
        <v>300</v>
      </c>
      <c r="I1286" t="inlineStr">
        <is>
          <t>短袖</t>
        </is>
      </c>
      <c r="J1286" t="inlineStr">
        <is>
          <t>0.01</t>
        </is>
      </c>
      <c r="K1286"/>
      <c r="L1286" t="inlineStr">
        <is>
          <t>卡点星服饰的店</t>
        </is>
      </c>
      <c r="M1286">
        <v>22000</v>
      </c>
      <c r="N1286">
        <v>4.61</v>
      </c>
      <c r="O1286">
        <v>99000</v>
      </c>
      <c r="P1286" t="inlineStr">
        <is>
          <t>68e0dc17002e7e0001f93131</t>
        </is>
      </c>
      <c r="Q1286" t="inlineStr">
        <is>
          <t>🚫重复</t>
        </is>
      </c>
      <c r="R1286" t="inlineStr">
        <is>
          <t>16周</t>
        </is>
      </c>
      <c r="S1286" t="inlineStr">
        <is>
          <t>1.50</t>
        </is>
      </c>
      <c r="T1286" t="inlineStr">
        <is>
          <t>服饰穿搭</t>
        </is>
      </c>
      <c r="U1286" t="inlineStr">
        <is>
          <t>女装</t>
        </is>
      </c>
      <c r="V1286" s="3">
        <v>46127.98767361111</v>
      </c>
      <c r="W1286" t="inlineStr">
        <is>
          <t>2026-Q2</t>
        </is>
      </c>
    </row>
    <row r="1287" ht="25.5" customHeight="1">
      <c r="A1287" t="inlineStr">
        <is>
          <t>运动短袖T恤女瑜伽服跑步健身t修身显瘦2026四季可穿普拉提上衣女</t>
        </is>
      </c>
      <c r="B1287" t="inlineStr">
        <is>
          <t>__upload_recvgSimhWNiU6.jpg</t>
        </is>
      </c>
      <c r="C1287" s="2" t="str">
        <f>=HYPERLINK("https://xhslink.com/m/8xC6RDIk511", "https://xhslink.com/m/8xC6RDIk511")</f>
        <v>https://xhslink.com/m/8xC6RDIk511</v>
      </c>
      <c r="D1287"/>
      <c r="E1287">
        <v>12000</v>
      </c>
      <c r="F1287">
        <v>33.5</v>
      </c>
      <c r="G1287">
        <v>26.8</v>
      </c>
      <c r="H1287">
        <v>300</v>
      </c>
      <c r="I1287" t="inlineStr">
        <is>
          <t>短袖</t>
        </is>
      </c>
      <c r="J1287" t="inlineStr">
        <is>
          <t>0.03</t>
        </is>
      </c>
      <c r="K1287"/>
      <c r="L1287" t="inlineStr">
        <is>
          <t>云感Yoga瑜伽的店</t>
        </is>
      </c>
      <c r="M1287">
        <v>32000</v>
      </c>
      <c r="N1287">
        <v>4.51</v>
      </c>
      <c r="O1287">
        <v>344000</v>
      </c>
      <c r="P1287" t="inlineStr">
        <is>
          <t>690c0bc47071920001c6ea13</t>
        </is>
      </c>
      <c r="Q1287" t="inlineStr">
        <is>
          <t>🚫重复</t>
        </is>
      </c>
      <c r="R1287" t="inlineStr">
        <is>
          <t>16周</t>
        </is>
      </c>
      <c r="S1287" t="inlineStr">
        <is>
          <t>0.38</t>
        </is>
      </c>
      <c r="T1287" t="inlineStr">
        <is>
          <t>运动潮玩</t>
        </is>
      </c>
      <c r="U1287" t="inlineStr">
        <is>
          <t>运动户外装备</t>
        </is>
      </c>
      <c r="V1287" s="3">
        <v>46127.98767361111</v>
      </c>
      <c r="W1287" t="inlineStr">
        <is>
          <t>2026-Q2</t>
        </is>
      </c>
    </row>
    <row r="1288" ht="25.5" customHeight="1">
      <c r="A1288" t="inlineStr">
        <is>
          <t>·Mango·千禧辣妹黑衬衫收腰泡泡袖深V上衣修身短袖甜酷正肩长袖女</t>
        </is>
      </c>
      <c r="B1288" t="inlineStr">
        <is>
          <t>__upload_recvgSimhWUBu0.jpg</t>
        </is>
      </c>
      <c r="C1288" s="2" t="str">
        <f>=HYPERLINK("https://xhslink.com/m/QpsVLvgkVR", "https://xhslink.com/m/QpsVLvgkVR")</f>
        <v>https://xhslink.com/m/QpsVLvgkVR</v>
      </c>
      <c r="D1288"/>
      <c r="E1288">
        <v>5713</v>
      </c>
      <c r="F1288">
        <v>68</v>
      </c>
      <c r="G1288"/>
      <c r="H1288">
        <v>300</v>
      </c>
      <c r="I1288" t="inlineStr">
        <is>
          <t>短袖</t>
        </is>
      </c>
      <c r="J1288" t="inlineStr">
        <is>
          <t>0.05</t>
        </is>
      </c>
      <c r="K1288"/>
      <c r="L1288" t="inlineStr">
        <is>
          <t>Mango服饰的店</t>
        </is>
      </c>
      <c r="M1288">
        <v>61000</v>
      </c>
      <c r="N1288">
        <v>4.68</v>
      </c>
      <c r="O1288">
        <v>141000</v>
      </c>
      <c r="P1288" t="inlineStr">
        <is>
          <t>687f3e468fe34700011349a2</t>
        </is>
      </c>
      <c r="Q1288"/>
      <c r="R1288" t="inlineStr">
        <is>
          <t>16周</t>
        </is>
      </c>
      <c r="S1288" t="inlineStr">
        <is>
          <t>0.09</t>
        </is>
      </c>
      <c r="T1288" t="inlineStr">
        <is>
          <t>服饰穿搭</t>
        </is>
      </c>
      <c r="U1288" t="inlineStr">
        <is>
          <t>女装</t>
        </is>
      </c>
      <c r="V1288" s="3">
        <v>46127.98767361111</v>
      </c>
      <c r="W1288" t="inlineStr">
        <is>
          <t>2026-Q2</t>
        </is>
      </c>
    </row>
    <row r="1289" ht="25.5" customHeight="1">
      <c r="A1289" t="inlineStr">
        <is>
          <t>okbingbing · soote 家同款 韩系掐腰修身显瘦短袖口袋收腰气质衬衫上衣女</t>
        </is>
      </c>
      <c r="B1289" t="inlineStr">
        <is>
          <t>__upload_recvgSimhWd9LS.jpg</t>
        </is>
      </c>
      <c r="C1289" s="2" t="str">
        <f>=HYPERLINK("https://xhslink.com/m/9juPFs9QVhb", "https://xhslink.com/m/9juPFs9QVhb")</f>
        <v>https://xhslink.com/m/9juPFs9QVhb</v>
      </c>
      <c r="D1289"/>
      <c r="E1289">
        <v>8888</v>
      </c>
      <c r="F1289">
        <v>79</v>
      </c>
      <c r="G1289"/>
      <c r="H1289">
        <v>300</v>
      </c>
      <c r="I1289" t="inlineStr">
        <is>
          <t>短袖</t>
        </is>
      </c>
      <c r="J1289" t="inlineStr">
        <is>
          <t>0.03</t>
        </is>
      </c>
      <c r="K1289"/>
      <c r="L1289" t="inlineStr">
        <is>
          <t>OK饼饼的店</t>
        </is>
      </c>
      <c r="M1289">
        <v>25000</v>
      </c>
      <c r="N1289">
        <v>4.46</v>
      </c>
      <c r="O1289">
        <v>192000</v>
      </c>
      <c r="P1289" t="inlineStr">
        <is>
          <t>67f933af791e940015197567</t>
        </is>
      </c>
      <c r="Q1289" t="inlineStr">
        <is>
          <t>🚫重复</t>
        </is>
      </c>
      <c r="R1289" t="inlineStr">
        <is>
          <t>16周</t>
        </is>
      </c>
      <c r="S1289" t="inlineStr">
        <is>
          <t>0.36</t>
        </is>
      </c>
      <c r="T1289" t="inlineStr">
        <is>
          <t>服饰穿搭</t>
        </is>
      </c>
      <c r="U1289" t="inlineStr">
        <is>
          <t>女装</t>
        </is>
      </c>
      <c r="V1289" s="3">
        <v>46127.98767361111</v>
      </c>
      <c r="W1289" t="inlineStr">
        <is>
          <t>2026-Q2</t>
        </is>
      </c>
    </row>
    <row r="1290" ht="25.5" customHeight="1">
      <c r="A1290" t="inlineStr">
        <is>
          <t>蕉下 · 【祖儿同款】 女士侧脸超轻量鸭舌帽BM715</t>
        </is>
      </c>
      <c r="B1290" t="inlineStr">
        <is>
          <t>__upload_recvgSimhWXukq.jpg</t>
        </is>
      </c>
      <c r="C1290" s="2" t="str">
        <f>=HYPERLINK("https://xhslink.com/m/4XhmObllipx", "https://xhslink.com/m/4XhmObllipx")</f>
        <v>https://xhslink.com/m/4XhmObllipx</v>
      </c>
      <c r="D1290"/>
      <c r="E1290">
        <v>12000</v>
      </c>
      <c r="F1290">
        <v>199</v>
      </c>
      <c r="G1290">
        <v>159</v>
      </c>
      <c r="H1290">
        <v>300</v>
      </c>
      <c r="I1290" t="inlineStr">
        <is>
          <t>遮阳帽</t>
        </is>
      </c>
      <c r="J1290" t="inlineStr">
        <is>
          <t>0.03</t>
        </is>
      </c>
      <c r="K1290"/>
      <c r="L1290" t="inlineStr">
        <is>
          <t>蕉下Beneunder旗舰店</t>
        </is>
      </c>
      <c r="M1290">
        <v>128000</v>
      </c>
      <c r="N1290">
        <v>4.82</v>
      </c>
      <c r="O1290">
        <v>1298000</v>
      </c>
      <c r="P1290" t="inlineStr">
        <is>
          <t>699af0aa62c5c00015984e40</t>
        </is>
      </c>
      <c r="Q1290"/>
      <c r="R1290" t="inlineStr">
        <is>
          <t>16周</t>
        </is>
      </c>
      <c r="S1290" t="inlineStr">
        <is>
          <t>0.09</t>
        </is>
      </c>
      <c r="T1290" t="inlineStr">
        <is>
          <t>服饰穿搭</t>
        </is>
      </c>
      <c r="U1290" t="inlineStr">
        <is>
          <t>鞋靴箱包</t>
        </is>
      </c>
      <c r="V1290" s="3">
        <v>46127.98767361111</v>
      </c>
      <c r="W1290" t="inlineStr">
        <is>
          <t>2026-Q2</t>
        </is>
      </c>
    </row>
    <row r="1291" ht="25.5" customHeight="1">
      <c r="A1291" t="inlineStr">
        <is>
          <t>春夏轻薄百搭遮阳渔夫帽子女韩版百搭休闲帽明星同款鸭舌盆帽</t>
        </is>
      </c>
      <c r="B1291" t="inlineStr">
        <is>
          <t>__upload_recvgSimhWQI2V.jpg</t>
        </is>
      </c>
      <c r="C1291" s="2" t="str">
        <f>=HYPERLINK("https://xhslink.com/m/A4p7o7UGxOH", "https://xhslink.com/m/A4p7o7UGxOH")</f>
        <v>https://xhslink.com/m/A4p7o7UGxOH</v>
      </c>
      <c r="D1291"/>
      <c r="E1291">
        <v>14000</v>
      </c>
      <c r="F1291">
        <v>36</v>
      </c>
      <c r="G1291"/>
      <c r="H1291">
        <v>300</v>
      </c>
      <c r="I1291" t="inlineStr">
        <is>
          <t>遮阳帽</t>
        </is>
      </c>
      <c r="J1291" t="inlineStr">
        <is>
          <t>0.02</t>
        </is>
      </c>
      <c r="K1291" t="inlineStr">
        <is>
          <t>🔥低粉爆款</t>
        </is>
      </c>
      <c r="L1291" t="inlineStr">
        <is>
          <t>神秘帽号的店</t>
        </is>
      </c>
      <c r="M1291">
        <v>2411</v>
      </c>
      <c r="N1291">
        <v>4.56</v>
      </c>
      <c r="O1291">
        <v>19000</v>
      </c>
      <c r="P1291" t="inlineStr">
        <is>
          <t>65fada1c3403350001f849a8</t>
        </is>
      </c>
      <c r="Q1291" t="inlineStr">
        <is>
          <t>🚫重复</t>
        </is>
      </c>
      <c r="R1291" t="inlineStr">
        <is>
          <t>16周</t>
        </is>
      </c>
      <c r="S1291" t="inlineStr">
        <is>
          <t>5.81</t>
        </is>
      </c>
      <c r="T1291" t="inlineStr">
        <is>
          <t>服饰穿搭</t>
        </is>
      </c>
      <c r="U1291" t="inlineStr">
        <is>
          <t>配饰</t>
        </is>
      </c>
      <c r="V1291" s="3">
        <v>46127.98767361111</v>
      </c>
      <c r="W1291" t="inlineStr">
        <is>
          <t>2026-Q2</t>
        </is>
      </c>
    </row>
    <row r="1292" ht="25.5" customHeight="1">
      <c r="A1292" t="inlineStr">
        <is>
          <t>日单可收纳遮阳渔夫帽防风防水户外出游登山徒步旅行收纳男女同款</t>
        </is>
      </c>
      <c r="B1292" t="inlineStr">
        <is>
          <t>__upload_recvgSimhWJyjj.jpg</t>
        </is>
      </c>
      <c r="C1292" s="2" t="str">
        <f>=HYPERLINK("https://xhslink.com/m/9iyNlEfk59p", "https://xhslink.com/m/9iyNlEfk59p")</f>
        <v>https://xhslink.com/m/9iyNlEfk59p</v>
      </c>
      <c r="D1292"/>
      <c r="E1292">
        <v>27000</v>
      </c>
      <c r="F1292">
        <v>34.9</v>
      </c>
      <c r="G1292">
        <v>29.9</v>
      </c>
      <c r="H1292">
        <v>300</v>
      </c>
      <c r="I1292" t="inlineStr">
        <is>
          <t>遮阳帽</t>
        </is>
      </c>
      <c r="J1292" t="inlineStr">
        <is>
          <t>0.01</t>
        </is>
      </c>
      <c r="K1292"/>
      <c r="L1292" t="inlineStr">
        <is>
          <t>是二喜呀的店</t>
        </is>
      </c>
      <c r="M1292">
        <v>49000</v>
      </c>
      <c r="N1292">
        <v>4.61</v>
      </c>
      <c r="O1292">
        <v>264000</v>
      </c>
      <c r="P1292" t="inlineStr">
        <is>
          <t>660822daafb6e70001eff6f1</t>
        </is>
      </c>
      <c r="Q1292" t="inlineStr">
        <is>
          <t>🚫重复</t>
        </is>
      </c>
      <c r="R1292" t="inlineStr">
        <is>
          <t>16周</t>
        </is>
      </c>
      <c r="S1292" t="inlineStr">
        <is>
          <t>0.55</t>
        </is>
      </c>
      <c r="T1292" t="inlineStr">
        <is>
          <t>家居生活</t>
        </is>
      </c>
      <c r="U1292" t="inlineStr">
        <is>
          <t>家居日用</t>
        </is>
      </c>
      <c r="V1292" s="3">
        <v>46127.98767361111</v>
      </c>
      <c r="W1292" t="inlineStr">
        <is>
          <t>2026-Q2</t>
        </is>
      </c>
    </row>
    <row r="1293" ht="25.5" customHeight="1">
      <c r="A1293" t="inlineStr">
        <is>
          <t>定制加大头围57-65cm夏季渔夫帽女可当包包防紫外线遮脸户外透气</t>
        </is>
      </c>
      <c r="B1293" t="inlineStr">
        <is>
          <t>__upload_recvgSimhWuYLL.jpg</t>
        </is>
      </c>
      <c r="C1293" s="2" t="str">
        <f>=HYPERLINK("https://xhslink.com/m/3AECC9ToKru", "https://xhslink.com/m/3AECC9ToKru")</f>
        <v>https://xhslink.com/m/3AECC9ToKru</v>
      </c>
      <c r="D1293"/>
      <c r="E1293">
        <v>22000</v>
      </c>
      <c r="F1293">
        <v>35.8</v>
      </c>
      <c r="G1293"/>
      <c r="H1293">
        <v>300</v>
      </c>
      <c r="I1293" t="inlineStr">
        <is>
          <t>遮阳帽</t>
        </is>
      </c>
      <c r="J1293" t="inlineStr">
        <is>
          <t>0.01</t>
        </is>
      </c>
      <c r="K1293"/>
      <c r="L1293" t="inlineStr">
        <is>
          <t>大头大脸倩倩家的店</t>
        </is>
      </c>
      <c r="M1293">
        <v>46000</v>
      </c>
      <c r="N1293">
        <v>4.46</v>
      </c>
      <c r="O1293">
        <v>343000</v>
      </c>
      <c r="P1293" t="inlineStr">
        <is>
          <t>67de1c5884926e0001121079</t>
        </is>
      </c>
      <c r="Q1293" t="inlineStr">
        <is>
          <t>🚫重复</t>
        </is>
      </c>
      <c r="R1293" t="inlineStr">
        <is>
          <t>16周</t>
        </is>
      </c>
      <c r="S1293" t="inlineStr">
        <is>
          <t>0.48</t>
        </is>
      </c>
      <c r="T1293" t="inlineStr">
        <is>
          <t>服饰穿搭</t>
        </is>
      </c>
      <c r="U1293" t="inlineStr">
        <is>
          <t>鞋靴箱包</t>
        </is>
      </c>
      <c r="V1293" s="3">
        <v>46127.98767361111</v>
      </c>
      <c r="W1293" t="inlineStr">
        <is>
          <t>2026-Q2</t>
        </is>
      </c>
    </row>
    <row r="1294" ht="25.5" customHeight="1">
      <c r="A1294" t="inlineStr">
        <is>
          <t>粉色/绿色/蓝色系盲盒（是盲盒！别光看价格，看仔细详情再下单</t>
        </is>
      </c>
      <c r="B1294" t="inlineStr">
        <is>
          <t>__upload_recvgY7N5zxKIE.jpg</t>
        </is>
      </c>
      <c r="C1294" s="2" t="str">
        <f>=HYPERLINK("https://xhslink.com/m/8WaEr8WemLZ", "https://xhslink.com/m/8WaEr8WemLZ")</f>
        <v>https://xhslink.com/m/8WaEr8WemLZ</v>
      </c>
      <c r="D1294"/>
      <c r="E1294">
        <v>4299</v>
      </c>
      <c r="F1294">
        <v>25</v>
      </c>
      <c r="G1294"/>
      <c r="H1294">
        <v>300</v>
      </c>
      <c r="I1294" t="inlineStr">
        <is>
          <t>盲盒</t>
        </is>
      </c>
      <c r="J1294" t="inlineStr">
        <is>
          <t>0.07</t>
        </is>
      </c>
      <c r="K1294"/>
      <c r="L1294" t="inlineStr">
        <is>
          <t>王西府的杂货铺的店</t>
        </is>
      </c>
      <c r="M1294">
        <v>11000</v>
      </c>
      <c r="N1294">
        <v>4.36</v>
      </c>
      <c r="O1294">
        <v>11000</v>
      </c>
      <c r="P1294" t="inlineStr">
        <is>
          <t>677bad5277d41e00012ec2af</t>
        </is>
      </c>
      <c r="Q1294"/>
      <c r="R1294" t="inlineStr">
        <is>
          <t>16周</t>
        </is>
      </c>
      <c r="S1294" t="inlineStr">
        <is>
          <t>0.39</t>
        </is>
      </c>
      <c r="T1294" t="inlineStr">
        <is>
          <t>运动潮玩</t>
        </is>
      </c>
      <c r="U1294" t="inlineStr">
        <is>
          <t>潮玩手办</t>
        </is>
      </c>
      <c r="V1294" s="3">
        <v>46128.98467592592</v>
      </c>
      <c r="W1294" t="inlineStr">
        <is>
          <t>2026-Q2</t>
        </is>
      </c>
    </row>
    <row r="1295" ht="25.5" customHeight="1">
      <c r="A1295" t="inlineStr">
        <is>
          <t>黄吉吉 · 灰绿色山本裤女2026春夏季高腰宽松垂感慵懒直筒阔腿裤运动休闲裤</t>
        </is>
      </c>
      <c r="B1295" t="inlineStr">
        <is>
          <t>__upload_recvgY7N5zonuO.jpg</t>
        </is>
      </c>
      <c r="C1295" s="2" t="str">
        <f>=HYPERLINK("https://xhslink.com/m/7YJPXslpItV", "https://xhslink.com/m/7YJPXslpItV")</f>
        <v>https://xhslink.com/m/7YJPXslpItV</v>
      </c>
      <c r="D1295"/>
      <c r="E1295">
        <v>127000</v>
      </c>
      <c r="F1295">
        <v>79.9</v>
      </c>
      <c r="G1295">
        <v>49.9</v>
      </c>
      <c r="H1295">
        <v>300</v>
      </c>
      <c r="I1295" t="inlineStr">
        <is>
          <t>裤子</t>
        </is>
      </c>
      <c r="J1295" t="inlineStr">
        <is>
          <t>0.00</t>
        </is>
      </c>
      <c r="K1295"/>
      <c r="L1295" t="inlineStr">
        <is>
          <t>黄吉吉的店</t>
        </is>
      </c>
      <c r="M1295">
        <v>1315000</v>
      </c>
      <c r="N1295">
        <v>4.32</v>
      </c>
      <c r="O1295">
        <v>2776000</v>
      </c>
      <c r="P1295" t="inlineStr">
        <is>
          <t>66a45a5f2612e800011d27f7</t>
        </is>
      </c>
      <c r="Q1295" t="inlineStr">
        <is>
          <t>🚫重复</t>
        </is>
      </c>
      <c r="R1295" t="inlineStr">
        <is>
          <t>16周</t>
        </is>
      </c>
      <c r="S1295" t="inlineStr">
        <is>
          <t>0.10</t>
        </is>
      </c>
      <c r="T1295" t="inlineStr">
        <is>
          <t>服饰穿搭</t>
        </is>
      </c>
      <c r="U1295" t="inlineStr">
        <is>
          <t>女装</t>
        </is>
      </c>
      <c r="V1295" s="3">
        <v>46128.98467592592</v>
      </c>
      <c r="W1295" t="inlineStr">
        <is>
          <t>2026-Q2</t>
        </is>
      </c>
    </row>
    <row r="1296" ht="25.5" customHeight="1">
      <c r="A1296" t="inlineStr">
        <is>
          <t>低腰不贴腿百搭喇叭裤拖地牛仔裤女美式辣妹阔腿裤</t>
        </is>
      </c>
      <c r="B1296" t="inlineStr">
        <is>
          <t>__upload_recvgY7N5zIcUs.jpg</t>
        </is>
      </c>
      <c r="C1296" s="2" t="str">
        <f>=HYPERLINK("https://xhslink.com/m/1s59KR0ff7q", "https://xhslink.com/m/1s59KR0ff7q")</f>
        <v>https://xhslink.com/m/1s59KR0ff7q</v>
      </c>
      <c r="D1296"/>
      <c r="E1296">
        <v>138000</v>
      </c>
      <c r="F1296">
        <v>95</v>
      </c>
      <c r="G1296">
        <v>79</v>
      </c>
      <c r="H1296">
        <v>300</v>
      </c>
      <c r="I1296" t="inlineStr">
        <is>
          <t>裤子</t>
        </is>
      </c>
      <c r="J1296" t="inlineStr">
        <is>
          <t>0.00</t>
        </is>
      </c>
      <c r="K1296"/>
      <c r="L1296" t="inlineStr">
        <is>
          <t>OKOKOK的店</t>
        </is>
      </c>
      <c r="M1296">
        <v>234000</v>
      </c>
      <c r="N1296">
        <v>4.5</v>
      </c>
      <c r="O1296">
        <v>1141000</v>
      </c>
      <c r="P1296" t="inlineStr">
        <is>
          <t>68d7cde2d3eed20001e0948d</t>
        </is>
      </c>
      <c r="Q1296" t="inlineStr">
        <is>
          <t>🚫重复</t>
        </is>
      </c>
      <c r="R1296" t="inlineStr">
        <is>
          <t>16周</t>
        </is>
      </c>
      <c r="S1296" t="inlineStr">
        <is>
          <t>0.59</t>
        </is>
      </c>
      <c r="T1296" t="inlineStr">
        <is>
          <t>服饰穿搭</t>
        </is>
      </c>
      <c r="U1296" t="inlineStr">
        <is>
          <t>女装</t>
        </is>
      </c>
      <c r="V1296" s="3">
        <v>46128.98467592592</v>
      </c>
      <c r="W1296" t="inlineStr">
        <is>
          <t>2026-Q2</t>
        </is>
      </c>
    </row>
    <row r="1297" ht="25.5" customHeight="1">
      <c r="A1297" t="inlineStr">
        <is>
          <t>【半岛铁盒】蓝灰阔腿牛仔裤女2026年爆款宽松垂感拖地裤显瘦</t>
        </is>
      </c>
      <c r="B1297" t="inlineStr">
        <is>
          <t>__upload_recvgY7N5zsqbg.jpg</t>
        </is>
      </c>
      <c r="C1297" s="2" t="str">
        <f>=HYPERLINK("https://xhslink.com/m/6NcalQoV9YI", "https://xhslink.com/m/6NcalQoV9YI")</f>
        <v>https://xhslink.com/m/6NcalQoV9YI</v>
      </c>
      <c r="D1297"/>
      <c r="E1297">
        <v>41000</v>
      </c>
      <c r="F1297">
        <v>89.99</v>
      </c>
      <c r="G1297"/>
      <c r="H1297">
        <v>300</v>
      </c>
      <c r="I1297" t="inlineStr">
        <is>
          <t>裤子</t>
        </is>
      </c>
      <c r="J1297" t="inlineStr">
        <is>
          <t>0.01</t>
        </is>
      </c>
      <c r="K1297"/>
      <c r="L1297" t="inlineStr">
        <is>
          <t>李空空的店</t>
        </is>
      </c>
      <c r="M1297">
        <v>103000</v>
      </c>
      <c r="N1297">
        <v>4.58</v>
      </c>
      <c r="O1297">
        <v>572000</v>
      </c>
      <c r="P1297" t="inlineStr">
        <is>
          <t>6616050b68c7360001a8825c</t>
        </is>
      </c>
      <c r="Q1297" t="inlineStr">
        <is>
          <t>🚫重复</t>
        </is>
      </c>
      <c r="R1297" t="inlineStr">
        <is>
          <t>16周</t>
        </is>
      </c>
      <c r="S1297" t="inlineStr">
        <is>
          <t>0.40</t>
        </is>
      </c>
      <c r="T1297" t="inlineStr">
        <is>
          <t>服饰穿搭</t>
        </is>
      </c>
      <c r="U1297" t="inlineStr">
        <is>
          <t>女装</t>
        </is>
      </c>
      <c r="V1297" s="3">
        <v>46128.98467592592</v>
      </c>
      <c r="W1297" t="inlineStr">
        <is>
          <t>2026-Q2</t>
        </is>
      </c>
    </row>
    <row r="1298" ht="25.5" customHeight="1">
      <c r="A1298" t="inlineStr">
        <is>
          <t>白色直筒牛仔裤女夏季2026多色新款高腰宽松阔腿显瘦慵懒拖地裤子</t>
        </is>
      </c>
      <c r="B1298" t="inlineStr">
        <is>
          <t>__upload_recvgY7N5zuPL0.jpg</t>
        </is>
      </c>
      <c r="C1298" s="2" t="str">
        <f>=HYPERLINK("https://xhslink.com/m/4ZeAB2NAxWi", "https://xhslink.com/m/4ZeAB2NAxWi")</f>
        <v>https://xhslink.com/m/4ZeAB2NAxWi</v>
      </c>
      <c r="D1298"/>
      <c r="E1298">
        <v>22000</v>
      </c>
      <c r="F1298">
        <v>109</v>
      </c>
      <c r="G1298">
        <v>78</v>
      </c>
      <c r="H1298">
        <v>300</v>
      </c>
      <c r="I1298" t="inlineStr">
        <is>
          <t>裤子</t>
        </is>
      </c>
      <c r="J1298" t="inlineStr">
        <is>
          <t>0.01</t>
        </is>
      </c>
      <c r="K1298"/>
      <c r="L1298" t="inlineStr">
        <is>
          <t>圈圈不转圈⭕的店</t>
        </is>
      </c>
      <c r="M1298">
        <v>34000</v>
      </c>
      <c r="N1298">
        <v>4.45</v>
      </c>
      <c r="O1298">
        <v>254000</v>
      </c>
      <c r="P1298" t="inlineStr">
        <is>
          <t>67d06c8501442700019c94b5</t>
        </is>
      </c>
      <c r="Q1298" t="inlineStr">
        <is>
          <t>🚫重复</t>
        </is>
      </c>
      <c r="R1298" t="inlineStr">
        <is>
          <t>16周</t>
        </is>
      </c>
      <c r="S1298" t="inlineStr">
        <is>
          <t>0.65</t>
        </is>
      </c>
      <c r="T1298" t="inlineStr">
        <is>
          <t>服饰穿搭</t>
        </is>
      </c>
      <c r="U1298" t="inlineStr">
        <is>
          <t>女装</t>
        </is>
      </c>
      <c r="V1298" s="3">
        <v>46128.98467592592</v>
      </c>
      <c r="W1298" t="inlineStr">
        <is>
          <t>2026-Q2</t>
        </is>
      </c>
    </row>
    <row r="1299" ht="25.5" customHeight="1">
      <c r="A1299" t="inlineStr">
        <is>
          <t>【大米饭】懒人快乐裤 水洗棉八分九分运动休闲阔腿裙裤</t>
        </is>
      </c>
      <c r="B1299" t="inlineStr">
        <is>
          <t>__upload_recvgY7N5zq39s.jpg</t>
        </is>
      </c>
      <c r="C1299" s="2" t="str">
        <f>=HYPERLINK("https://xhslink.com/m/3Xrc9SI4HZZ", "https://xhslink.com/m/3Xrc9SI4HZZ")</f>
        <v>https://xhslink.com/m/3Xrc9SI4HZZ</v>
      </c>
      <c r="D1299"/>
      <c r="E1299">
        <v>12000</v>
      </c>
      <c r="F1299">
        <v>64</v>
      </c>
      <c r="G1299">
        <v>59</v>
      </c>
      <c r="H1299">
        <v>300</v>
      </c>
      <c r="I1299" t="inlineStr">
        <is>
          <t>裤子</t>
        </is>
      </c>
      <c r="J1299" t="inlineStr">
        <is>
          <t>0.03</t>
        </is>
      </c>
      <c r="K1299"/>
      <c r="L1299" t="inlineStr">
        <is>
          <t>大米饭制衣厂（厂长版）的店</t>
        </is>
      </c>
      <c r="M1299">
        <v>64000</v>
      </c>
      <c r="N1299">
        <v>4.73</v>
      </c>
      <c r="O1299">
        <v>171000</v>
      </c>
      <c r="P1299" t="inlineStr">
        <is>
          <t>69c7ed0ad4e1ce0001ebd1a4</t>
        </is>
      </c>
      <c r="Q1299" t="inlineStr">
        <is>
          <t>🚫重复</t>
        </is>
      </c>
      <c r="R1299" t="inlineStr">
        <is>
          <t>16周</t>
        </is>
      </c>
      <c r="S1299" t="inlineStr">
        <is>
          <t>0.19</t>
        </is>
      </c>
      <c r="T1299" t="inlineStr">
        <is>
          <t>服饰穿搭</t>
        </is>
      </c>
      <c r="U1299" t="inlineStr">
        <is>
          <t>女装</t>
        </is>
      </c>
      <c r="V1299" s="3">
        <v>46128.98467592592</v>
      </c>
      <c r="W1299" t="inlineStr">
        <is>
          <t>2026-Q2</t>
        </is>
      </c>
    </row>
    <row r="1300" ht="25.5" customHeight="1">
      <c r="A1300" t="inlineStr">
        <is>
          <t>水洗蓝微喇叭牛仔裤2026年春夏浅色微喇高腰显瘦显高马蹄裤子</t>
        </is>
      </c>
      <c r="B1300" t="inlineStr">
        <is>
          <t>__upload_recvgY7N5z714Q.jpg</t>
        </is>
      </c>
      <c r="C1300" s="2" t="str">
        <f>=HYPERLINK("https://xhslink.com/m/8YRHACRDGdv", "https://xhslink.com/m/8YRHACRDGdv")</f>
        <v>https://xhslink.com/m/8YRHACRDGdv</v>
      </c>
      <c r="D1300"/>
      <c r="E1300">
        <v>13000</v>
      </c>
      <c r="F1300">
        <v>99</v>
      </c>
      <c r="G1300">
        <v>89</v>
      </c>
      <c r="H1300">
        <v>300</v>
      </c>
      <c r="I1300" t="inlineStr">
        <is>
          <t>裤子</t>
        </is>
      </c>
      <c r="J1300" t="inlineStr">
        <is>
          <t>0.02</t>
        </is>
      </c>
      <c r="K1300" t="inlineStr">
        <is>
          <t>🔥低粉爆款</t>
        </is>
      </c>
      <c r="L1300" t="inlineStr">
        <is>
          <t>宸茹丨DUooYI工作室的店</t>
        </is>
      </c>
      <c r="M1300">
        <v>1805</v>
      </c>
      <c r="N1300">
        <v>4.68</v>
      </c>
      <c r="O1300">
        <v>65000</v>
      </c>
      <c r="P1300" t="inlineStr">
        <is>
          <t>65de9b5d109ad100019c9c3e</t>
        </is>
      </c>
      <c r="Q1300" t="inlineStr">
        <is>
          <t>🚫重复</t>
        </is>
      </c>
      <c r="R1300" t="inlineStr">
        <is>
          <t>16周</t>
        </is>
      </c>
      <c r="S1300" t="inlineStr">
        <is>
          <t>7.20</t>
        </is>
      </c>
      <c r="T1300" t="inlineStr">
        <is>
          <t>服饰穿搭</t>
        </is>
      </c>
      <c r="U1300" t="inlineStr">
        <is>
          <t>女装</t>
        </is>
      </c>
      <c r="V1300" s="3">
        <v>46128.98467592592</v>
      </c>
      <c r="W1300" t="inlineStr">
        <is>
          <t>2026-Q2</t>
        </is>
      </c>
    </row>
    <row r="1301" ht="25.5" customHeight="1">
      <c r="A1301" t="inlineStr">
        <is>
          <t>前2000单立减30！窄版运动裤女春夏高腰阔腿直筒秋冬休闲美式卫裤</t>
        </is>
      </c>
      <c r="B1301" t="inlineStr">
        <is>
          <t>__upload_recvgY7N5zjbxH.jpg</t>
        </is>
      </c>
      <c r="C1301" s="2" t="str">
        <f>=HYPERLINK("https://xhslink.com/m/AGDOzvv9WJz", "https://xhslink.com/m/AGDOzvv9WJz")</f>
        <v>https://xhslink.com/m/AGDOzvv9WJz</v>
      </c>
      <c r="D1301"/>
      <c r="E1301">
        <v>1401</v>
      </c>
      <c r="F1301">
        <v>92.9</v>
      </c>
      <c r="G1301">
        <v>59.9</v>
      </c>
      <c r="H1301">
        <v>300</v>
      </c>
      <c r="I1301" t="inlineStr">
        <is>
          <t>裤子</t>
        </is>
      </c>
      <c r="J1301" t="inlineStr">
        <is>
          <t>0.21</t>
        </is>
      </c>
      <c r="K1301" t="inlineStr">
        <is>
          <t>🔥低粉爆款</t>
        </is>
      </c>
      <c r="L1301" t="inlineStr">
        <is>
          <t>柚子小丸的店</t>
        </is>
      </c>
      <c r="M1301">
        <v>417</v>
      </c>
      <c r="N1301">
        <v>4.74</v>
      </c>
      <c r="O1301">
        <v>1398</v>
      </c>
      <c r="P1301" t="inlineStr">
        <is>
          <t>69b2eb9c19f8df0015b79614</t>
        </is>
      </c>
      <c r="Q1301"/>
      <c r="R1301" t="inlineStr">
        <is>
          <t>16周</t>
        </is>
      </c>
      <c r="S1301" t="inlineStr">
        <is>
          <t>3.36</t>
        </is>
      </c>
      <c r="T1301" t="inlineStr">
        <is>
          <t>服饰穿搭</t>
        </is>
      </c>
      <c r="U1301" t="inlineStr">
        <is>
          <t>女装</t>
        </is>
      </c>
      <c r="V1301" s="3">
        <v>46128.98467592592</v>
      </c>
      <c r="W1301" t="inlineStr">
        <is>
          <t>2026-Q2</t>
        </is>
      </c>
    </row>
    <row r="1302" ht="25.5" customHeight="1">
      <c r="A1302" t="inlineStr">
        <is>
          <t>右单元 · Rightcell「奶芙系列超模裤」微喇牛仔裤女2026冬高腰直筒喇叭裤</t>
        </is>
      </c>
      <c r="B1302" t="inlineStr">
        <is>
          <t>__upload_recvgY7N5zNvFB.jpg</t>
        </is>
      </c>
      <c r="C1302" s="2" t="str">
        <f>=HYPERLINK("https://xhslink.com/m/5KA57oLM14z", "https://xhslink.com/m/5KA57oLM14z")</f>
        <v>https://xhslink.com/m/5KA57oLM14z</v>
      </c>
      <c r="D1302"/>
      <c r="E1302">
        <v>6972</v>
      </c>
      <c r="F1302">
        <v>399.99</v>
      </c>
      <c r="G1302">
        <v>351.99</v>
      </c>
      <c r="H1302">
        <v>300</v>
      </c>
      <c r="I1302" t="inlineStr">
        <is>
          <t>裤子</t>
        </is>
      </c>
      <c r="J1302" t="inlineStr">
        <is>
          <t>0.04</t>
        </is>
      </c>
      <c r="K1302"/>
      <c r="L1302" t="inlineStr">
        <is>
          <t>右单元 Rightcell旗舰店</t>
        </is>
      </c>
      <c r="M1302">
        <v>56000</v>
      </c>
      <c r="N1302">
        <v>4.6</v>
      </c>
      <c r="O1302">
        <v>398000</v>
      </c>
      <c r="P1302" t="inlineStr">
        <is>
          <t>69634a1664c86a0015634b23</t>
        </is>
      </c>
      <c r="Q1302" t="inlineStr">
        <is>
          <t>🚫重复</t>
        </is>
      </c>
      <c r="R1302" t="inlineStr">
        <is>
          <t>16周</t>
        </is>
      </c>
      <c r="S1302" t="inlineStr">
        <is>
          <t>0.12</t>
        </is>
      </c>
      <c r="T1302" t="inlineStr">
        <is>
          <t>服饰穿搭</t>
        </is>
      </c>
      <c r="U1302" t="inlineStr">
        <is>
          <t>女装</t>
        </is>
      </c>
      <c r="V1302" s="3">
        <v>46128.98467592592</v>
      </c>
      <c r="W1302" t="inlineStr">
        <is>
          <t>2026-Q2</t>
        </is>
      </c>
    </row>
    <row r="1303" ht="25.5" customHeight="1">
      <c r="A1303" t="inlineStr">
        <is>
          <t>定易 · V腰牛仔裤显瘦翘臀遮胯收腰弹力大码微喇牛仔裤dailyparty</t>
        </is>
      </c>
      <c r="B1303" t="inlineStr">
        <is>
          <t>__upload_recvgY7N5zJRIh.jpg</t>
        </is>
      </c>
      <c r="C1303" s="2" t="str">
        <f>=HYPERLINK("https://xhslink.com/m/AnEKaXV9a0U", "https://xhslink.com/m/AnEKaXV9a0U")</f>
        <v>https://xhslink.com/m/AnEKaXV9a0U</v>
      </c>
      <c r="D1303"/>
      <c r="E1303">
        <v>6151</v>
      </c>
      <c r="F1303">
        <v>429</v>
      </c>
      <c r="G1303">
        <v>359</v>
      </c>
      <c r="H1303">
        <v>300</v>
      </c>
      <c r="I1303" t="inlineStr">
        <is>
          <t>裤子</t>
        </is>
      </c>
      <c r="J1303" t="inlineStr">
        <is>
          <t>0.05</t>
        </is>
      </c>
      <c r="K1303"/>
      <c r="L1303" t="inlineStr">
        <is>
          <t>定易旗舰店</t>
        </is>
      </c>
      <c r="M1303">
        <v>14000</v>
      </c>
      <c r="N1303">
        <v>4.73</v>
      </c>
      <c r="O1303">
        <v>83000</v>
      </c>
      <c r="P1303" t="inlineStr">
        <is>
          <t>685bdb182835930001f40bd0</t>
        </is>
      </c>
      <c r="Q1303"/>
      <c r="R1303" t="inlineStr">
        <is>
          <t>16周</t>
        </is>
      </c>
      <c r="S1303" t="inlineStr">
        <is>
          <t>0.44</t>
        </is>
      </c>
      <c r="T1303" t="inlineStr">
        <is>
          <t>服饰穿搭</t>
        </is>
      </c>
      <c r="U1303" t="inlineStr">
        <is>
          <t>女装</t>
        </is>
      </c>
      <c r="V1303" s="3">
        <v>46128.98467592592</v>
      </c>
      <c r="W1303" t="inlineStr">
        <is>
          <t>2026-Q2</t>
        </is>
      </c>
    </row>
    <row r="1304" ht="25.5" customHeight="1">
      <c r="A1304" t="inlineStr">
        <is>
          <t>气质在线“浅雾拿铁裤”遮胯显瘦高腰直筒牛仔裤女 新款</t>
        </is>
      </c>
      <c r="B1304" t="inlineStr">
        <is>
          <t>__upload_recvgY7N5zmB4d.jpg</t>
        </is>
      </c>
      <c r="C1304" s="2" t="str">
        <f>=HYPERLINK("https://xhslink.com/m/8FPqncMwjTJ", "https://xhslink.com/m/8FPqncMwjTJ")</f>
        <v>https://xhslink.com/m/8FPqncMwjTJ</v>
      </c>
      <c r="D1304"/>
      <c r="E1304">
        <v>3638</v>
      </c>
      <c r="F1304">
        <v>289</v>
      </c>
      <c r="G1304">
        <v>279</v>
      </c>
      <c r="H1304">
        <v>300</v>
      </c>
      <c r="I1304" t="inlineStr">
        <is>
          <t>裤子</t>
        </is>
      </c>
      <c r="J1304" t="inlineStr">
        <is>
          <t>0.08</t>
        </is>
      </c>
      <c r="K1304"/>
      <c r="L1304" t="inlineStr">
        <is>
          <t>jiajia凝的店</t>
        </is>
      </c>
      <c r="M1304">
        <v>6458</v>
      </c>
      <c r="N1304">
        <v>4.58</v>
      </c>
      <c r="O1304">
        <v>42000</v>
      </c>
      <c r="P1304" t="inlineStr">
        <is>
          <t>697324ec1cd3a60001d55b0b</t>
        </is>
      </c>
      <c r="Q1304" t="inlineStr">
        <is>
          <t>🚫重复</t>
        </is>
      </c>
      <c r="R1304" t="inlineStr">
        <is>
          <t>16周</t>
        </is>
      </c>
      <c r="S1304" t="inlineStr">
        <is>
          <t>0.56</t>
        </is>
      </c>
      <c r="T1304" t="inlineStr">
        <is>
          <t>服饰穿搭</t>
        </is>
      </c>
      <c r="U1304" t="inlineStr">
        <is>
          <t>女装</t>
        </is>
      </c>
      <c r="V1304" s="3">
        <v>46128.98467592592</v>
      </c>
      <c r="W1304" t="inlineStr">
        <is>
          <t>2026-Q2</t>
        </is>
      </c>
    </row>
    <row r="1305" ht="25.5" customHeight="1">
      <c r="A1305" t="inlineStr">
        <is>
          <t>mutong牧童 · 儿童透气学步鞋2026夏季新款男童鞋镂空单网女宝宝鞋子机能鞋</t>
        </is>
      </c>
      <c r="B1305" t="inlineStr">
        <is>
          <t>__upload_recvgY7N5zNaZ5.jpg</t>
        </is>
      </c>
      <c r="C1305" s="2" t="str">
        <f>=HYPERLINK("https://xhslink.com/m/7EoKloj6JyE", "https://xhslink.com/m/7EoKloj6JyE")</f>
        <v>https://xhslink.com/m/7EoKloj6JyE</v>
      </c>
      <c r="D1305"/>
      <c r="E1305">
        <v>5064</v>
      </c>
      <c r="F1305">
        <v>126</v>
      </c>
      <c r="G1305">
        <v>96</v>
      </c>
      <c r="H1305">
        <v>300</v>
      </c>
      <c r="I1305" t="inlineStr">
        <is>
          <t>宝宝鞋</t>
        </is>
      </c>
      <c r="J1305" t="inlineStr">
        <is>
          <t>0.06</t>
        </is>
      </c>
      <c r="K1305"/>
      <c r="L1305" t="inlineStr">
        <is>
          <t>牧童童鞋专卖店</t>
        </is>
      </c>
      <c r="M1305">
        <v>172000</v>
      </c>
      <c r="N1305">
        <v>4.6</v>
      </c>
      <c r="O1305">
        <v>212000</v>
      </c>
      <c r="P1305" t="inlineStr">
        <is>
          <t>699d551b0270070015955fd9</t>
        </is>
      </c>
      <c r="Q1305" t="inlineStr">
        <is>
          <t>🚫重复</t>
        </is>
      </c>
      <c r="R1305" t="inlineStr">
        <is>
          <t>16周</t>
        </is>
      </c>
      <c r="S1305" t="inlineStr">
        <is>
          <t>0.03</t>
        </is>
      </c>
      <c r="T1305" t="inlineStr">
        <is>
          <t>母婴亲子</t>
        </is>
      </c>
      <c r="U1305" t="inlineStr">
        <is>
          <t>童装童鞋</t>
        </is>
      </c>
      <c r="V1305" s="3">
        <v>46128.98467592592</v>
      </c>
      <c r="W1305" t="inlineStr">
        <is>
          <t>2026-Q2</t>
        </is>
      </c>
    </row>
    <row r="1306" ht="25.5" customHeight="1">
      <c r="A1306" t="inlineStr">
        <is>
          <t>烘焙町 · [品牌直营] 黄油牛角面包 老北京传统风味手工现做(全店满88包邮)</t>
        </is>
      </c>
      <c r="B1306" t="inlineStr">
        <is>
          <t>__upload_recvgY7N5zPwQU.jpg</t>
        </is>
      </c>
      <c r="C1306" s="2" t="str">
        <f>=HYPERLINK("https://xhslink.com/m/8MlLtuOXT8n", "https://xhslink.com/m/8MlLtuOXT8n")</f>
        <v>https://xhslink.com/m/8MlLtuOXT8n</v>
      </c>
      <c r="D1306"/>
      <c r="E1306">
        <v>3773</v>
      </c>
      <c r="F1306">
        <v>15</v>
      </c>
      <c r="G1306">
        <v>13.5</v>
      </c>
      <c r="H1306">
        <v>300</v>
      </c>
      <c r="I1306" t="inlineStr">
        <is>
          <t>早餐面包</t>
        </is>
      </c>
      <c r="J1306" t="inlineStr">
        <is>
          <t>0.08</t>
        </is>
      </c>
      <c r="K1306"/>
      <c r="L1306" t="inlineStr">
        <is>
          <t>烘焙町面包店的店</t>
        </is>
      </c>
      <c r="M1306">
        <v>5633</v>
      </c>
      <c r="N1306">
        <v>4.31</v>
      </c>
      <c r="O1306">
        <v>31000</v>
      </c>
      <c r="P1306" t="inlineStr">
        <is>
          <t>69c669a75dab9a0001f80868</t>
        </is>
      </c>
      <c r="Q1306" t="inlineStr">
        <is>
          <t>🚫重复</t>
        </is>
      </c>
      <c r="R1306" t="inlineStr">
        <is>
          <t>16周</t>
        </is>
      </c>
      <c r="S1306" t="inlineStr">
        <is>
          <t>0.67</t>
        </is>
      </c>
      <c r="T1306" t="inlineStr">
        <is>
          <t>美食滋补</t>
        </is>
      </c>
      <c r="U1306" t="inlineStr">
        <is>
          <t>休闲零食</t>
        </is>
      </c>
      <c r="V1306" s="3">
        <v>46128.98467592592</v>
      </c>
      <c r="W1306" t="inlineStr">
        <is>
          <t>2026-Q2</t>
        </is>
      </c>
    </row>
    <row r="1307" ht="25.5" customHeight="1">
      <c r="A1307" t="inlineStr">
        <is>
          <t>孕妇夏装连衣裙中长款宽松外出洋气潮妈孕妇装连衣裙穿搭</t>
        </is>
      </c>
      <c r="B1307" t="inlineStr">
        <is>
          <t>__upload_recvgY7N5zOXEj.jpg</t>
        </is>
      </c>
      <c r="C1307" s="2" t="str">
        <f>=HYPERLINK("https://xhslink.com/m/66Xo8sDizxL", "https://xhslink.com/m/66Xo8sDizxL")</f>
        <v>https://xhslink.com/m/66Xo8sDizxL</v>
      </c>
      <c r="D1307"/>
      <c r="E1307">
        <v>8531</v>
      </c>
      <c r="F1307">
        <v>129</v>
      </c>
      <c r="G1307">
        <v>119</v>
      </c>
      <c r="H1307">
        <v>300</v>
      </c>
      <c r="I1307" t="inlineStr">
        <is>
          <t>孕妇装</t>
        </is>
      </c>
      <c r="J1307" t="inlineStr">
        <is>
          <t>0.04</t>
        </is>
      </c>
      <c r="K1307"/>
      <c r="L1307" t="inlineStr">
        <is>
          <t>小懒孕期穿搭的店</t>
        </is>
      </c>
      <c r="M1307">
        <v>36000</v>
      </c>
      <c r="N1307">
        <v>4.51</v>
      </c>
      <c r="O1307">
        <v>105000</v>
      </c>
      <c r="P1307" t="inlineStr">
        <is>
          <t>6685aa41f583bf0001d6f797</t>
        </is>
      </c>
      <c r="Q1307" t="inlineStr">
        <is>
          <t>🚫重复</t>
        </is>
      </c>
      <c r="R1307" t="inlineStr">
        <is>
          <t>16周</t>
        </is>
      </c>
      <c r="S1307" t="inlineStr">
        <is>
          <t>0.24</t>
        </is>
      </c>
      <c r="T1307" t="inlineStr">
        <is>
          <t>服饰穿搭</t>
        </is>
      </c>
      <c r="U1307" t="inlineStr">
        <is>
          <t>女装</t>
        </is>
      </c>
      <c r="V1307" s="3">
        <v>46128.98467592592</v>
      </c>
      <c r="W1307" t="inlineStr">
        <is>
          <t>2026-Q2</t>
        </is>
      </c>
    </row>
    <row r="1308" ht="25.5" customHeight="1">
      <c r="A1308" t="inlineStr">
        <is>
          <t>微瑕拼接可水洗静电吸附无胶宠物地毯出口韩国尾单宠物防滑垫</t>
        </is>
      </c>
      <c r="B1308" t="inlineStr">
        <is>
          <t>__upload_recvh40CU077Ts.jpg</t>
        </is>
      </c>
      <c r="C1308" s="2" t="str">
        <f>=HYPERLINK("https://xhslink.com/m/4hPitBjMFsn", "https://xhslink.com/m/4hPitBjMFsn")</f>
        <v>https://xhslink.com/m/4hPitBjMFsn</v>
      </c>
      <c r="D1308"/>
      <c r="E1308">
        <v>2094</v>
      </c>
      <c r="F1308">
        <v>9.9</v>
      </c>
      <c r="G1308"/>
      <c r="H1308">
        <v>300</v>
      </c>
      <c r="I1308" t="inlineStr">
        <is>
          <t>地毯</t>
        </is>
      </c>
      <c r="J1308" t="inlineStr">
        <is>
          <t>0.14</t>
        </is>
      </c>
      <c r="K1308"/>
      <c r="L1308" t="inlineStr">
        <is>
          <t>Aooffee奥菲宠物的店</t>
        </is>
      </c>
      <c r="M1308">
        <v>4592</v>
      </c>
      <c r="N1308">
        <v>4.52</v>
      </c>
      <c r="O1308">
        <v>12000</v>
      </c>
      <c r="P1308" t="inlineStr">
        <is>
          <t>69c0f27d265269000156d0c8</t>
        </is>
      </c>
      <c r="Q1308"/>
      <c r="R1308" t="inlineStr">
        <is>
          <t>16周</t>
        </is>
      </c>
      <c r="S1308" t="inlineStr">
        <is>
          <t>0.46</t>
        </is>
      </c>
      <c r="T1308" t="inlineStr">
        <is>
          <t>家居生活</t>
        </is>
      </c>
      <c r="U1308" t="inlineStr">
        <is>
          <t>家居日用</t>
        </is>
      </c>
      <c r="V1308" s="3">
        <v>46129.991064814814</v>
      </c>
      <c r="W1308" t="inlineStr">
        <is>
          <t>2026-Q2</t>
        </is>
      </c>
    </row>
    <row r="1309" ht="25.5" customHeight="1">
      <c r="A1309" t="inlineStr">
        <is>
          <t>薄脆鸡肉片鸡肉干0防腐色素鸡胸肉脆片健身追剧解馋减脂期小零食</t>
        </is>
      </c>
      <c r="B1309" t="inlineStr">
        <is>
          <t>__upload_recvh40CU0CiQP.jpg</t>
        </is>
      </c>
      <c r="C1309" s="2" t="str">
        <f>=HYPERLINK("https://xhslink.com/m/9ZkgrqZb3q7", "https://xhslink.com/m/9ZkgrqZb3q7")</f>
        <v>https://xhslink.com/m/9ZkgrqZb3q7</v>
      </c>
      <c r="D1309"/>
      <c r="E1309">
        <v>30000</v>
      </c>
      <c r="F1309">
        <v>59.9</v>
      </c>
      <c r="G1309">
        <v>35.9</v>
      </c>
      <c r="H1309">
        <v>300</v>
      </c>
      <c r="I1309" t="inlineStr">
        <is>
          <t>宿舍零食</t>
        </is>
      </c>
      <c r="J1309" t="inlineStr">
        <is>
          <t>0.01</t>
        </is>
      </c>
      <c r="K1309" t="inlineStr">
        <is>
          <t>🔥低粉爆款</t>
        </is>
      </c>
      <c r="L1309" t="inlineStr">
        <is>
          <t>阿赞哥食品工厂的店</t>
        </is>
      </c>
      <c r="M1309">
        <v>2274</v>
      </c>
      <c r="N1309">
        <v>4.34</v>
      </c>
      <c r="O1309">
        <v>51000</v>
      </c>
      <c r="P1309" t="inlineStr">
        <is>
          <t>67e100279800e50001be4527</t>
        </is>
      </c>
      <c r="Q1309" t="inlineStr">
        <is>
          <t>🚫重复</t>
        </is>
      </c>
      <c r="R1309" t="inlineStr">
        <is>
          <t>16周</t>
        </is>
      </c>
      <c r="S1309" t="inlineStr">
        <is>
          <t>13.19</t>
        </is>
      </c>
      <c r="T1309" t="inlineStr">
        <is>
          <t>美食滋补</t>
        </is>
      </c>
      <c r="U1309" t="inlineStr">
        <is>
          <t>休闲零食</t>
        </is>
      </c>
      <c r="V1309" s="3">
        <v>46129.991064814814</v>
      </c>
      <c r="W1309" t="inlineStr">
        <is>
          <t>2026-Q2</t>
        </is>
      </c>
    </row>
    <row r="1310" ht="25.5" customHeight="1">
      <c r="A1310" t="inlineStr">
        <is>
          <t>【顺丰特快/空运】云南蓝莓抚仙湖蓝莓高山蓝莓25号花香蓝莓</t>
        </is>
      </c>
      <c r="B1310" t="inlineStr">
        <is>
          <t>__upload_recvh40CU0k5Aj.jpg</t>
        </is>
      </c>
      <c r="C1310" s="2" t="str">
        <f>=HYPERLINK("https://xhslink.com/m/9Er82uLMaz7", "https://xhslink.com/m/9Er82uLMaz7")</f>
        <v>https://xhslink.com/m/9Er82uLMaz7</v>
      </c>
      <c r="D1310"/>
      <c r="E1310">
        <v>442000</v>
      </c>
      <c r="F1310">
        <v>154.8</v>
      </c>
      <c r="G1310"/>
      <c r="H1310">
        <v>300</v>
      </c>
      <c r="I1310" t="inlineStr">
        <is>
          <t>水果</t>
        </is>
      </c>
      <c r="J1310" t="inlineStr">
        <is>
          <t>0.00</t>
        </is>
      </c>
      <c r="K1310"/>
      <c r="L1310" t="inlineStr">
        <is>
          <t>洋洋乡村生活~的店</t>
        </is>
      </c>
      <c r="M1310">
        <v>148000</v>
      </c>
      <c r="N1310">
        <v>4.61</v>
      </c>
      <c r="O1310">
        <v>1817000</v>
      </c>
      <c r="P1310" t="inlineStr">
        <is>
          <t>68e75fce7d3b3f0001fe6f39</t>
        </is>
      </c>
      <c r="Q1310" t="inlineStr">
        <is>
          <t>🚫重复</t>
        </is>
      </c>
      <c r="R1310" t="inlineStr">
        <is>
          <t>16周</t>
        </is>
      </c>
      <c r="S1310" t="inlineStr">
        <is>
          <t>2.99</t>
        </is>
      </c>
      <c r="T1310" t="inlineStr">
        <is>
          <t>美食滋补</t>
        </is>
      </c>
      <c r="U1310" t="inlineStr">
        <is>
          <t>生鲜特产</t>
        </is>
      </c>
      <c r="V1310" s="3">
        <v>46129.991064814814</v>
      </c>
      <c r="W1310" t="inlineStr">
        <is>
          <t>2026-Q2</t>
        </is>
      </c>
    </row>
    <row r="1311" ht="25.5" customHeight="1">
      <c r="A1311" t="inlineStr">
        <is>
          <t>【现摘现发】红皮黄肉油桃脆甜软糯多汁水果自然成熟油桃</t>
        </is>
      </c>
      <c r="B1311" t="inlineStr">
        <is>
          <t>__upload_recvh40CU0Hl2a.jpg</t>
        </is>
      </c>
      <c r="C1311" s="2" t="str">
        <f>=HYPERLINK("https://xhslink.com/m/4BFQdn2IEvF", "https://xhslink.com/m/4BFQdn2IEvF")</f>
        <v>https://xhslink.com/m/4BFQdn2IEvF</v>
      </c>
      <c r="D1311"/>
      <c r="E1311">
        <v>2000</v>
      </c>
      <c r="F1311">
        <v>32.9</v>
      </c>
      <c r="G1311">
        <v>22.9</v>
      </c>
      <c r="H1311">
        <v>300</v>
      </c>
      <c r="I1311" t="inlineStr">
        <is>
          <t>水果</t>
        </is>
      </c>
      <c r="J1311" t="inlineStr">
        <is>
          <t>0.15</t>
        </is>
      </c>
      <c r="K1311" t="inlineStr">
        <is>
          <t>🔥低粉爆款</t>
        </is>
      </c>
      <c r="L1311" t="inlineStr">
        <is>
          <t>小院农场日记的店</t>
        </is>
      </c>
      <c r="M1311">
        <v>30</v>
      </c>
      <c r="N1311">
        <v>4.6</v>
      </c>
      <c r="O1311">
        <v>848</v>
      </c>
      <c r="P1311" t="inlineStr">
        <is>
          <t>69d50df23ff4c80001866d76</t>
        </is>
      </c>
      <c r="Q1311"/>
      <c r="R1311" t="inlineStr">
        <is>
          <t>16周</t>
        </is>
      </c>
      <c r="S1311" t="inlineStr">
        <is>
          <t>66.67</t>
        </is>
      </c>
      <c r="T1311" t="inlineStr">
        <is>
          <t>美食滋补</t>
        </is>
      </c>
      <c r="U1311" t="inlineStr">
        <is>
          <t>生鲜特产</t>
        </is>
      </c>
      <c r="V1311" s="3">
        <v>46129.991064814814</v>
      </c>
      <c r="W1311" t="inlineStr">
        <is>
          <t>2026-Q2</t>
        </is>
      </c>
    </row>
    <row r="1312" ht="25.5" customHeight="1">
      <c r="A1312" t="inlineStr">
        <is>
          <t>正宗板栗味贝贝南瓜粉糯香甜板栗小南瓜婴儿辅食新鲜蔬菜代餐粗粮</t>
        </is>
      </c>
      <c r="B1312" t="inlineStr">
        <is>
          <t>__upload_recvh40CU0hl3H.jpg</t>
        </is>
      </c>
      <c r="C1312" s="2" t="str">
        <f>=HYPERLINK("https://xhslink.com/m/1aGyUykJgxr", "https://xhslink.com/m/1aGyUykJgxr")</f>
        <v>https://xhslink.com/m/1aGyUykJgxr</v>
      </c>
      <c r="D1312"/>
      <c r="E1312">
        <v>5874</v>
      </c>
      <c r="F1312">
        <v>40.8</v>
      </c>
      <c r="G1312">
        <v>26.8</v>
      </c>
      <c r="H1312">
        <v>300</v>
      </c>
      <c r="I1312" t="inlineStr">
        <is>
          <t>蔬菜</t>
        </is>
      </c>
      <c r="J1312" t="inlineStr">
        <is>
          <t>0.05</t>
        </is>
      </c>
      <c r="K1312" t="inlineStr">
        <is>
          <t>🔥低粉爆款</t>
        </is>
      </c>
      <c r="L1312" t="inlineStr">
        <is>
          <t>表哥家的南瓜🎃的店</t>
        </is>
      </c>
      <c r="M1312">
        <v>75</v>
      </c>
      <c r="N1312">
        <v>4.64</v>
      </c>
      <c r="O1312">
        <v>10000</v>
      </c>
      <c r="P1312" t="inlineStr">
        <is>
          <t>698551e778d8d500011b8a2b</t>
        </is>
      </c>
      <c r="Q1312"/>
      <c r="R1312" t="inlineStr">
        <is>
          <t>16周</t>
        </is>
      </c>
      <c r="S1312" t="inlineStr">
        <is>
          <t>78.32</t>
        </is>
      </c>
      <c r="T1312" t="inlineStr">
        <is>
          <t>母婴亲子</t>
        </is>
      </c>
      <c r="U1312" t="inlineStr">
        <is>
          <t>婴幼用品</t>
        </is>
      </c>
      <c r="V1312" s="3">
        <v>46129.991064814814</v>
      </c>
      <c r="W1312" t="inlineStr">
        <is>
          <t>2026-Q2</t>
        </is>
      </c>
    </row>
    <row r="1313" ht="25.5" customHeight="1">
      <c r="A1313" t="inlineStr">
        <is>
          <t>新疆特产鹰嘴豆豆干新远诚手撕豆干小包阿勒泰哈巴河零食散称零食</t>
        </is>
      </c>
      <c r="B1313" t="inlineStr">
        <is>
          <t>__upload_recvh40CU0n0Lq.jpg</t>
        </is>
      </c>
      <c r="C1313" s="2" t="str">
        <f>=HYPERLINK("https://xhslink.com/m/I5A239RI6F", "https://xhslink.com/m/I5A239RI6F")</f>
        <v>https://xhslink.com/m/I5A239RI6F</v>
      </c>
      <c r="D1313"/>
      <c r="E1313">
        <v>10000</v>
      </c>
      <c r="F1313">
        <v>35</v>
      </c>
      <c r="G1313">
        <v>22.9</v>
      </c>
      <c r="H1313">
        <v>300</v>
      </c>
      <c r="I1313" t="inlineStr">
        <is>
          <t>办公零食</t>
        </is>
      </c>
      <c r="J1313" t="inlineStr">
        <is>
          <t>0.03</t>
        </is>
      </c>
      <c r="K1313"/>
      <c r="L1313" t="inlineStr">
        <is>
          <t>新疆深夜食堂的店</t>
        </is>
      </c>
      <c r="M1313">
        <v>26000</v>
      </c>
      <c r="N1313">
        <v>4.8</v>
      </c>
      <c r="O1313">
        <v>211000</v>
      </c>
      <c r="P1313" t="inlineStr">
        <is>
          <t>687610941cfd98000133c575</t>
        </is>
      </c>
      <c r="Q1313" t="inlineStr">
        <is>
          <t>🚫重复</t>
        </is>
      </c>
      <c r="R1313" t="inlineStr">
        <is>
          <t>16周</t>
        </is>
      </c>
      <c r="S1313" t="inlineStr">
        <is>
          <t>0.38</t>
        </is>
      </c>
      <c r="T1313" t="inlineStr">
        <is>
          <t>美食滋补</t>
        </is>
      </c>
      <c r="U1313" t="inlineStr">
        <is>
          <t>休闲零食</t>
        </is>
      </c>
      <c r="V1313" s="3">
        <v>46129.991064814814</v>
      </c>
      <c r="W1313" t="inlineStr">
        <is>
          <t>2026-Q2</t>
        </is>
      </c>
    </row>
    <row r="1314" ht="25.5" customHeight="1">
      <c r="A1314" t="inlineStr">
        <is>
          <t>亿果争鲜 · 【顺丰包邮】云南花香蓝莓又脆又甜高山蓝莓25号新鲜孕妇水果</t>
        </is>
      </c>
      <c r="B1314" t="inlineStr">
        <is>
          <t>__upload_recvh40CU0UHee.jpg</t>
        </is>
      </c>
      <c r="C1314" s="2" t="str">
        <f>=HYPERLINK("https://xhslink.com/m/7nedb5KK5zW", "https://xhslink.com/m/7nedb5KK5zW")</f>
        <v>https://xhslink.com/m/7nedb5KK5zW</v>
      </c>
      <c r="D1314"/>
      <c r="E1314">
        <v>20000</v>
      </c>
      <c r="F1314">
        <v>64.9</v>
      </c>
      <c r="G1314">
        <v>34.9</v>
      </c>
      <c r="H1314">
        <v>300</v>
      </c>
      <c r="I1314" t="inlineStr">
        <is>
          <t>水果</t>
        </is>
      </c>
      <c r="J1314" t="inlineStr">
        <is>
          <t>0.01</t>
        </is>
      </c>
      <c r="K1314"/>
      <c r="L1314" t="inlineStr">
        <is>
          <t>亿果争鲜生鲜旗舰店</t>
        </is>
      </c>
      <c r="M1314">
        <v>51000</v>
      </c>
      <c r="N1314">
        <v>4.49</v>
      </c>
      <c r="O1314">
        <v>393000</v>
      </c>
      <c r="P1314" t="inlineStr">
        <is>
          <t>69b7969a325083000198cefe</t>
        </is>
      </c>
      <c r="Q1314"/>
      <c r="R1314" t="inlineStr">
        <is>
          <t>16周</t>
        </is>
      </c>
      <c r="S1314" t="inlineStr">
        <is>
          <t>0.39</t>
        </is>
      </c>
      <c r="T1314" t="inlineStr">
        <is>
          <t>美食滋补</t>
        </is>
      </c>
      <c r="U1314" t="inlineStr">
        <is>
          <t>生鲜特产</t>
        </is>
      </c>
      <c r="V1314" s="3">
        <v>46129.991064814814</v>
      </c>
      <c r="W1314" t="inlineStr">
        <is>
          <t>2026-Q2</t>
        </is>
      </c>
    </row>
    <row r="1315" ht="25.5" customHeight="1">
      <c r="A1315" t="inlineStr">
        <is>
          <t>同同果园•2026正宗江苏白凤水蜜桃可撕皮软桃</t>
        </is>
      </c>
      <c r="B1315" t="inlineStr">
        <is>
          <t>__upload_recvh40CU0tPyz.jpg</t>
        </is>
      </c>
      <c r="C1315" s="2" t="str">
        <f>=HYPERLINK("https://xhslink.com/m/3NHgp00MmSw", "https://xhslink.com/m/3NHgp00MmSw")</f>
        <v>https://xhslink.com/m/3NHgp00MmSw</v>
      </c>
      <c r="D1315"/>
      <c r="E1315">
        <v>98000</v>
      </c>
      <c r="F1315">
        <v>69.9</v>
      </c>
      <c r="G1315"/>
      <c r="H1315">
        <v>300</v>
      </c>
      <c r="I1315" t="inlineStr">
        <is>
          <t>水果</t>
        </is>
      </c>
      <c r="J1315" t="inlineStr">
        <is>
          <t>0.00</t>
        </is>
      </c>
      <c r="K1315"/>
      <c r="L1315" t="inlineStr">
        <is>
          <t>江苏水蜜桃同同果园的店</t>
        </is>
      </c>
      <c r="M1315">
        <v>58000</v>
      </c>
      <c r="N1315">
        <v>4.69</v>
      </c>
      <c r="O1315">
        <v>389000</v>
      </c>
      <c r="P1315" t="inlineStr">
        <is>
          <t>69cc79381053a50001be7287</t>
        </is>
      </c>
      <c r="Q1315"/>
      <c r="R1315" t="inlineStr">
        <is>
          <t>16周</t>
        </is>
      </c>
      <c r="S1315" t="inlineStr">
        <is>
          <t>1.69</t>
        </is>
      </c>
      <c r="T1315" t="inlineStr">
        <is>
          <t>美食滋补</t>
        </is>
      </c>
      <c r="U1315" t="inlineStr">
        <is>
          <t>生鲜特产</t>
        </is>
      </c>
      <c r="V1315" s="3">
        <v>46129.991064814814</v>
      </c>
      <c r="W1315" t="inlineStr">
        <is>
          <t>2026-Q2</t>
        </is>
      </c>
    </row>
    <row r="1316" ht="25.5" customHeight="1">
      <c r="A1316" t="inlineStr">
        <is>
          <t>【顺丰特快/空运】云南蓝莓抚仙湖蓝莓高山蓝莓25号花香蓝莓</t>
        </is>
      </c>
      <c r="B1316" t="inlineStr">
        <is>
          <t>__upload_recvh40CU0tl5b.jpg</t>
        </is>
      </c>
      <c r="C1316" s="2" t="str">
        <f>=HYPERLINK("https://xhslink.com/m/3BD4rRqM7FJ", "https://xhslink.com/m/3BD4rRqM7FJ")</f>
        <v>https://xhslink.com/m/3BD4rRqM7FJ</v>
      </c>
      <c r="D1316"/>
      <c r="E1316">
        <v>442000</v>
      </c>
      <c r="F1316">
        <v>43.8</v>
      </c>
      <c r="G1316"/>
      <c r="H1316">
        <v>300</v>
      </c>
      <c r="I1316" t="inlineStr">
        <is>
          <t>水果</t>
        </is>
      </c>
      <c r="J1316" t="inlineStr">
        <is>
          <t>0.00</t>
        </is>
      </c>
      <c r="K1316"/>
      <c r="L1316" t="inlineStr">
        <is>
          <t>洋洋乡村生活~的店</t>
        </is>
      </c>
      <c r="M1316">
        <v>148000</v>
      </c>
      <c r="N1316">
        <v>4.61</v>
      </c>
      <c r="O1316">
        <v>1817000</v>
      </c>
      <c r="P1316" t="inlineStr">
        <is>
          <t>6784d01503b5e4000147e2b0</t>
        </is>
      </c>
      <c r="Q1316" t="inlineStr">
        <is>
          <t>🚫重复</t>
        </is>
      </c>
      <c r="R1316" t="inlineStr">
        <is>
          <t>16周</t>
        </is>
      </c>
      <c r="S1316" t="inlineStr">
        <is>
          <t>2.99</t>
        </is>
      </c>
      <c r="T1316" t="inlineStr">
        <is>
          <t>美食滋补</t>
        </is>
      </c>
      <c r="U1316" t="inlineStr">
        <is>
          <t>生鲜特产</t>
        </is>
      </c>
      <c r="V1316" s="3">
        <v>46129.991064814814</v>
      </c>
      <c r="W1316" t="inlineStr">
        <is>
          <t>2026-Q2</t>
        </is>
      </c>
    </row>
    <row r="1317" ht="25.5" customHeight="1">
      <c r="A1317" t="inlineStr">
        <is>
          <t>打底内搭方领小背心女夏秋季薄款外穿遮副乳修身百搭8647(无胸垫)</t>
        </is>
      </c>
      <c r="B1317" t="inlineStr">
        <is>
          <t>__upload_recvh9P0bmJjhf.jpg</t>
        </is>
      </c>
      <c r="C1317" s="2" t="str">
        <f>=HYPERLINK("https://xhslink.com/m/3m9if28oOf4", "https://xhslink.com/m/3m9if28oOf4")</f>
        <v>https://xhslink.com/m/3m9if28oOf4</v>
      </c>
      <c r="D1317"/>
      <c r="E1317">
        <v>54000</v>
      </c>
      <c r="F1317">
        <v>29.9</v>
      </c>
      <c r="G1317">
        <v>28.9</v>
      </c>
      <c r="H1317">
        <v>300</v>
      </c>
      <c r="I1317" t="inlineStr">
        <is>
          <t>大码吊带</t>
        </is>
      </c>
      <c r="J1317" t="inlineStr">
        <is>
          <t>0.01</t>
        </is>
      </c>
      <c r="K1317" t="inlineStr">
        <is>
          <t>🔥低粉爆款</t>
        </is>
      </c>
      <c r="L1317" t="inlineStr">
        <is>
          <t>笑笑工作室的店</t>
        </is>
      </c>
      <c r="M1317">
        <v>11000</v>
      </c>
      <c r="N1317">
        <v>4.62</v>
      </c>
      <c r="O1317">
        <v>188000</v>
      </c>
      <c r="P1317" t="inlineStr">
        <is>
          <t>63f9afcbe9ae3d00016caabe</t>
        </is>
      </c>
      <c r="Q1317" t="inlineStr">
        <is>
          <t>🚫重复</t>
        </is>
      </c>
      <c r="R1317" t="inlineStr">
        <is>
          <t>16周</t>
        </is>
      </c>
      <c r="S1317" t="inlineStr">
        <is>
          <t>4.91</t>
        </is>
      </c>
      <c r="T1317" t="inlineStr">
        <is>
          <t>服饰穿搭</t>
        </is>
      </c>
      <c r="U1317" t="inlineStr">
        <is>
          <t>女装</t>
        </is>
      </c>
      <c r="V1317" s="3">
        <v>46130.98501157408</v>
      </c>
      <c r="W1317" t="inlineStr">
        <is>
          <t>2026-Q2</t>
        </is>
      </c>
    </row>
    <row r="1318" ht="25.5" customHeight="1">
      <c r="A1318" t="inlineStr">
        <is>
          <t>美式复古水洗牛仔鸭舌帽女韩版深顶大头围情侣街头潮牌棒球帽男</t>
        </is>
      </c>
      <c r="B1318" t="inlineStr">
        <is>
          <t>__upload_recvh9P0bmrhOT.jpg</t>
        </is>
      </c>
      <c r="C1318" s="2" t="str">
        <f>=HYPERLINK("https://xhslink.com/m/5Z0mBkWhm8C", "https://xhslink.com/m/5Z0mBkWhm8C")</f>
        <v>https://xhslink.com/m/5Z0mBkWhm8C</v>
      </c>
      <c r="D1318"/>
      <c r="E1318">
        <v>14000</v>
      </c>
      <c r="F1318">
        <v>39</v>
      </c>
      <c r="G1318">
        <v>29</v>
      </c>
      <c r="H1318">
        <v>300</v>
      </c>
      <c r="I1318" t="inlineStr">
        <is>
          <t>帽子</t>
        </is>
      </c>
      <c r="J1318" t="inlineStr">
        <is>
          <t>0.02</t>
        </is>
      </c>
      <c r="K1318" t="inlineStr">
        <is>
          <t>🔥低粉爆款</t>
        </is>
      </c>
      <c r="L1318" t="inlineStr">
        <is>
          <t>Serendipity少女的店</t>
        </is>
      </c>
      <c r="M1318">
        <v>946</v>
      </c>
      <c r="N1318">
        <v>4.43</v>
      </c>
      <c r="O1318">
        <v>60000</v>
      </c>
      <c r="P1318" t="inlineStr">
        <is>
          <t>67f4ea0231f0e7000181ff6a</t>
        </is>
      </c>
      <c r="Q1318"/>
      <c r="R1318" t="inlineStr">
        <is>
          <t>16周</t>
        </is>
      </c>
      <c r="S1318" t="inlineStr">
        <is>
          <t>14.80</t>
        </is>
      </c>
      <c r="T1318" t="inlineStr">
        <is>
          <t>服饰穿搭</t>
        </is>
      </c>
      <c r="U1318" t="inlineStr">
        <is>
          <t>配饰</t>
        </is>
      </c>
      <c r="V1318" s="3">
        <v>46130.98501157408</v>
      </c>
      <c r="W1318" t="inlineStr">
        <is>
          <t>2026-Q2</t>
        </is>
      </c>
    </row>
    <row r="1319" ht="25.5" customHeight="1">
      <c r="A1319" t="inlineStr">
        <is>
          <t>【夏款微压】薄款小腿袜·两穿（下单看详情页）</t>
        </is>
      </c>
      <c r="B1319" t="inlineStr">
        <is>
          <t>__upload_recvh9P0bmvKg7.jpg</t>
        </is>
      </c>
      <c r="C1319" s="2" t="str">
        <f>=HYPERLINK("https://xhslink.com/m/5OdzHuvkJW", "https://xhslink.com/m/5OdzHuvkJW")</f>
        <v>https://xhslink.com/m/5OdzHuvkJW</v>
      </c>
      <c r="D1319"/>
      <c r="E1319">
        <v>7169</v>
      </c>
      <c r="F1319">
        <v>15.98</v>
      </c>
      <c r="G1319"/>
      <c r="H1319">
        <v>300</v>
      </c>
      <c r="I1319" t="inlineStr">
        <is>
          <t>袜子</t>
        </is>
      </c>
      <c r="J1319" t="inlineStr">
        <is>
          <t>0.04</t>
        </is>
      </c>
      <c r="K1319"/>
      <c r="L1319" t="inlineStr">
        <is>
          <t>issva的店</t>
        </is>
      </c>
      <c r="M1319">
        <v>16000</v>
      </c>
      <c r="N1319">
        <v>4.57</v>
      </c>
      <c r="O1319">
        <v>107000</v>
      </c>
      <c r="P1319" t="inlineStr">
        <is>
          <t>67ed03fdb2c30c000171b904</t>
        </is>
      </c>
      <c r="Q1319"/>
      <c r="R1319" t="inlineStr">
        <is>
          <t>16周</t>
        </is>
      </c>
      <c r="S1319" t="inlineStr">
        <is>
          <t>0.45</t>
        </is>
      </c>
      <c r="T1319" t="inlineStr">
        <is>
          <t>服饰穿搭</t>
        </is>
      </c>
      <c r="U1319" t="inlineStr">
        <is>
          <t>鞋靴箱包</t>
        </is>
      </c>
      <c r="V1319" s="3">
        <v>46130.98501157408</v>
      </c>
      <c r="W1319" t="inlineStr">
        <is>
          <t>2026-Q2</t>
        </is>
      </c>
    </row>
    <row r="1320" ht="25.5" customHeight="1">
      <c r="A1320" t="inlineStr">
        <is>
          <t>仙度瑞拉布拼豆烫布diy拼豆细闪装饰效果布料条纹波浪星辰格利特</t>
        </is>
      </c>
      <c r="B1320" t="inlineStr">
        <is>
          <t>__upload_recvh9P0bmVkBs.jpg</t>
        </is>
      </c>
      <c r="C1320" s="2" t="str">
        <f>=HYPERLINK("https://xhslink.com/m/7FvCm0Rbjp7", "https://xhslink.com/m/7FvCm0Rbjp7")</f>
        <v>https://xhslink.com/m/7FvCm0Rbjp7</v>
      </c>
      <c r="D1320"/>
      <c r="E1320">
        <v>6085</v>
      </c>
      <c r="F1320">
        <v>27.62</v>
      </c>
      <c r="G1320">
        <v>12.1</v>
      </c>
      <c r="H1320">
        <v>300</v>
      </c>
      <c r="I1320" t="inlineStr">
        <is>
          <t>拼豆</t>
        </is>
      </c>
      <c r="J1320" t="inlineStr">
        <is>
          <t>0.05</t>
        </is>
      </c>
      <c r="K1320" t="inlineStr">
        <is>
          <t>🔥低粉爆款</t>
        </is>
      </c>
      <c r="L1320" t="inlineStr">
        <is>
          <t>趣贴贴吧的店</t>
        </is>
      </c>
      <c r="M1320">
        <v>329</v>
      </c>
      <c r="N1320">
        <v>4.45</v>
      </c>
      <c r="O1320">
        <v>25000</v>
      </c>
      <c r="P1320" t="inlineStr">
        <is>
          <t>69c3915cd6abc600011f0a67</t>
        </is>
      </c>
      <c r="Q1320" t="inlineStr">
        <is>
          <t>🚫重复</t>
        </is>
      </c>
      <c r="R1320" t="inlineStr">
        <is>
          <t>16周</t>
        </is>
      </c>
      <c r="S1320" t="inlineStr">
        <is>
          <t>18.50</t>
        </is>
      </c>
      <c r="T1320" t="inlineStr">
        <is>
          <t>运动潮玩</t>
        </is>
      </c>
      <c r="U1320" t="inlineStr">
        <is>
          <t>潮玩手办</t>
        </is>
      </c>
      <c r="V1320" s="3">
        <v>46130.98501157408</v>
      </c>
      <c r="W1320" t="inlineStr">
        <is>
          <t>2026-Q2</t>
        </is>
      </c>
    </row>
    <row r="1321" ht="25.5" customHeight="1">
      <c r="A1321" t="inlineStr">
        <is>
          <t>生煎包按压式拼豆笔 新手友好省力防卡豆不漏豆DIY拼豆工具</t>
        </is>
      </c>
      <c r="B1321" t="inlineStr">
        <is>
          <t>__upload_recvh9P0bmbeVU.jpg</t>
        </is>
      </c>
      <c r="C1321" s="2" t="str">
        <f>=HYPERLINK("https://xhslink.com/m/2aQoJXIig8p", "https://xhslink.com/m/2aQoJXIig8p")</f>
        <v>https://xhslink.com/m/2aQoJXIig8p</v>
      </c>
      <c r="D1321"/>
      <c r="E1321">
        <v>35000</v>
      </c>
      <c r="F1321">
        <v>39.5</v>
      </c>
      <c r="G1321"/>
      <c r="H1321">
        <v>300</v>
      </c>
      <c r="I1321" t="inlineStr">
        <is>
          <t>拼豆</t>
        </is>
      </c>
      <c r="J1321" t="inlineStr">
        <is>
          <t>0.01</t>
        </is>
      </c>
      <c r="K1321" t="inlineStr">
        <is>
          <t>🔥低粉爆款</t>
        </is>
      </c>
      <c r="L1321" t="inlineStr">
        <is>
          <t>这里有卖生煎包的店</t>
        </is>
      </c>
      <c r="M1321">
        <v>2674</v>
      </c>
      <c r="N1321">
        <v>4.53</v>
      </c>
      <c r="O1321">
        <v>36000</v>
      </c>
      <c r="P1321" t="inlineStr">
        <is>
          <t>68d68506c630ec0001ca90ce</t>
        </is>
      </c>
      <c r="Q1321" t="inlineStr">
        <is>
          <t>🚫重复</t>
        </is>
      </c>
      <c r="R1321" t="inlineStr">
        <is>
          <t>16周</t>
        </is>
      </c>
      <c r="S1321" t="inlineStr">
        <is>
          <t>13.09</t>
        </is>
      </c>
      <c r="T1321" t="inlineStr">
        <is>
          <t>运动潮玩</t>
        </is>
      </c>
      <c r="U1321" t="inlineStr">
        <is>
          <t>图书文创</t>
        </is>
      </c>
      <c r="V1321" s="3">
        <v>46130.98501157408</v>
      </c>
      <c r="W1321" t="inlineStr">
        <is>
          <t>2026-Q2</t>
        </is>
      </c>
    </row>
    <row r="1322" ht="25.5" customHeight="1">
      <c r="A1322" t="inlineStr">
        <is>
          <t>暴躁拼豆2.6mm超高透明豆彩色豆补充包融合豆1000粒袋装mard同款</t>
        </is>
      </c>
      <c r="B1322" t="inlineStr">
        <is>
          <t>__upload_recvh9P0bmR95Q.jpg</t>
        </is>
      </c>
      <c r="C1322" s="2" t="str">
        <f>=HYPERLINK("https://xhslink.com/m/16sOdzEmWXS", "https://xhslink.com/m/16sOdzEmWXS")</f>
        <v>https://xhslink.com/m/16sOdzEmWXS</v>
      </c>
      <c r="D1322"/>
      <c r="E1322">
        <v>15000</v>
      </c>
      <c r="F1322">
        <v>12.5</v>
      </c>
      <c r="G1322">
        <v>9</v>
      </c>
      <c r="H1322">
        <v>300</v>
      </c>
      <c r="I1322" t="inlineStr">
        <is>
          <t>拼豆</t>
        </is>
      </c>
      <c r="J1322" t="inlineStr">
        <is>
          <t>0.02</t>
        </is>
      </c>
      <c r="K1322"/>
      <c r="L1322" t="inlineStr">
        <is>
          <t>暴躁拼豆Angry Bean的店</t>
        </is>
      </c>
      <c r="M1322">
        <v>10000</v>
      </c>
      <c r="N1322">
        <v>4.66</v>
      </c>
      <c r="O1322">
        <v>233000</v>
      </c>
      <c r="P1322" t="inlineStr">
        <is>
          <t>69b569373250830001504f11</t>
        </is>
      </c>
      <c r="Q1322" t="inlineStr">
        <is>
          <t>🚫重复</t>
        </is>
      </c>
      <c r="R1322" t="inlineStr">
        <is>
          <t>16周</t>
        </is>
      </c>
      <c r="S1322" t="inlineStr">
        <is>
          <t>1.50</t>
        </is>
      </c>
      <c r="T1322" t="inlineStr">
        <is>
          <t>运动潮玩</t>
        </is>
      </c>
      <c r="U1322" t="inlineStr">
        <is>
          <t>潮玩手办</t>
        </is>
      </c>
      <c r="V1322" s="3">
        <v>46130.98501157408</v>
      </c>
      <c r="W1322" t="inlineStr">
        <is>
          <t>2026-Q2</t>
        </is>
      </c>
    </row>
    <row r="1323" ht="25.5" customHeight="1">
      <c r="A1323" t="inlineStr">
        <is>
          <t>维特丝 · 美白身体乳持久留香保湿滋润清爽不黏腻不长毛不反黑推荐官方旗舰</t>
        </is>
      </c>
      <c r="B1323" t="inlineStr">
        <is>
          <t>__upload_recvh9P0bm87G1.jpg</t>
        </is>
      </c>
      <c r="C1323" s="2" t="str">
        <f>=HYPERLINK("https://xhslink.com/m/6YnRTwQWQ7K", "https://xhslink.com/m/6YnRTwQWQ7K")</f>
        <v>https://xhslink.com/m/6YnRTwQWQ7K</v>
      </c>
      <c r="D1323"/>
      <c r="E1323">
        <v>25000</v>
      </c>
      <c r="F1323">
        <v>88</v>
      </c>
      <c r="G1323">
        <v>69</v>
      </c>
      <c r="H1323">
        <v>300</v>
      </c>
      <c r="I1323" t="inlineStr">
        <is>
          <t>身体护理</t>
        </is>
      </c>
      <c r="J1323" t="inlineStr">
        <is>
          <t>0.01</t>
        </is>
      </c>
      <c r="K1323"/>
      <c r="L1323" t="inlineStr">
        <is>
          <t>维特丝旗舰店</t>
        </is>
      </c>
      <c r="M1323">
        <v>30000</v>
      </c>
      <c r="N1323">
        <v>4.52</v>
      </c>
      <c r="O1323">
        <v>207000</v>
      </c>
      <c r="P1323" t="inlineStr">
        <is>
          <t>677b3ff4286c9f0001df41af</t>
        </is>
      </c>
      <c r="Q1323" t="inlineStr">
        <is>
          <t>🚫重复</t>
        </is>
      </c>
      <c r="R1323" t="inlineStr">
        <is>
          <t>16周</t>
        </is>
      </c>
      <c r="S1323" t="inlineStr">
        <is>
          <t>0.83</t>
        </is>
      </c>
      <c r="T1323" t="inlineStr">
        <is>
          <t>美妆个护</t>
        </is>
      </c>
      <c r="U1323" t="inlineStr">
        <is>
          <t>个人护理</t>
        </is>
      </c>
      <c r="V1323" s="3">
        <v>46130.98501157408</v>
      </c>
      <c r="W1323" t="inlineStr">
        <is>
          <t>2026-Q2</t>
        </is>
      </c>
    </row>
    <row r="1324" ht="25.5" customHeight="1">
      <c r="A1324" t="inlineStr">
        <is>
          <t>DE'LANCI · 「2件9折 4件8.5折送盘」自组偏光爆闪眼影盘紫色绿色系金属高闪</t>
        </is>
      </c>
      <c r="B1324" t="inlineStr">
        <is>
          <t>__upload_recvh9P0bm9EKI.jpg</t>
        </is>
      </c>
      <c r="C1324" s="2" t="str">
        <f>=HYPERLINK("https://xhslink.com/m/5UZDmMdQ9FC", "https://xhslink.com/m/5UZDmMdQ9FC")</f>
        <v>https://xhslink.com/m/5UZDmMdQ9FC</v>
      </c>
      <c r="D1324"/>
      <c r="E1324">
        <v>29000</v>
      </c>
      <c r="F1324">
        <v>49.9</v>
      </c>
      <c r="G1324"/>
      <c r="H1324">
        <v>300</v>
      </c>
      <c r="I1324" t="inlineStr">
        <is>
          <t>面部色彩</t>
        </is>
      </c>
      <c r="J1324" t="inlineStr">
        <is>
          <t>0.01</t>
        </is>
      </c>
      <c r="K1324"/>
      <c r="L1324" t="inlineStr">
        <is>
          <t>DE'LANCI美妆旗舰店</t>
        </is>
      </c>
      <c r="M1324">
        <v>36000</v>
      </c>
      <c r="N1324">
        <v>4.69</v>
      </c>
      <c r="O1324">
        <v>45000</v>
      </c>
      <c r="P1324" t="inlineStr">
        <is>
          <t>694e5030d96c4500017b843f</t>
        </is>
      </c>
      <c r="Q1324" t="inlineStr">
        <is>
          <t>🚫重复</t>
        </is>
      </c>
      <c r="R1324" t="inlineStr">
        <is>
          <t>16周</t>
        </is>
      </c>
      <c r="S1324" t="inlineStr">
        <is>
          <t>0.81</t>
        </is>
      </c>
      <c r="T1324" t="inlineStr">
        <is>
          <t>美妆个护</t>
        </is>
      </c>
      <c r="U1324" t="inlineStr">
        <is>
          <t>护肤彩妆</t>
        </is>
      </c>
      <c r="V1324" s="3">
        <v>46130.98501157408</v>
      </c>
      <c r="W1324" t="inlineStr">
        <is>
          <t>2026-Q2</t>
        </is>
      </c>
    </row>
    <row r="1325" ht="25.5" customHeight="1">
      <c r="A1325" t="inlineStr">
        <is>
          <t>满堂纯【草本氨基酸洗发皂】何首乌侧柏叶洗发皂手工皂无硅油控油</t>
        </is>
      </c>
      <c r="B1325" t="inlineStr">
        <is>
          <t>__upload_recvh9P0bmBI7b.jpg</t>
        </is>
      </c>
      <c r="C1325" s="2" t="str">
        <f>=HYPERLINK("https://xhslink.com/m/12kLFqGsO17", "https://xhslink.com/m/12kLFqGsO17")</f>
        <v>https://xhslink.com/m/12kLFqGsO17</v>
      </c>
      <c r="D1325"/>
      <c r="E1325">
        <v>50000</v>
      </c>
      <c r="F1325">
        <v>94.9</v>
      </c>
      <c r="G1325">
        <v>54.9</v>
      </c>
      <c r="H1325">
        <v>300</v>
      </c>
      <c r="I1325" t="inlineStr">
        <is>
          <t>美发</t>
        </is>
      </c>
      <c r="J1325" t="inlineStr">
        <is>
          <t>0.01</t>
        </is>
      </c>
      <c r="K1325"/>
      <c r="L1325" t="inlineStr">
        <is>
          <t>ManTown Pure满堂纯的店</t>
        </is>
      </c>
      <c r="M1325">
        <v>23000</v>
      </c>
      <c r="N1325">
        <v>4.64</v>
      </c>
      <c r="O1325">
        <v>58000</v>
      </c>
      <c r="P1325" t="inlineStr">
        <is>
          <t>68e10686e0f3b20001efe203</t>
        </is>
      </c>
      <c r="Q1325"/>
      <c r="R1325" t="inlineStr">
        <is>
          <t>16周</t>
        </is>
      </c>
      <c r="S1325" t="inlineStr">
        <is>
          <t>2.17</t>
        </is>
      </c>
      <c r="T1325" t="inlineStr">
        <is>
          <t>美妆个护</t>
        </is>
      </c>
      <c r="U1325" t="inlineStr">
        <is>
          <t>个人护理</t>
        </is>
      </c>
      <c r="V1325" s="3">
        <v>46130.98501157408</v>
      </c>
      <c r="W1325" t="inlineStr">
        <is>
          <t>2026-Q2</t>
        </is>
      </c>
    </row>
    <row r="1326" ht="25.5" customHeight="1">
      <c r="A1326" t="inlineStr">
        <is>
          <t>璐米 · 茉莉茶山氨基酸表活洗发露控油蓬松洗发水温和清洁无月桂醇</t>
        </is>
      </c>
      <c r="B1326" t="inlineStr">
        <is>
          <t>__upload_recvh9P0bmT6O2.jpg</t>
        </is>
      </c>
      <c r="C1326" s="2" t="str">
        <f>=HYPERLINK("https://xhslink.com/m/5vr9uE7mKAK", "https://xhslink.com/m/5vr9uE7mKAK")</f>
        <v>https://xhslink.com/m/5vr9uE7mKAK</v>
      </c>
      <c r="D1326"/>
      <c r="E1326">
        <v>68000</v>
      </c>
      <c r="F1326">
        <v>89</v>
      </c>
      <c r="G1326">
        <v>39.9</v>
      </c>
      <c r="H1326">
        <v>300</v>
      </c>
      <c r="I1326" t="inlineStr">
        <is>
          <t>美发</t>
        </is>
      </c>
      <c r="J1326" t="inlineStr">
        <is>
          <t>0.00</t>
        </is>
      </c>
      <c r="K1326"/>
      <c r="L1326" t="inlineStr">
        <is>
          <t>璐米旗舰店</t>
        </is>
      </c>
      <c r="M1326">
        <v>67000</v>
      </c>
      <c r="N1326">
        <v>4.54</v>
      </c>
      <c r="O1326">
        <v>387000</v>
      </c>
      <c r="P1326" t="inlineStr">
        <is>
          <t>66f5327acf4b6d0001d272d9</t>
        </is>
      </c>
      <c r="Q1326" t="inlineStr">
        <is>
          <t>🚫重复</t>
        </is>
      </c>
      <c r="R1326" t="inlineStr">
        <is>
          <t>16周</t>
        </is>
      </c>
      <c r="S1326" t="inlineStr">
        <is>
          <t>1.01</t>
        </is>
      </c>
      <c r="T1326" t="inlineStr">
        <is>
          <t>美妆个护</t>
        </is>
      </c>
      <c r="U1326" t="inlineStr">
        <is>
          <t>个人护理</t>
        </is>
      </c>
      <c r="V1326" s="3">
        <v>46130.98501157408</v>
      </c>
      <c r="W1326" t="inlineStr">
        <is>
          <t>2026-Q2</t>
        </is>
      </c>
    </row>
    <row r="1327" ht="25.5" customHeight="1">
      <c r="A1327" t="inlineStr">
        <is>
          <t>真颜分子 · 水杨酸棉片改善闭口黑头净护控油温和清洁毛孔黑头草莓鼻细腻肌肤</t>
        </is>
      </c>
      <c r="B1327" t="inlineStr">
        <is>
          <t>__upload_recvh9P0bmv8ei.jpg</t>
        </is>
      </c>
      <c r="C1327" s="2" t="str">
        <f>=HYPERLINK("https://xhslink.com/m/AwolIR47MJv", "https://xhslink.com/m/AwolIR47MJv")</f>
        <v>https://xhslink.com/m/AwolIR47MJv</v>
      </c>
      <c r="D1327"/>
      <c r="E1327">
        <v>66000</v>
      </c>
      <c r="F1327">
        <v>119</v>
      </c>
      <c r="G1327">
        <v>68</v>
      </c>
      <c r="H1327">
        <v>300</v>
      </c>
      <c r="I1327" t="inlineStr">
        <is>
          <t>美妆</t>
        </is>
      </c>
      <c r="J1327" t="inlineStr">
        <is>
          <t>0.00</t>
        </is>
      </c>
      <c r="K1327" t="inlineStr">
        <is>
          <t>🔥低粉爆款</t>
        </is>
      </c>
      <c r="L1327" t="inlineStr">
        <is>
          <t>JEAYFENZ旗舰店</t>
        </is>
      </c>
      <c r="M1327">
        <v>10000</v>
      </c>
      <c r="N1327">
        <v>4.68</v>
      </c>
      <c r="O1327">
        <v>131000</v>
      </c>
      <c r="P1327" t="inlineStr">
        <is>
          <t>67300f4818193500011b61c2</t>
        </is>
      </c>
      <c r="Q1327"/>
      <c r="R1327" t="inlineStr">
        <is>
          <t>16周</t>
        </is>
      </c>
      <c r="S1327" t="inlineStr">
        <is>
          <t>6.60</t>
        </is>
      </c>
      <c r="T1327" t="inlineStr">
        <is>
          <t>家居生活</t>
        </is>
      </c>
      <c r="U1327" t="inlineStr">
        <is>
          <t>家居日用</t>
        </is>
      </c>
      <c r="V1327" s="3">
        <v>46130.98501157408</v>
      </c>
      <c r="W1327" t="inlineStr">
        <is>
          <t>2026-Q2</t>
        </is>
      </c>
    </row>
    <row r="1328" ht="25.5" customHeight="1">
      <c r="A1328" t="inlineStr">
        <is>
          <t>极致盛放 · 手作贝果代餐面包欧包低脂大学生早八上班族早餐贝果面包零食代餐</t>
        </is>
      </c>
      <c r="B1328" t="inlineStr">
        <is>
          <t>__upload_recvh9P0bmGTrN.jpg</t>
        </is>
      </c>
      <c r="C1328" s="2" t="str">
        <f>=HYPERLINK("https://xhslink.com/m/1TCHD88dm9p", "https://xhslink.com/m/1TCHD88dm9p")</f>
        <v>https://xhslink.com/m/1TCHD88dm9p</v>
      </c>
      <c r="D1328"/>
      <c r="E1328">
        <v>77000</v>
      </c>
      <c r="F1328">
        <v>20</v>
      </c>
      <c r="G1328">
        <v>18</v>
      </c>
      <c r="H1328">
        <v>300</v>
      </c>
      <c r="I1328" t="inlineStr">
        <is>
          <t>低热量零食</t>
        </is>
      </c>
      <c r="J1328" t="inlineStr">
        <is>
          <t>0.00</t>
        </is>
      </c>
      <c r="K1328" t="inlineStr">
        <is>
          <t>🔥低粉爆款</t>
        </is>
      </c>
      <c r="L1328" t="inlineStr">
        <is>
          <t>极致盛放旗舰店</t>
        </is>
      </c>
      <c r="M1328">
        <v>1277</v>
      </c>
      <c r="N1328">
        <v>4.65</v>
      </c>
      <c r="O1328">
        <v>79000</v>
      </c>
      <c r="P1328" t="inlineStr">
        <is>
          <t>6925224228a0120001549ae7</t>
        </is>
      </c>
      <c r="Q1328" t="inlineStr">
        <is>
          <t>🚫重复</t>
        </is>
      </c>
      <c r="R1328" t="inlineStr">
        <is>
          <t>16周</t>
        </is>
      </c>
      <c r="S1328" t="inlineStr">
        <is>
          <t>60.30</t>
        </is>
      </c>
      <c r="T1328" t="inlineStr">
        <is>
          <t>美食滋补</t>
        </is>
      </c>
      <c r="U1328" t="inlineStr">
        <is>
          <t>休闲零食</t>
        </is>
      </c>
      <c r="V1328" s="3">
        <v>46130.98501157408</v>
      </c>
      <c r="W1328" t="inlineStr">
        <is>
          <t>2026-Q2</t>
        </is>
      </c>
    </row>
    <row r="1329" ht="25.5" customHeight="1">
      <c r="A1329" t="inlineStr">
        <is>
          <t>薄脆鸡肉片鸡肉干0防腐色素鸡胸肉脆片健身追剧解馋减脂期小零食</t>
        </is>
      </c>
      <c r="B1329" t="inlineStr">
        <is>
          <t>__upload_recvh9P0bm2me3.jpg</t>
        </is>
      </c>
      <c r="C1329" s="2" t="str">
        <f>=HYPERLINK("https://xhslink.com/m/3bYeXnFLlRE", "https://xhslink.com/m/3bYeXnFLlRE")</f>
        <v>https://xhslink.com/m/3bYeXnFLlRE</v>
      </c>
      <c r="D1329"/>
      <c r="E1329">
        <v>30000</v>
      </c>
      <c r="F1329">
        <v>29.9</v>
      </c>
      <c r="G1329">
        <v>18.9</v>
      </c>
      <c r="H1329">
        <v>300</v>
      </c>
      <c r="I1329" t="inlineStr">
        <is>
          <t>低热量零食</t>
        </is>
      </c>
      <c r="J1329" t="inlineStr">
        <is>
          <t>0.01</t>
        </is>
      </c>
      <c r="K1329" t="inlineStr">
        <is>
          <t>🔥低粉爆款</t>
        </is>
      </c>
      <c r="L1329" t="inlineStr">
        <is>
          <t>阿赞哥食品工厂的店</t>
        </is>
      </c>
      <c r="M1329">
        <v>2276</v>
      </c>
      <c r="N1329">
        <v>4.34</v>
      </c>
      <c r="O1329">
        <v>51000</v>
      </c>
      <c r="P1329" t="inlineStr">
        <is>
          <t>67e100279800e50001be4520</t>
        </is>
      </c>
      <c r="Q1329" t="inlineStr">
        <is>
          <t>🚫重复</t>
        </is>
      </c>
      <c r="R1329" t="inlineStr">
        <is>
          <t>16周</t>
        </is>
      </c>
      <c r="S1329" t="inlineStr">
        <is>
          <t>13.18</t>
        </is>
      </c>
      <c r="T1329" t="inlineStr">
        <is>
          <t>美食滋补</t>
        </is>
      </c>
      <c r="U1329" t="inlineStr">
        <is>
          <t>休闲零食</t>
        </is>
      </c>
      <c r="V1329" s="3">
        <v>46130.98501157408</v>
      </c>
      <c r="W1329" t="inlineStr">
        <is>
          <t>2026-Q2</t>
        </is>
      </c>
    </row>
    <row r="1330" ht="25.5" customHeight="1">
      <c r="A1330" t="inlineStr">
        <is>
          <t>氧默 · 黑麦全麦面包整箱吐司代餐饱腹无添蔗糖精粗粮主食脂健康早餐食品</t>
        </is>
      </c>
      <c r="B1330" t="inlineStr">
        <is>
          <t>__upload_recvh9P0bmVBBG.jpg</t>
        </is>
      </c>
      <c r="C1330" s="2" t="str">
        <f>=HYPERLINK("https://xhslink.com/m/5FqZKZtj1uh", "https://xhslink.com/m/5FqZKZtj1uh")</f>
        <v>https://xhslink.com/m/5FqZKZtj1uh</v>
      </c>
      <c r="D1330"/>
      <c r="E1330">
        <v>108000</v>
      </c>
      <c r="F1330">
        <v>9.9</v>
      </c>
      <c r="G1330"/>
      <c r="H1330">
        <v>300</v>
      </c>
      <c r="I1330" t="inlineStr">
        <is>
          <t>低热量零食</t>
        </is>
      </c>
      <c r="J1330" t="inlineStr">
        <is>
          <t>0.00</t>
        </is>
      </c>
      <c r="K1330" t="inlineStr">
        <is>
          <t>🔥低粉爆款</t>
        </is>
      </c>
      <c r="L1330" t="inlineStr">
        <is>
          <t>氧默旗舰店</t>
        </is>
      </c>
      <c r="M1330">
        <v>26000</v>
      </c>
      <c r="N1330">
        <v>4.57</v>
      </c>
      <c r="O1330">
        <v>266000</v>
      </c>
      <c r="P1330" t="inlineStr">
        <is>
          <t>63fbfa65774c400001762cc9</t>
        </is>
      </c>
      <c r="Q1330" t="inlineStr">
        <is>
          <t>🚫重复</t>
        </is>
      </c>
      <c r="R1330" t="inlineStr">
        <is>
          <t>16周</t>
        </is>
      </c>
      <c r="S1330" t="inlineStr">
        <is>
          <t>4.15</t>
        </is>
      </c>
      <c r="T1330" t="inlineStr">
        <is>
          <t>美食滋补</t>
        </is>
      </c>
      <c r="U1330" t="inlineStr">
        <is>
          <t>休闲零食</t>
        </is>
      </c>
      <c r="V1330" s="3">
        <v>46130.98501157408</v>
      </c>
      <c r="W1330" t="inlineStr">
        <is>
          <t>2026-Q2</t>
        </is>
      </c>
    </row>
    <row r="1331" ht="25.5" customHeight="1">
      <c r="A1331" t="inlineStr">
        <is>
          <t>【Sam推荐零食合集】店长推荐零食合集套餐热门 加购物车满49包邮</t>
        </is>
      </c>
      <c r="B1331" t="inlineStr">
        <is>
          <t>__upload_recvh9P0bm53NU.jpg</t>
        </is>
      </c>
      <c r="C1331" s="2" t="str">
        <f>=HYPERLINK("https://xhslink.com/m/2eAhEfogf50", "https://xhslink.com/m/2eAhEfogf50")</f>
        <v>https://xhslink.com/m/2eAhEfogf50</v>
      </c>
      <c r="D1331"/>
      <c r="E1331">
        <v>158000</v>
      </c>
      <c r="F1331">
        <v>2.38</v>
      </c>
      <c r="G1331"/>
      <c r="H1331">
        <v>300</v>
      </c>
      <c r="I1331" t="inlineStr">
        <is>
          <t>低热量零食</t>
        </is>
      </c>
      <c r="J1331" t="inlineStr">
        <is>
          <t>0.00</t>
        </is>
      </c>
      <c r="K1331"/>
      <c r="L1331" t="inlineStr">
        <is>
          <t>小禾家零食分装的店</t>
        </is>
      </c>
      <c r="M1331">
        <v>58000</v>
      </c>
      <c r="N1331">
        <v>4.69</v>
      </c>
      <c r="O1331">
        <v>1228000</v>
      </c>
      <c r="P1331" t="inlineStr">
        <is>
          <t>69370cd37ca563000110ea3d</t>
        </is>
      </c>
      <c r="Q1331" t="inlineStr">
        <is>
          <t>🚫重复</t>
        </is>
      </c>
      <c r="R1331" t="inlineStr">
        <is>
          <t>16周</t>
        </is>
      </c>
      <c r="S1331" t="inlineStr">
        <is>
          <t>2.72</t>
        </is>
      </c>
      <c r="T1331" t="inlineStr">
        <is>
          <t>美食滋补</t>
        </is>
      </c>
      <c r="U1331" t="inlineStr">
        <is>
          <t>休闲零食</t>
        </is>
      </c>
      <c r="V1331" s="3">
        <v>46130.98501157408</v>
      </c>
      <c r="W1331" t="inlineStr">
        <is>
          <t>2026-Q2</t>
        </is>
      </c>
    </row>
    <row r="1332" ht="25.5" customHeight="1">
      <c r="A1332" t="inlineStr">
        <is>
          <t>极致盛放 · 手作贝果代餐面包欧包低脂大学生早八上班族早餐贝果面包零食代餐</t>
        </is>
      </c>
      <c r="B1332" t="inlineStr">
        <is>
          <t>__upload_recvh9P0bmJpGQ.jpg</t>
        </is>
      </c>
      <c r="C1332" s="2" t="str">
        <f>=HYPERLINK("https://xhslink.com/m/4DIk6ang5IM", "https://xhslink.com/m/4DIk6ang5IM")</f>
        <v>https://xhslink.com/m/4DIk6ang5IM</v>
      </c>
      <c r="D1332"/>
      <c r="E1332">
        <v>77000</v>
      </c>
      <c r="F1332">
        <v>22</v>
      </c>
      <c r="G1332">
        <v>20</v>
      </c>
      <c r="H1332">
        <v>300</v>
      </c>
      <c r="I1332" t="inlineStr">
        <is>
          <t>低热量零食</t>
        </is>
      </c>
      <c r="J1332" t="inlineStr">
        <is>
          <t>0.00</t>
        </is>
      </c>
      <c r="K1332" t="inlineStr">
        <is>
          <t>🔥低粉爆款</t>
        </is>
      </c>
      <c r="L1332" t="inlineStr">
        <is>
          <t>极致盛放旗舰店</t>
        </is>
      </c>
      <c r="M1332">
        <v>1277</v>
      </c>
      <c r="N1332">
        <v>4.65</v>
      </c>
      <c r="O1332">
        <v>79000</v>
      </c>
      <c r="P1332" t="inlineStr">
        <is>
          <t>693918a64f2ba20001966881</t>
        </is>
      </c>
      <c r="Q1332" t="inlineStr">
        <is>
          <t>🚫重复</t>
        </is>
      </c>
      <c r="R1332" t="inlineStr">
        <is>
          <t>16周</t>
        </is>
      </c>
      <c r="S1332" t="inlineStr">
        <is>
          <t>60.30</t>
        </is>
      </c>
      <c r="T1332" t="inlineStr">
        <is>
          <t>美食滋补</t>
        </is>
      </c>
      <c r="U1332" t="inlineStr">
        <is>
          <t>休闲零食</t>
        </is>
      </c>
      <c r="V1332" s="3">
        <v>46130.98501157408</v>
      </c>
      <c r="W1332" t="inlineStr">
        <is>
          <t>2026-Q2</t>
        </is>
      </c>
    </row>
    <row r="1333" ht="25.5" customHeight="1">
      <c r="A1333" t="inlineStr">
        <is>
          <t>Juicy零食点心意式坚果脆饼健康零食</t>
        </is>
      </c>
      <c r="B1333" t="inlineStr">
        <is>
          <t>__upload_recvh9P0bmISdA.jpg</t>
        </is>
      </c>
      <c r="C1333" s="2" t="str">
        <f>=HYPERLINK("https://xhslink.com/m/1hP4mQqTsY4", "https://xhslink.com/m/1hP4mQqTsY4")</f>
        <v>https://xhslink.com/m/1hP4mQqTsY4</v>
      </c>
      <c r="D1333"/>
      <c r="E1333">
        <v>146000</v>
      </c>
      <c r="F1333">
        <v>189</v>
      </c>
      <c r="G1333">
        <v>59.99</v>
      </c>
      <c r="H1333">
        <v>300</v>
      </c>
      <c r="I1333" t="inlineStr">
        <is>
          <t>低热量零食</t>
        </is>
      </c>
      <c r="J1333" t="inlineStr">
        <is>
          <t>0.00</t>
        </is>
      </c>
      <c r="K1333"/>
      <c r="L1333" t="inlineStr">
        <is>
          <t>JUICY SUPPLY的店</t>
        </is>
      </c>
      <c r="M1333">
        <v>272000</v>
      </c>
      <c r="N1333">
        <v>4.71</v>
      </c>
      <c r="O1333">
        <v>864000</v>
      </c>
      <c r="P1333" t="inlineStr">
        <is>
          <t>697878e9621e6f0001701eb7</t>
        </is>
      </c>
      <c r="Q1333" t="inlineStr">
        <is>
          <t>🚫重复</t>
        </is>
      </c>
      <c r="R1333" t="inlineStr">
        <is>
          <t>16周</t>
        </is>
      </c>
      <c r="S1333" t="inlineStr">
        <is>
          <t>0.54</t>
        </is>
      </c>
      <c r="T1333" t="inlineStr">
        <is>
          <t>美食滋补</t>
        </is>
      </c>
      <c r="U1333" t="inlineStr">
        <is>
          <t>休闲零食</t>
        </is>
      </c>
      <c r="V1333" s="3">
        <v>46130.98501157408</v>
      </c>
      <c r="W1333" t="inlineStr">
        <is>
          <t>2026-Q2</t>
        </is>
      </c>
    </row>
    <row r="1334" ht="25.5" customHeight="1">
      <c r="A1334" t="inlineStr">
        <is>
          <t>【闪光少女】迪拜软糯曲奇手工现做开心果口感丰富香糯拉丝60g/个</t>
        </is>
      </c>
      <c r="B1334" t="inlineStr">
        <is>
          <t>__upload_recvh9P0bmK3QP.jpg</t>
        </is>
      </c>
      <c r="C1334" s="2" t="str">
        <f>=HYPERLINK("https://xhslink.com/m/79DK7Ro2beD", "https://xhslink.com/m/79DK7Ro2beD")</f>
        <v>https://xhslink.com/m/79DK7Ro2beD</v>
      </c>
      <c r="D1334"/>
      <c r="E1334">
        <v>6637</v>
      </c>
      <c r="F1334">
        <v>59.9</v>
      </c>
      <c r="G1334"/>
      <c r="H1334">
        <v>300</v>
      </c>
      <c r="I1334" t="inlineStr">
        <is>
          <t>低热量零食</t>
        </is>
      </c>
      <c r="J1334" t="inlineStr">
        <is>
          <t>0.05</t>
        </is>
      </c>
      <c r="K1334"/>
      <c r="L1334" t="inlineStr">
        <is>
          <t>闪光少女的店</t>
        </is>
      </c>
      <c r="M1334">
        <v>8844</v>
      </c>
      <c r="N1334">
        <v>4.49</v>
      </c>
      <c r="O1334">
        <v>35000</v>
      </c>
      <c r="P1334" t="inlineStr">
        <is>
          <t>69c1e619d95b5a0001f7d007</t>
        </is>
      </c>
      <c r="Q1334"/>
      <c r="R1334" t="inlineStr">
        <is>
          <t>16周</t>
        </is>
      </c>
      <c r="S1334" t="inlineStr">
        <is>
          <t>0.75</t>
        </is>
      </c>
      <c r="T1334" t="inlineStr">
        <is>
          <t>美食滋补</t>
        </is>
      </c>
      <c r="U1334" t="inlineStr">
        <is>
          <t>休闲零食</t>
        </is>
      </c>
      <c r="V1334" s="3">
        <v>46130.98501157408</v>
      </c>
      <c r="W1334" t="inlineStr">
        <is>
          <t>2026-Q2</t>
        </is>
      </c>
    </row>
    <row r="1335" ht="25.5" customHeight="1">
      <c r="A1335" t="inlineStr">
        <is>
          <t>【9.9两盒】老师傅古法手作无脱氢冰皮绿豆饼冰淇淋芋泥饼0蔗糖</t>
        </is>
      </c>
      <c r="B1335" t="inlineStr">
        <is>
          <t>__upload_recvh9P0bmtoWv.jpg</t>
        </is>
      </c>
      <c r="C1335" s="2" t="str">
        <f>=HYPERLINK("https://xhslink.com/m/15DujLMRiEK", "https://xhslink.com/m/15DujLMRiEK")</f>
        <v>https://xhslink.com/m/15DujLMRiEK</v>
      </c>
      <c r="D1335"/>
      <c r="E1335">
        <v>35000</v>
      </c>
      <c r="F1335">
        <v>15.8</v>
      </c>
      <c r="G1335">
        <v>6.8</v>
      </c>
      <c r="H1335">
        <v>300</v>
      </c>
      <c r="I1335" t="inlineStr">
        <is>
          <t>低热量零食</t>
        </is>
      </c>
      <c r="J1335" t="inlineStr">
        <is>
          <t>0.01</t>
        </is>
      </c>
      <c r="K1335" t="inlineStr">
        <is>
          <t>🔥低粉爆款</t>
        </is>
      </c>
      <c r="L1335" t="inlineStr">
        <is>
          <t>半糖不加辣的店</t>
        </is>
      </c>
      <c r="M1335">
        <v>191</v>
      </c>
      <c r="N1335">
        <v>4.64</v>
      </c>
      <c r="O1335">
        <v>49000</v>
      </c>
      <c r="P1335" t="inlineStr">
        <is>
          <t>694423c60775cd00156c266c</t>
        </is>
      </c>
      <c r="Q1335"/>
      <c r="R1335" t="inlineStr">
        <is>
          <t>16周</t>
        </is>
      </c>
      <c r="S1335" t="inlineStr">
        <is>
          <t>183.25</t>
        </is>
      </c>
      <c r="T1335" t="inlineStr">
        <is>
          <t>运动潮玩</t>
        </is>
      </c>
      <c r="U1335" t="inlineStr">
        <is>
          <t>潮玩手办</t>
        </is>
      </c>
      <c r="V1335" s="3">
        <v>46130.98501157408</v>
      </c>
      <c r="W1335" t="inlineStr">
        <is>
          <t>2026-Q2</t>
        </is>
      </c>
    </row>
    <row r="1336" ht="25.5" customHeight="1">
      <c r="A1336" t="inlineStr">
        <is>
          <t>【70g*12枚装】英式麦芬 全麦种子 0蔗糖 极简配方 松软不发酸</t>
        </is>
      </c>
      <c r="B1336" t="inlineStr">
        <is>
          <t>__upload_recvh9P0bmuGJY.jpg</t>
        </is>
      </c>
      <c r="C1336" s="2" t="str">
        <f>=HYPERLINK("https://xhslink.com/m/29NBF1EQJWi", "https://xhslink.com/m/29NBF1EQJWi")</f>
        <v>https://xhslink.com/m/29NBF1EQJWi</v>
      </c>
      <c r="D1336"/>
      <c r="E1336">
        <v>49000</v>
      </c>
      <c r="F1336">
        <v>78</v>
      </c>
      <c r="G1336">
        <v>49.3</v>
      </c>
      <c r="H1336">
        <v>300</v>
      </c>
      <c r="I1336" t="inlineStr">
        <is>
          <t>低热量零食</t>
        </is>
      </c>
      <c r="J1336" t="inlineStr">
        <is>
          <t>0.01</t>
        </is>
      </c>
      <c r="K1336" t="inlineStr">
        <is>
          <t>🔥低粉爆款</t>
        </is>
      </c>
      <c r="L1336" t="inlineStr">
        <is>
          <t>静静的包的店</t>
        </is>
      </c>
      <c r="M1336">
        <v>4103</v>
      </c>
      <c r="N1336">
        <v>4.84</v>
      </c>
      <c r="O1336">
        <v>55000</v>
      </c>
      <c r="P1336" t="inlineStr">
        <is>
          <t>68209f2138a9a60001b51bfe</t>
        </is>
      </c>
      <c r="Q1336"/>
      <c r="R1336" t="inlineStr">
        <is>
          <t>16周</t>
        </is>
      </c>
      <c r="S1336" t="inlineStr">
        <is>
          <t>11.94</t>
        </is>
      </c>
      <c r="T1336" t="inlineStr">
        <is>
          <t>美食滋补</t>
        </is>
      </c>
      <c r="U1336" t="inlineStr">
        <is>
          <t>休闲零食</t>
        </is>
      </c>
      <c r="V1336" s="3">
        <v>46130.98501157408</v>
      </c>
      <c r="W1336" t="inlineStr">
        <is>
          <t>2026-Q2</t>
        </is>
      </c>
    </row>
    <row r="1337" ht="25.5" customHeight="1">
      <c r="A1337" t="inlineStr">
        <is>
          <t>四个口味贝果堡！！（每份半个135克+）</t>
        </is>
      </c>
      <c r="B1337" t="inlineStr">
        <is>
          <t>__upload_recvh9P0bmmpU7.jpg</t>
        </is>
      </c>
      <c r="C1337" s="2" t="str">
        <f>=HYPERLINK("https://xhslink.com/m/9KH7ykQvdzB", "https://xhslink.com/m/9KH7ykQvdzB")</f>
        <v>https://xhslink.com/m/9KH7ykQvdzB</v>
      </c>
      <c r="D1337"/>
      <c r="E1337">
        <v>6892</v>
      </c>
      <c r="F1337">
        <v>80</v>
      </c>
      <c r="G1337">
        <v>60</v>
      </c>
      <c r="H1337">
        <v>300</v>
      </c>
      <c r="I1337" t="inlineStr">
        <is>
          <t>低热量零食</t>
        </is>
      </c>
      <c r="J1337" t="inlineStr">
        <is>
          <t>0.04</t>
        </is>
      </c>
      <c r="K1337"/>
      <c r="L1337" t="inlineStr">
        <is>
          <t>Troycake柠乐的店</t>
        </is>
      </c>
      <c r="M1337">
        <v>87000</v>
      </c>
      <c r="N1337">
        <v>4.46</v>
      </c>
      <c r="O1337">
        <v>80000</v>
      </c>
      <c r="P1337" t="inlineStr">
        <is>
          <t>6959125ed0c58a0001c87444</t>
        </is>
      </c>
      <c r="Q1337" t="inlineStr">
        <is>
          <t>🚫重复</t>
        </is>
      </c>
      <c r="R1337" t="inlineStr">
        <is>
          <t>16周</t>
        </is>
      </c>
      <c r="S1337" t="inlineStr">
        <is>
          <t>0.08</t>
        </is>
      </c>
      <c r="T1337" t="inlineStr">
        <is>
          <t>美食滋补</t>
        </is>
      </c>
      <c r="U1337" t="inlineStr">
        <is>
          <t>休闲零食</t>
        </is>
      </c>
      <c r="V1337" s="3">
        <v>46130.98501157408</v>
      </c>
      <c r="W1337" t="inlineStr">
        <is>
          <t>2026-Q2</t>
        </is>
      </c>
    </row>
    <row r="1338" ht="25.5" customHeight="1">
      <c r="A1338" t="inlineStr">
        <is>
          <t>陶大公子 · 茯苓糕手工药食同源养正宗茯苓夹饼小吃健康早餐</t>
        </is>
      </c>
      <c r="B1338" t="inlineStr">
        <is>
          <t>__upload_recvh9P0bmLc5k.jpg</t>
        </is>
      </c>
      <c r="C1338" s="2" t="str">
        <f>=HYPERLINK("https://xhslink.com/m/8Pe6NCSIedP", "https://xhslink.com/m/8Pe6NCSIedP")</f>
        <v>https://xhslink.com/m/8Pe6NCSIedP</v>
      </c>
      <c r="D1338"/>
      <c r="E1338">
        <v>326000</v>
      </c>
      <c r="F1338">
        <v>19.8</v>
      </c>
      <c r="G1338">
        <v>16.6</v>
      </c>
      <c r="H1338">
        <v>300</v>
      </c>
      <c r="I1338" t="inlineStr">
        <is>
          <t>低热量零食</t>
        </is>
      </c>
      <c r="J1338" t="inlineStr">
        <is>
          <t>0.00</t>
        </is>
      </c>
      <c r="K1338"/>
      <c r="L1338" t="inlineStr">
        <is>
          <t>陶大公子养生糕的店</t>
        </is>
      </c>
      <c r="M1338">
        <v>278000</v>
      </c>
      <c r="N1338">
        <v>4.61</v>
      </c>
      <c r="O1338">
        <v>939000</v>
      </c>
      <c r="P1338" t="inlineStr">
        <is>
          <t>6989b6c8a5576f0001973c4f</t>
        </is>
      </c>
      <c r="Q1338" t="inlineStr">
        <is>
          <t>🚫重复</t>
        </is>
      </c>
      <c r="R1338" t="inlineStr">
        <is>
          <t>16周</t>
        </is>
      </c>
      <c r="S1338" t="inlineStr">
        <is>
          <t>1.17</t>
        </is>
      </c>
      <c r="T1338" t="inlineStr">
        <is>
          <t>美食滋补</t>
        </is>
      </c>
      <c r="U1338" t="inlineStr">
        <is>
          <t>休闲零食</t>
        </is>
      </c>
      <c r="V1338" s="3">
        <v>46130.98501157408</v>
      </c>
      <c r="W1338" t="inlineStr">
        <is>
          <t>2026-Q2</t>
        </is>
      </c>
    </row>
    <row r="1339" ht="25.5" customHeight="1">
      <c r="A1339" t="inlineStr">
        <is>
          <t>BENNS · 贝纳丝99%纯可可脂黑巧80%黑巧克力解馋健康零食40g</t>
        </is>
      </c>
      <c r="B1339" t="inlineStr">
        <is>
          <t>__upload_recvh9P0bmE7wQ.jpg</t>
        </is>
      </c>
      <c r="C1339" s="2" t="str">
        <f>=HYPERLINK("https://xhslink.com/m/2ErHzwRtiyX", "https://xhslink.com/m/2ErHzwRtiyX")</f>
        <v>https://xhslink.com/m/2ErHzwRtiyX</v>
      </c>
      <c r="D1339"/>
      <c r="E1339">
        <v>39000</v>
      </c>
      <c r="F1339">
        <v>29.9</v>
      </c>
      <c r="G1339">
        <v>19.9</v>
      </c>
      <c r="H1339">
        <v>300</v>
      </c>
      <c r="I1339" t="inlineStr">
        <is>
          <t>低热量零食</t>
        </is>
      </c>
      <c r="J1339" t="inlineStr">
        <is>
          <t>0.01</t>
        </is>
      </c>
      <c r="K1339" t="inlineStr">
        <is>
          <t>🔥低粉爆款</t>
        </is>
      </c>
      <c r="L1339" t="inlineStr">
        <is>
          <t>BENNS旗舰店</t>
        </is>
      </c>
      <c r="M1339">
        <v>13000</v>
      </c>
      <c r="N1339">
        <v>4.63</v>
      </c>
      <c r="O1339">
        <v>222000</v>
      </c>
      <c r="P1339" t="inlineStr">
        <is>
          <t>66d125f087b9bc00011fb6c2</t>
        </is>
      </c>
      <c r="Q1339"/>
      <c r="R1339" t="inlineStr">
        <is>
          <t>16周</t>
        </is>
      </c>
      <c r="S1339" t="inlineStr">
        <is>
          <t>3.00</t>
        </is>
      </c>
      <c r="T1339" t="inlineStr">
        <is>
          <t>美食滋补</t>
        </is>
      </c>
      <c r="U1339" t="inlineStr">
        <is>
          <t>休闲零食</t>
        </is>
      </c>
      <c r="V1339" s="3">
        <v>46130.98501157408</v>
      </c>
      <c r="W1339" t="inlineStr">
        <is>
          <t>2026-Q2</t>
        </is>
      </c>
    </row>
    <row r="1340" ht="25.5" customHeight="1">
      <c r="A1340" t="inlineStr">
        <is>
          <t>原汤厚鲜奶皮子内蒙古传统特产零食原味牧民乳制品营养奶制品盒装</t>
        </is>
      </c>
      <c r="B1340" t="inlineStr">
        <is>
          <t>__upload_recvh9P0bmX7ER.jpg</t>
        </is>
      </c>
      <c r="C1340" s="2" t="str">
        <f>=HYPERLINK("https://xhslink.com/m/AFBCYH8NaIY", "https://xhslink.com/m/AFBCYH8NaIY")</f>
        <v>https://xhslink.com/m/AFBCYH8NaIY</v>
      </c>
      <c r="D1340"/>
      <c r="E1340">
        <v>6575</v>
      </c>
      <c r="F1340">
        <v>28.89</v>
      </c>
      <c r="G1340"/>
      <c r="H1340">
        <v>300</v>
      </c>
      <c r="I1340" t="inlineStr">
        <is>
          <t>低热量零食</t>
        </is>
      </c>
      <c r="J1340" t="inlineStr">
        <is>
          <t>0.05</t>
        </is>
      </c>
      <c r="K1340" t="inlineStr">
        <is>
          <t>🔥低粉爆款</t>
        </is>
      </c>
      <c r="L1340" t="inlineStr">
        <is>
          <t>牧民来信～多兰的店</t>
        </is>
      </c>
      <c r="M1340">
        <v>629</v>
      </c>
      <c r="N1340">
        <v>4.69</v>
      </c>
      <c r="O1340">
        <v>7351</v>
      </c>
      <c r="P1340" t="inlineStr">
        <is>
          <t>69492bdabd92f5000126640f</t>
        </is>
      </c>
      <c r="Q1340"/>
      <c r="R1340" t="inlineStr">
        <is>
          <t>16周</t>
        </is>
      </c>
      <c r="S1340" t="inlineStr">
        <is>
          <t>10.45</t>
        </is>
      </c>
      <c r="T1340" t="inlineStr">
        <is>
          <t>美食滋补</t>
        </is>
      </c>
      <c r="U1340" t="inlineStr">
        <is>
          <t>休闲零食</t>
        </is>
      </c>
      <c r="V1340" s="3">
        <v>46130.98501157408</v>
      </c>
      <c r="W1340" t="inlineStr">
        <is>
          <t>2026-Q2</t>
        </is>
      </c>
    </row>
    <row r="1341" ht="25.5" customHeight="1">
      <c r="A1341" t="inlineStr">
        <is>
          <t>特级精品秘鲁进口哈斯牛油果·当季水果宝宝辅食孕期新鲜水果</t>
        </is>
      </c>
      <c r="B1341" t="inlineStr">
        <is>
          <t>__upload_recvh9P0bmTkS3.jpg</t>
        </is>
      </c>
      <c r="C1341" s="2" t="str">
        <f>=HYPERLINK("https://xhslink.com/m/7ndwWG435Al", "https://xhslink.com/m/7ndwWG435Al")</f>
        <v>https://xhslink.com/m/7ndwWG435Al</v>
      </c>
      <c r="D1341"/>
      <c r="E1341">
        <v>45000</v>
      </c>
      <c r="F1341">
        <v>46.9</v>
      </c>
      <c r="G1341">
        <v>36.9</v>
      </c>
      <c r="H1341">
        <v>300</v>
      </c>
      <c r="I1341" t="inlineStr">
        <is>
          <t>低热量零食</t>
        </is>
      </c>
      <c r="J1341" t="inlineStr">
        <is>
          <t>0.01</t>
        </is>
      </c>
      <c r="K1341" t="inlineStr">
        <is>
          <t>🔥低粉爆款</t>
        </is>
      </c>
      <c r="L1341" t="inlineStr">
        <is>
          <t>小万的牛油果日记的店</t>
        </is>
      </c>
      <c r="M1341">
        <v>5114</v>
      </c>
      <c r="N1341">
        <v>4.62</v>
      </c>
      <c r="O1341">
        <v>62000</v>
      </c>
      <c r="P1341" t="inlineStr">
        <is>
          <t>680b1c4695888b0001548e73</t>
        </is>
      </c>
      <c r="Q1341"/>
      <c r="R1341" t="inlineStr">
        <is>
          <t>16周</t>
        </is>
      </c>
      <c r="S1341" t="inlineStr">
        <is>
          <t>8.80</t>
        </is>
      </c>
      <c r="T1341" t="inlineStr">
        <is>
          <t>美食滋补</t>
        </is>
      </c>
      <c r="U1341" t="inlineStr">
        <is>
          <t>生鲜特产</t>
        </is>
      </c>
      <c r="V1341" s="3">
        <v>46130.98501157408</v>
      </c>
      <c r="W1341" t="inlineStr">
        <is>
          <t>2026-Q2</t>
        </is>
      </c>
    </row>
    <row r="1342" ht="25.5" customHeight="1">
      <c r="A1342" t="inlineStr">
        <is>
          <t>咕噜大王·0油炸方便面控卡期夜宵党少油素食火鸡面宿舍免煮桶装</t>
        </is>
      </c>
      <c r="B1342" t="inlineStr">
        <is>
          <t>__upload_recvh9P0bmJhyT.jpg</t>
        </is>
      </c>
      <c r="C1342" s="2" t="str">
        <f>=HYPERLINK("https://xhslink.com/m/4xhuMZBYEnL", "https://xhslink.com/m/4xhuMZBYEnL")</f>
        <v>https://xhslink.com/m/4xhuMZBYEnL</v>
      </c>
      <c r="D1342"/>
      <c r="E1342">
        <v>5009</v>
      </c>
      <c r="F1342">
        <v>33.9</v>
      </c>
      <c r="G1342">
        <v>25.9</v>
      </c>
      <c r="H1342">
        <v>300</v>
      </c>
      <c r="I1342" t="inlineStr">
        <is>
          <t>低热量零食</t>
        </is>
      </c>
      <c r="J1342" t="inlineStr">
        <is>
          <t>0.06</t>
        </is>
      </c>
      <c r="K1342"/>
      <c r="L1342" t="inlineStr">
        <is>
          <t>咕噜大王：）的店</t>
        </is>
      </c>
      <c r="M1342">
        <v>16000</v>
      </c>
      <c r="N1342">
        <v>4.6</v>
      </c>
      <c r="O1342">
        <v>5639</v>
      </c>
      <c r="P1342" t="inlineStr">
        <is>
          <t>6960cf79ce1e9f0001697f9d</t>
        </is>
      </c>
      <c r="Q1342"/>
      <c r="R1342" t="inlineStr">
        <is>
          <t>16周</t>
        </is>
      </c>
      <c r="S1342" t="inlineStr">
        <is>
          <t>0.31</t>
        </is>
      </c>
      <c r="T1342" t="inlineStr">
        <is>
          <t>美食滋补</t>
        </is>
      </c>
      <c r="U1342" t="inlineStr">
        <is>
          <t>休闲零食</t>
        </is>
      </c>
      <c r="V1342" s="3">
        <v>46130.98501157408</v>
      </c>
      <c r="W1342" t="inlineStr">
        <is>
          <t>2026-Q2</t>
        </is>
      </c>
    </row>
    <row r="1343" ht="25.5" customHeight="1">
      <c r="A1343" t="inlineStr">
        <is>
          <t>调皮兔兔～哑光漆皮可爱兔兔耳朵小众手作配饰</t>
        </is>
      </c>
      <c r="B1343" t="inlineStr">
        <is>
          <t>__upload_recvh9P0bmM8le.jpg</t>
        </is>
      </c>
      <c r="C1343" s="2" t="str">
        <f>=HYPERLINK("https://xhslink.com/m/7aLopv0mFQm", "https://xhslink.com/m/7aLopv0mFQm")</f>
        <v>https://xhslink.com/m/7aLopv0mFQm</v>
      </c>
      <c r="D1343"/>
      <c r="E1343">
        <v>1439</v>
      </c>
      <c r="F1343">
        <v>62</v>
      </c>
      <c r="G1343">
        <v>59</v>
      </c>
      <c r="H1343">
        <v>300</v>
      </c>
      <c r="I1343" t="inlineStr">
        <is>
          <t>配饰</t>
        </is>
      </c>
      <c r="J1343" t="inlineStr">
        <is>
          <t>0.21</t>
        </is>
      </c>
      <c r="K1343"/>
      <c r="L1343" t="inlineStr">
        <is>
          <t>狩猎小喵手作的店</t>
        </is>
      </c>
      <c r="M1343">
        <v>7734</v>
      </c>
      <c r="N1343">
        <v>4.68</v>
      </c>
      <c r="O1343">
        <v>6524</v>
      </c>
      <c r="P1343" t="inlineStr">
        <is>
          <t>695bf285bb020d0001b9f441</t>
        </is>
      </c>
      <c r="Q1343"/>
      <c r="R1343" t="inlineStr">
        <is>
          <t>16周</t>
        </is>
      </c>
      <c r="S1343" t="inlineStr">
        <is>
          <t>0.19</t>
        </is>
      </c>
      <c r="T1343" t="inlineStr">
        <is>
          <t>运动潮玩</t>
        </is>
      </c>
      <c r="U1343" t="inlineStr">
        <is>
          <t>潮玩手办</t>
        </is>
      </c>
      <c r="V1343" s="3">
        <v>46130.98501157408</v>
      </c>
      <c r="W1343" t="inlineStr">
        <is>
          <t>2026-Q2</t>
        </is>
      </c>
    </row>
    <row r="1344" ht="25.5" customHeight="1">
      <c r="A1344" t="inlineStr">
        <is>
          <t>R家小腿袜压力袜薄款透气毛巾底跳绳羽毛球健身运动袜压力袜</t>
        </is>
      </c>
      <c r="B1344" t="inlineStr">
        <is>
          <t>__upload_recvh9P0bmbhqh.jpg</t>
        </is>
      </c>
      <c r="C1344" s="2" t="str">
        <f>=HYPERLINK("https://xhslink.com/m/8sSAbEm1h9Z", "https://xhslink.com/m/8sSAbEm1h9Z")</f>
        <v>https://xhslink.com/m/8sSAbEm1h9Z</v>
      </c>
      <c r="D1344"/>
      <c r="E1344">
        <v>1071</v>
      </c>
      <c r="F1344">
        <v>31.8</v>
      </c>
      <c r="G1344"/>
      <c r="H1344">
        <v>300</v>
      </c>
      <c r="I1344" t="inlineStr">
        <is>
          <t>袜子</t>
        </is>
      </c>
      <c r="J1344" t="inlineStr">
        <is>
          <t>0.28</t>
        </is>
      </c>
      <c r="K1344"/>
      <c r="L1344" t="inlineStr">
        <is>
          <t>R socks的店</t>
        </is>
      </c>
      <c r="M1344">
        <v>634</v>
      </c>
      <c r="N1344">
        <v>4.68</v>
      </c>
      <c r="O1344">
        <v>5511</v>
      </c>
      <c r="P1344" t="inlineStr">
        <is>
          <t>699e84f336330e0001a093a6</t>
        </is>
      </c>
      <c r="Q1344"/>
      <c r="R1344" t="inlineStr">
        <is>
          <t>16周</t>
        </is>
      </c>
      <c r="S1344" t="inlineStr">
        <is>
          <t>1.69</t>
        </is>
      </c>
      <c r="T1344" t="inlineStr">
        <is>
          <t>运动潮玩</t>
        </is>
      </c>
      <c r="U1344" t="inlineStr">
        <is>
          <t>运动户外装备</t>
        </is>
      </c>
      <c r="V1344" s="3">
        <v>46130.98501157408</v>
      </c>
      <c r="W1344" t="inlineStr">
        <is>
          <t>2026-Q2</t>
        </is>
      </c>
    </row>
    <row r="1345" ht="25.5" customHeight="1">
      <c r="A1345" t="inlineStr">
        <is>
          <t>145g奶皮子捏捏泥感慢回弹食品级硅胶</t>
        </is>
      </c>
      <c r="B1345" t="inlineStr">
        <is>
          <t>__upload_recvhfQmhqtuqJ.jpg</t>
        </is>
      </c>
      <c r="C1345" s="2" t="str">
        <f>=HYPERLINK("https://xhslink.com/m/9xMX12OsRAZ", "https://xhslink.com/m/9xMX12OsRAZ")</f>
        <v>https://xhslink.com/m/9xMX12OsRAZ</v>
      </c>
      <c r="D1345"/>
      <c r="E1345">
        <v>30000</v>
      </c>
      <c r="F1345">
        <v>6.9</v>
      </c>
      <c r="G1345"/>
      <c r="H1345">
        <v>300</v>
      </c>
      <c r="I1345" t="inlineStr">
        <is>
          <t>硅胶捏捏</t>
        </is>
      </c>
      <c r="J1345" t="inlineStr">
        <is>
          <t>0.01</t>
        </is>
      </c>
      <c r="K1345"/>
      <c r="L1345" t="inlineStr">
        <is>
          <t>蟹老板捏捏的店</t>
        </is>
      </c>
      <c r="M1345">
        <v>26000</v>
      </c>
      <c r="N1345">
        <v>4.47</v>
      </c>
      <c r="O1345">
        <v>169000</v>
      </c>
      <c r="P1345" t="inlineStr">
        <is>
          <t>69296438137a3b00013a977f</t>
        </is>
      </c>
      <c r="Q1345" t="inlineStr">
        <is>
          <t>🚫重复</t>
        </is>
      </c>
      <c r="R1345" t="inlineStr">
        <is>
          <t>17周</t>
        </is>
      </c>
      <c r="S1345" t="inlineStr">
        <is>
          <t>1.15</t>
        </is>
      </c>
      <c r="T1345" t="inlineStr">
        <is>
          <t>运动潮玩</t>
        </is>
      </c>
      <c r="U1345" t="inlineStr">
        <is>
          <t>潮玩手办</t>
        </is>
      </c>
      <c r="V1345" s="3">
        <v>46132.014918981484</v>
      </c>
      <c r="W1345" t="inlineStr">
        <is>
          <t>2026-Q2</t>
        </is>
      </c>
    </row>
    <row r="1346" ht="25.5" customHeight="1">
      <c r="A1346" t="inlineStr">
        <is>
          <t>山东羊角蜜甜瓜（博洋72号）酥脆清爽顺丰</t>
        </is>
      </c>
      <c r="B1346" t="inlineStr">
        <is>
          <t>__upload_recvhfQmhqaKgt.jpg</t>
        </is>
      </c>
      <c r="C1346" s="2" t="str">
        <f>=HYPERLINK("https://xhslink.com/m/2Bltneky62Y", "https://xhslink.com/m/2Bltneky62Y")</f>
        <v>https://xhslink.com/m/2Bltneky62Y</v>
      </c>
      <c r="D1346"/>
      <c r="E1346">
        <v>92000</v>
      </c>
      <c r="F1346">
        <v>46.8</v>
      </c>
      <c r="G1346">
        <v>36.8</v>
      </c>
      <c r="H1346">
        <v>300</v>
      </c>
      <c r="I1346" t="inlineStr">
        <is>
          <t>水果</t>
        </is>
      </c>
      <c r="J1346" t="inlineStr">
        <is>
          <t>0.00</t>
        </is>
      </c>
      <c r="K1346"/>
      <c r="L1346" t="inlineStr">
        <is>
          <t>农妈罗萍的店</t>
        </is>
      </c>
      <c r="M1346">
        <v>60000</v>
      </c>
      <c r="N1346">
        <v>4.66</v>
      </c>
      <c r="O1346">
        <v>619000</v>
      </c>
      <c r="P1346" t="inlineStr">
        <is>
          <t>69c51c6c0e4f020001982c53</t>
        </is>
      </c>
      <c r="Q1346" t="inlineStr">
        <is>
          <t>🚫重复</t>
        </is>
      </c>
      <c r="R1346" t="inlineStr">
        <is>
          <t>17周</t>
        </is>
      </c>
      <c r="S1346" t="inlineStr">
        <is>
          <t>1.53</t>
        </is>
      </c>
      <c r="T1346" t="inlineStr">
        <is>
          <t>美食滋补</t>
        </is>
      </c>
      <c r="U1346" t="inlineStr">
        <is>
          <t>生鲜特产</t>
        </is>
      </c>
      <c r="V1346" s="3">
        <v>46132.014918981484</v>
      </c>
      <c r="W1346" t="inlineStr">
        <is>
          <t>2026-Q2</t>
        </is>
      </c>
    </row>
    <row r="1347" ht="25.5" customHeight="1">
      <c r="A1347" t="inlineStr">
        <is>
          <t>现摘！红心牛奶木瓜自然树上熟新鲜水果当季现摘现发新鲜孕妇下奶</t>
        </is>
      </c>
      <c r="B1347" t="inlineStr">
        <is>
          <t>__upload_recvhfQmhqh70B.jpg</t>
        </is>
      </c>
      <c r="C1347" s="2" t="str">
        <f>=HYPERLINK("https://xhslink.com/m/A0wDMNNmmU7", "https://xhslink.com/m/A0wDMNNmmU7")</f>
        <v>https://xhslink.com/m/A0wDMNNmmU7</v>
      </c>
      <c r="D1347"/>
      <c r="E1347">
        <v>44000</v>
      </c>
      <c r="F1347">
        <v>43.9</v>
      </c>
      <c r="G1347">
        <v>29.9</v>
      </c>
      <c r="H1347">
        <v>300</v>
      </c>
      <c r="I1347" t="inlineStr">
        <is>
          <t>水果</t>
        </is>
      </c>
      <c r="J1347" t="inlineStr">
        <is>
          <t>0.01</t>
        </is>
      </c>
      <c r="K1347" t="inlineStr">
        <is>
          <t>🔥低粉爆款</t>
        </is>
      </c>
      <c r="L1347" t="inlineStr">
        <is>
          <t>小麦果记的店</t>
        </is>
      </c>
      <c r="M1347">
        <v>209</v>
      </c>
      <c r="N1347">
        <v>4.59</v>
      </c>
      <c r="O1347">
        <v>10000</v>
      </c>
      <c r="P1347" t="inlineStr">
        <is>
          <t>69c3ad6e7c9c8f0001b14ca8</t>
        </is>
      </c>
      <c r="Q1347"/>
      <c r="R1347" t="inlineStr">
        <is>
          <t>17周</t>
        </is>
      </c>
      <c r="S1347" t="inlineStr">
        <is>
          <t>210.53</t>
        </is>
      </c>
      <c r="T1347" t="inlineStr">
        <is>
          <t>美食滋补</t>
        </is>
      </c>
      <c r="U1347" t="inlineStr">
        <is>
          <t>酒水冲饮</t>
        </is>
      </c>
      <c r="V1347" s="3">
        <v>46132.014918981484</v>
      </c>
      <c r="W1347" t="inlineStr">
        <is>
          <t>2026-Q2</t>
        </is>
      </c>
    </row>
    <row r="1348" ht="25.5" customHeight="1">
      <c r="A1348" t="inlineStr">
        <is>
          <t>海南金煌芒甜芒果热带水果当季生熟两吃变黄食用更甜</t>
        </is>
      </c>
      <c r="B1348" t="inlineStr">
        <is>
          <t>__upload_recvhfQmhqZ7Ik.jpg</t>
        </is>
      </c>
      <c r="C1348" s="2" t="str">
        <f>=HYPERLINK("https://xhslink.com/m/4xMr6Lpn0tw", "https://xhslink.com/m/4xMr6Lpn0tw")</f>
        <v>https://xhslink.com/m/4xMr6Lpn0tw</v>
      </c>
      <c r="D1348"/>
      <c r="E1348">
        <v>258000</v>
      </c>
      <c r="F1348">
        <v>22.8</v>
      </c>
      <c r="G1348">
        <v>12.8</v>
      </c>
      <c r="H1348">
        <v>300</v>
      </c>
      <c r="I1348" t="inlineStr">
        <is>
          <t>水果</t>
        </is>
      </c>
      <c r="J1348" t="inlineStr">
        <is>
          <t>0.00</t>
        </is>
      </c>
      <c r="K1348" t="inlineStr">
        <is>
          <t>🔥低粉爆款</t>
        </is>
      </c>
      <c r="L1348" t="inlineStr">
        <is>
          <t>昕昕水果园的店</t>
        </is>
      </c>
      <c r="M1348">
        <v>23000</v>
      </c>
      <c r="N1348">
        <v>4.5</v>
      </c>
      <c r="O1348">
        <v>291000</v>
      </c>
      <c r="P1348" t="inlineStr">
        <is>
          <t>69db3a9b747e97000195119e</t>
        </is>
      </c>
      <c r="Q1348" t="inlineStr">
        <is>
          <t>🚫重复</t>
        </is>
      </c>
      <c r="R1348" t="inlineStr">
        <is>
          <t>17周</t>
        </is>
      </c>
      <c r="S1348" t="inlineStr">
        <is>
          <t>11.22</t>
        </is>
      </c>
      <c r="T1348" t="inlineStr">
        <is>
          <t>美食滋补</t>
        </is>
      </c>
      <c r="U1348" t="inlineStr">
        <is>
          <t>生鲜特产</t>
        </is>
      </c>
      <c r="V1348" s="3">
        <v>46132.014918981484</v>
      </c>
      <c r="W1348" t="inlineStr">
        <is>
          <t>2026-Q2</t>
        </is>
      </c>
    </row>
    <row r="1349" ht="25.5" customHeight="1">
      <c r="A1349" t="inlineStr">
        <is>
          <t>皮卡Pika【西装】百褶半身裙女春夏高腰显瘦a字裙小个子百搭长裙</t>
        </is>
      </c>
      <c r="B1349" t="inlineStr">
        <is>
          <t>__upload_recvhfQmhqtbaD.jpg</t>
        </is>
      </c>
      <c r="C1349" s="2" t="str">
        <f>=HYPERLINK("https://xhslink.com/m/39L2S5vtIIu", "https://xhslink.com/m/39L2S5vtIIu")</f>
        <v>https://xhslink.com/m/39L2S5vtIIu</v>
      </c>
      <c r="D1349"/>
      <c r="E1349">
        <v>73000</v>
      </c>
      <c r="F1349">
        <v>79</v>
      </c>
      <c r="G1349"/>
      <c r="H1349">
        <v>300</v>
      </c>
      <c r="I1349" t="inlineStr">
        <is>
          <t>半身裙</t>
        </is>
      </c>
      <c r="J1349" t="inlineStr">
        <is>
          <t>0.00</t>
        </is>
      </c>
      <c r="K1349"/>
      <c r="L1349" t="inlineStr">
        <is>
          <t>皮老板生意兴隆哦的店</t>
        </is>
      </c>
      <c r="M1349">
        <v>64000</v>
      </c>
      <c r="N1349">
        <v>4.69</v>
      </c>
      <c r="O1349">
        <v>426000</v>
      </c>
      <c r="P1349" t="inlineStr">
        <is>
          <t>65f508bc5c4d1000017630f6</t>
        </is>
      </c>
      <c r="Q1349" t="inlineStr">
        <is>
          <t>🚫重复</t>
        </is>
      </c>
      <c r="R1349" t="inlineStr">
        <is>
          <t>17周</t>
        </is>
      </c>
      <c r="S1349" t="inlineStr">
        <is>
          <t>1.14</t>
        </is>
      </c>
      <c r="T1349" t="inlineStr">
        <is>
          <t>服饰穿搭</t>
        </is>
      </c>
      <c r="U1349" t="inlineStr">
        <is>
          <t>女装</t>
        </is>
      </c>
      <c r="V1349" s="3">
        <v>46132.014918981484</v>
      </c>
      <c r="W1349" t="inlineStr">
        <is>
          <t>2026-Q2</t>
        </is>
      </c>
    </row>
    <row r="1350" ht="25.5" customHeight="1">
      <c r="A1350" t="inlineStr">
        <is>
          <t>春夏新款碎花高腰显瘦A字半身裙女薄款百搭仙女气质纱裙大码女</t>
        </is>
      </c>
      <c r="B1350" t="inlineStr">
        <is>
          <t>__upload_recvhfQmhqGVPO.jpg</t>
        </is>
      </c>
      <c r="C1350" s="2" t="str">
        <f>=HYPERLINK("https://xhslink.com/m/8NITr0rnNSB", "https://xhslink.com/m/8NITr0rnNSB")</f>
        <v>https://xhslink.com/m/8NITr0rnNSB</v>
      </c>
      <c r="D1350"/>
      <c r="E1350">
        <v>3281</v>
      </c>
      <c r="F1350">
        <v>99</v>
      </c>
      <c r="G1350"/>
      <c r="H1350">
        <v>300</v>
      </c>
      <c r="I1350" t="inlineStr">
        <is>
          <t>半身裙</t>
        </is>
      </c>
      <c r="J1350" t="inlineStr">
        <is>
          <t>0.09</t>
        </is>
      </c>
      <c r="K1350"/>
      <c r="L1350" t="inlineStr">
        <is>
          <t>夕文的店</t>
        </is>
      </c>
      <c r="M1350">
        <v>59000</v>
      </c>
      <c r="N1350">
        <v>4.64</v>
      </c>
      <c r="O1350">
        <v>295000</v>
      </c>
      <c r="P1350" t="inlineStr">
        <is>
          <t>69c14663ec666400014d1ab6</t>
        </is>
      </c>
      <c r="Q1350" t="inlineStr">
        <is>
          <t>🚫重复</t>
        </is>
      </c>
      <c r="R1350" t="inlineStr">
        <is>
          <t>17周</t>
        </is>
      </c>
      <c r="S1350" t="inlineStr">
        <is>
          <t>0.06</t>
        </is>
      </c>
      <c r="T1350" t="inlineStr">
        <is>
          <t>服饰穿搭</t>
        </is>
      </c>
      <c r="U1350" t="inlineStr">
        <is>
          <t>女装</t>
        </is>
      </c>
      <c r="V1350" s="3">
        <v>46132.014918981484</v>
      </c>
      <c r="W1350" t="inlineStr">
        <is>
          <t>2026-Q2</t>
        </is>
      </c>
    </row>
    <row r="1351" ht="25.5" customHeight="1">
      <c r="A1351" t="inlineStr">
        <is>
          <t>QSSD【39.9自选2个】魔芋蛋糕无面粉无蔗糖燕麦奶酱伪酱多多控糖</t>
        </is>
      </c>
      <c r="B1351" t="inlineStr">
        <is>
          <t>__upload_recvhfQmhqt5D1.jpg</t>
        </is>
      </c>
      <c r="C1351" s="2" t="str">
        <f>=HYPERLINK("https://xhslink.com/m/ApkrOgZZsh6", "https://xhslink.com/m/ApkrOgZZsh6")</f>
        <v>https://xhslink.com/m/ApkrOgZZsh6</v>
      </c>
      <c r="D1351"/>
      <c r="E1351">
        <v>24000</v>
      </c>
      <c r="F1351">
        <v>69.9</v>
      </c>
      <c r="G1351">
        <v>39.9</v>
      </c>
      <c r="H1351">
        <v>300</v>
      </c>
      <c r="I1351" t="inlineStr">
        <is>
          <t>甜品</t>
        </is>
      </c>
      <c r="J1351" t="inlineStr">
        <is>
          <t>0.01</t>
        </is>
      </c>
      <c r="K1351"/>
      <c r="L1351" t="inlineStr">
        <is>
          <t>QSSD烘焙的店</t>
        </is>
      </c>
      <c r="M1351">
        <v>54000</v>
      </c>
      <c r="N1351">
        <v>4.72</v>
      </c>
      <c r="O1351">
        <v>201000</v>
      </c>
      <c r="P1351" t="inlineStr">
        <is>
          <t>69b10d6e2be6440001f47f73</t>
        </is>
      </c>
      <c r="Q1351" t="inlineStr">
        <is>
          <t>🚫重复</t>
        </is>
      </c>
      <c r="R1351" t="inlineStr">
        <is>
          <t>17周</t>
        </is>
      </c>
      <c r="S1351" t="inlineStr">
        <is>
          <t>0.44</t>
        </is>
      </c>
      <c r="T1351" t="inlineStr">
        <is>
          <t>美食滋补</t>
        </is>
      </c>
      <c r="U1351" t="inlineStr">
        <is>
          <t>休闲零食</t>
        </is>
      </c>
      <c r="V1351" s="3">
        <v>46132.014918981484</v>
      </c>
      <c r="W1351" t="inlineStr">
        <is>
          <t>2026-Q2</t>
        </is>
      </c>
    </row>
    <row r="1352" ht="25.5" customHeight="1">
      <c r="A1352" t="inlineStr">
        <is>
          <t>【新店福利】天然水晶黄水晶黄塔晶手串素串送闺蜜朋友礼物8-12mm</t>
        </is>
      </c>
      <c r="B1352" t="inlineStr">
        <is>
          <t>__upload_recvhfQmhqpJiX.jpg</t>
        </is>
      </c>
      <c r="C1352" s="2" t="str">
        <f>=HYPERLINK("https://xhslink.com/m/6AYb55VbkDD", "https://xhslink.com/m/6AYb55VbkDD")</f>
        <v>https://xhslink.com/m/6AYb55VbkDD</v>
      </c>
      <c r="D1352"/>
      <c r="E1352">
        <v>9274</v>
      </c>
      <c r="F1352">
        <v>118</v>
      </c>
      <c r="G1352">
        <v>57</v>
      </c>
      <c r="H1352">
        <v>300</v>
      </c>
      <c r="I1352" t="inlineStr">
        <is>
          <t>手链项链</t>
        </is>
      </c>
      <c r="J1352" t="inlineStr">
        <is>
          <t>0.03</t>
        </is>
      </c>
      <c r="K1352" t="inlineStr">
        <is>
          <t>🔥低粉爆款</t>
        </is>
      </c>
      <c r="L1352" t="inlineStr">
        <is>
          <t>有晶喜水晶的店</t>
        </is>
      </c>
      <c r="M1352">
        <v>2920</v>
      </c>
      <c r="N1352">
        <v>4.48</v>
      </c>
      <c r="O1352">
        <v>14000</v>
      </c>
      <c r="P1352" t="inlineStr">
        <is>
          <t>687b9d776d60540001b1b80f</t>
        </is>
      </c>
      <c r="Q1352" t="inlineStr">
        <is>
          <t>🚫重复</t>
        </is>
      </c>
      <c r="R1352" t="inlineStr">
        <is>
          <t>17周</t>
        </is>
      </c>
      <c r="S1352" t="inlineStr">
        <is>
          <t>3.18</t>
        </is>
      </c>
      <c r="T1352" t="inlineStr">
        <is>
          <t>服饰穿搭</t>
        </is>
      </c>
      <c r="U1352" t="inlineStr">
        <is>
          <t>配饰</t>
        </is>
      </c>
      <c r="V1352" s="3">
        <v>46132.014918981484</v>
      </c>
      <c r="W1352" t="inlineStr">
        <is>
          <t>2026-Q2</t>
        </is>
      </c>
    </row>
    <row r="1353" ht="25.5" customHeight="1">
      <c r="A1353" t="inlineStr">
        <is>
          <t>FANCI范琦 · 蓝眼泪项链925银轻奢小众高级感情人节新年生日礼物送女朋友闺蜜</t>
        </is>
      </c>
      <c r="B1353" t="inlineStr">
        <is>
          <t>__upload_recvhfQmhqpIBc.jpg</t>
        </is>
      </c>
      <c r="C1353" s="2" t="str">
        <f>=HYPERLINK("https://xhslink.com/m/IPQGLsR6kA", "https://xhslink.com/m/IPQGLsR6kA")</f>
        <v>https://xhslink.com/m/IPQGLsR6kA</v>
      </c>
      <c r="D1353"/>
      <c r="E1353">
        <v>1262</v>
      </c>
      <c r="F1353">
        <v>152</v>
      </c>
      <c r="G1353">
        <v>52</v>
      </c>
      <c r="H1353">
        <v>300</v>
      </c>
      <c r="I1353" t="inlineStr">
        <is>
          <t>手链项链</t>
        </is>
      </c>
      <c r="J1353" t="inlineStr">
        <is>
          <t>0.24</t>
        </is>
      </c>
      <c r="K1353"/>
      <c r="L1353" t="inlineStr">
        <is>
          <t>FANC1范绮饰品的优选店的店</t>
        </is>
      </c>
      <c r="M1353">
        <v>432</v>
      </c>
      <c r="N1353">
        <v>4.31</v>
      </c>
      <c r="O1353">
        <v>3619</v>
      </c>
      <c r="P1353" t="inlineStr">
        <is>
          <t>69a90dcf0635fd00017a387f</t>
        </is>
      </c>
      <c r="Q1353"/>
      <c r="R1353" t="inlineStr">
        <is>
          <t>17周</t>
        </is>
      </c>
      <c r="S1353" t="inlineStr">
        <is>
          <t>2.92</t>
        </is>
      </c>
      <c r="T1353" t="inlineStr">
        <is>
          <t>服饰穿搭</t>
        </is>
      </c>
      <c r="U1353" t="inlineStr">
        <is>
          <t>配饰</t>
        </is>
      </c>
      <c r="V1353" s="3">
        <v>46132.014918981484</v>
      </c>
      <c r="W1353" t="inlineStr">
        <is>
          <t>2026-Q2</t>
        </is>
      </c>
    </row>
    <row r="1354" ht="25.5" customHeight="1">
      <c r="A1354" t="inlineStr">
        <is>
          <t>氧默 · 黑麦全麦面包整箱吐司代餐饱腹无添蔗糖精粗粮主食脂健康早餐食品</t>
        </is>
      </c>
      <c r="B1354" t="inlineStr">
        <is>
          <t>__upload_recvhfQmhq04ES.jpg</t>
        </is>
      </c>
      <c r="C1354" s="2" t="str">
        <f>=HYPERLINK("https://xhslink.com/m/6XiaVL4FCGm", "https://xhslink.com/m/6XiaVL4FCGm")</f>
        <v>https://xhslink.com/m/6XiaVL4FCGm</v>
      </c>
      <c r="D1354"/>
      <c r="E1354">
        <v>109000</v>
      </c>
      <c r="F1354">
        <v>9.9</v>
      </c>
      <c r="G1354"/>
      <c r="H1354">
        <v>300</v>
      </c>
      <c r="I1354" t="inlineStr">
        <is>
          <t>早餐食品</t>
        </is>
      </c>
      <c r="J1354" t="inlineStr">
        <is>
          <t>0.00</t>
        </is>
      </c>
      <c r="K1354" t="inlineStr">
        <is>
          <t>🔥低粉爆款</t>
        </is>
      </c>
      <c r="L1354" t="inlineStr">
        <is>
          <t>氧默旗舰店</t>
        </is>
      </c>
      <c r="M1354">
        <v>26000</v>
      </c>
      <c r="N1354">
        <v>4.56</v>
      </c>
      <c r="O1354">
        <v>267000</v>
      </c>
      <c r="P1354" t="inlineStr">
        <is>
          <t>63fbfa65774c400001762cdd</t>
        </is>
      </c>
      <c r="Q1354" t="inlineStr">
        <is>
          <t>🚫重复</t>
        </is>
      </c>
      <c r="R1354" t="inlineStr">
        <is>
          <t>17周</t>
        </is>
      </c>
      <c r="S1354" t="inlineStr">
        <is>
          <t>4.19</t>
        </is>
      </c>
      <c r="T1354" t="inlineStr">
        <is>
          <t>美食滋补</t>
        </is>
      </c>
      <c r="U1354" t="inlineStr">
        <is>
          <t>休闲零食</t>
        </is>
      </c>
      <c r="V1354" s="3">
        <v>46132.014918981484</v>
      </c>
      <c r="W1354" t="inlineStr">
        <is>
          <t>2026-Q2</t>
        </is>
      </c>
    </row>
    <row r="1355" ht="25.5" customHeight="1">
      <c r="A1355" t="inlineStr">
        <is>
          <t>【到手4包】魔芋凉面开袋即食免煮方便食品凉拌低脂宵夜零食</t>
        </is>
      </c>
      <c r="B1355" t="inlineStr">
        <is>
          <t>__upload_recvhfQmhqJBPS.jpg</t>
        </is>
      </c>
      <c r="C1355" s="2" t="str">
        <f>=HYPERLINK("https://xhslink.com/m/A9mLtDCy3Tu", "https://xhslink.com/m/A9mLtDCy3Tu")</f>
        <v>https://xhslink.com/m/A9mLtDCy3Tu</v>
      </c>
      <c r="D1355"/>
      <c r="E1355">
        <v>40000</v>
      </c>
      <c r="F1355">
        <v>12.9</v>
      </c>
      <c r="G1355"/>
      <c r="H1355">
        <v>300</v>
      </c>
      <c r="I1355" t="inlineStr">
        <is>
          <t>早餐食品</t>
        </is>
      </c>
      <c r="J1355" t="inlineStr">
        <is>
          <t>0.01</t>
        </is>
      </c>
      <c r="K1355" t="inlineStr">
        <is>
          <t>🔥低粉爆款</t>
        </is>
      </c>
      <c r="L1355" t="inlineStr">
        <is>
          <t>安晓安低卡轻饮食的店</t>
        </is>
      </c>
      <c r="M1355">
        <v>1441</v>
      </c>
      <c r="N1355">
        <v>4.36</v>
      </c>
      <c r="O1355">
        <v>45000</v>
      </c>
      <c r="P1355" t="inlineStr">
        <is>
          <t>688313a6619a8900158e762e</t>
        </is>
      </c>
      <c r="Q1355" t="inlineStr">
        <is>
          <t>🚫重复</t>
        </is>
      </c>
      <c r="R1355" t="inlineStr">
        <is>
          <t>17周</t>
        </is>
      </c>
      <c r="S1355" t="inlineStr">
        <is>
          <t>27.76</t>
        </is>
      </c>
      <c r="T1355" t="inlineStr">
        <is>
          <t>美食滋补</t>
        </is>
      </c>
      <c r="U1355" t="inlineStr">
        <is>
          <t>休闲零食</t>
        </is>
      </c>
      <c r="V1355" s="3">
        <v>46132.014918981484</v>
      </c>
      <c r="W1355" t="inlineStr">
        <is>
          <t>2026-Q2</t>
        </is>
      </c>
    </row>
    <row r="1356" ht="25.5" customHeight="1">
      <c r="A1356" t="inlineStr">
        <is>
          <t>【纯手工】潮汕惠来鱼册鱼皮饺虾饺 手工饺子 低脂火锅食材涮火锅</t>
        </is>
      </c>
      <c r="B1356" t="inlineStr">
        <is>
          <t>__upload_recvhfQmhqRCPw.jpg</t>
        </is>
      </c>
      <c r="C1356" s="2" t="str">
        <f>=HYPERLINK("https://xhslink.com/m/7fd4KU1KP74", "https://xhslink.com/m/7fd4KU1KP74")</f>
        <v>https://xhslink.com/m/7fd4KU1KP74</v>
      </c>
      <c r="D1356"/>
      <c r="E1356">
        <v>10000</v>
      </c>
      <c r="F1356">
        <v>69.9</v>
      </c>
      <c r="G1356"/>
      <c r="H1356">
        <v>300</v>
      </c>
      <c r="I1356" t="inlineStr">
        <is>
          <t>早餐食品</t>
        </is>
      </c>
      <c r="J1356" t="inlineStr">
        <is>
          <t>0.03</t>
        </is>
      </c>
      <c r="K1356" t="inlineStr">
        <is>
          <t>🔥低粉爆款</t>
        </is>
      </c>
      <c r="L1356" t="inlineStr">
        <is>
          <t>渔民得吃的店</t>
        </is>
      </c>
      <c r="M1356">
        <v>2238</v>
      </c>
      <c r="N1356">
        <v>4.6</v>
      </c>
      <c r="O1356">
        <v>15000</v>
      </c>
      <c r="P1356" t="inlineStr">
        <is>
          <t>68b51a650c85cc0001b81e98</t>
        </is>
      </c>
      <c r="Q1356"/>
      <c r="R1356" t="inlineStr">
        <is>
          <t>17周</t>
        </is>
      </c>
      <c r="S1356" t="inlineStr">
        <is>
          <t>4.47</t>
        </is>
      </c>
      <c r="T1356" t="inlineStr">
        <is>
          <t>美食滋补</t>
        </is>
      </c>
      <c r="U1356" t="inlineStr">
        <is>
          <t>休闲零食</t>
        </is>
      </c>
      <c r="V1356" s="3">
        <v>46132.014918981484</v>
      </c>
      <c r="W1356" t="inlineStr">
        <is>
          <t>2026-Q2</t>
        </is>
      </c>
    </row>
    <row r="1357" ht="25.5" customHeight="1">
      <c r="A1357" t="inlineStr">
        <is>
          <t>低脂鸡肉薄皮肉燕小馄饨轻食健身鸡胸肉扁食云吞早餐半成品低卡</t>
        </is>
      </c>
      <c r="B1357" t="inlineStr">
        <is>
          <t>__upload_recvhfQmhqAgqN.jpg</t>
        </is>
      </c>
      <c r="C1357" s="2" t="str">
        <f>=HYPERLINK("https://xhslink.com/m/7xloqJ3ZquG", "https://xhslink.com/m/7xloqJ3ZquG")</f>
        <v>https://xhslink.com/m/7xloqJ3ZquG</v>
      </c>
      <c r="D1357"/>
      <c r="E1357">
        <v>29000</v>
      </c>
      <c r="F1357">
        <v>39.9</v>
      </c>
      <c r="G1357"/>
      <c r="H1357">
        <v>300</v>
      </c>
      <c r="I1357" t="inlineStr">
        <is>
          <t>早餐食品</t>
        </is>
      </c>
      <c r="J1357" t="inlineStr">
        <is>
          <t>0.01</t>
        </is>
      </c>
      <c r="K1357" t="inlineStr">
        <is>
          <t>🔥低粉爆款</t>
        </is>
      </c>
      <c r="L1357" t="inlineStr">
        <is>
          <t>开心饼干（低卡轻食版）的店</t>
        </is>
      </c>
      <c r="M1357">
        <v>1485</v>
      </c>
      <c r="N1357">
        <v>4.58</v>
      </c>
      <c r="O1357">
        <v>30000</v>
      </c>
      <c r="P1357" t="inlineStr">
        <is>
          <t>67c6d8394a59360001a24fef</t>
        </is>
      </c>
      <c r="Q1357" t="inlineStr">
        <is>
          <t>🚫重复</t>
        </is>
      </c>
      <c r="R1357" t="inlineStr">
        <is>
          <t>17周</t>
        </is>
      </c>
      <c r="S1357" t="inlineStr">
        <is>
          <t>19.53</t>
        </is>
      </c>
      <c r="T1357" t="inlineStr">
        <is>
          <t>美食滋补</t>
        </is>
      </c>
      <c r="U1357" t="inlineStr">
        <is>
          <t>休闲零食</t>
        </is>
      </c>
      <c r="V1357" s="3">
        <v>46132.014918981484</v>
      </c>
      <c r="W1357" t="inlineStr">
        <is>
          <t>2026-Q2</t>
        </is>
      </c>
    </row>
    <row r="1358" ht="25.5" customHeight="1">
      <c r="A1358" t="inlineStr">
        <is>
          <t>INTOYOU · 【联名新品】双头多用釉腮红高光二合一便携膨胀修容氛围新手必备</t>
        </is>
      </c>
      <c r="B1358" t="inlineStr">
        <is>
          <t>__upload_recvhfQmhqzPCx.jpg</t>
        </is>
      </c>
      <c r="C1358" s="2" t="str">
        <f>=HYPERLINK("https://xhslink.com/m/As5Lrn9xQ3J", "https://xhslink.com/m/As5Lrn9xQ3J")</f>
        <v>https://xhslink.com/m/As5Lrn9xQ3J</v>
      </c>
      <c r="D1358"/>
      <c r="E1358">
        <v>7241</v>
      </c>
      <c r="F1358">
        <v>80</v>
      </c>
      <c r="G1358">
        <v>59</v>
      </c>
      <c r="H1358">
        <v>300</v>
      </c>
      <c r="I1358" t="inlineStr">
        <is>
          <t>美妆</t>
        </is>
      </c>
      <c r="J1358" t="inlineStr">
        <is>
          <t>0.04</t>
        </is>
      </c>
      <c r="K1358"/>
      <c r="L1358" t="inlineStr">
        <is>
          <t>INTO YOU心慕与你旗舰店</t>
        </is>
      </c>
      <c r="M1358">
        <v>276000</v>
      </c>
      <c r="N1358">
        <v>4.77</v>
      </c>
      <c r="O1358">
        <v>1461000</v>
      </c>
      <c r="P1358" t="inlineStr">
        <is>
          <t>69130afee302360001c6cf20</t>
        </is>
      </c>
      <c r="Q1358" t="inlineStr">
        <is>
          <t>🚫重复</t>
        </is>
      </c>
      <c r="R1358" t="inlineStr">
        <is>
          <t>17周</t>
        </is>
      </c>
      <c r="S1358" t="inlineStr">
        <is>
          <t>0.03</t>
        </is>
      </c>
      <c r="T1358" t="inlineStr">
        <is>
          <t>美妆个护</t>
        </is>
      </c>
      <c r="U1358" t="inlineStr">
        <is>
          <t>护肤彩妆</t>
        </is>
      </c>
      <c r="V1358" s="3">
        <v>46132.014918981484</v>
      </c>
      <c r="W1358" t="inlineStr">
        <is>
          <t>2026-Q2</t>
        </is>
      </c>
    </row>
    <row r="1359" ht="25.5" customHeight="1">
      <c r="A1359" t="inlineStr">
        <is>
          <t>DE'LANCI · 「2件9折 4件8.5折送盘」自组偏光爆闪眼影盘紫色绿色系金属高闪</t>
        </is>
      </c>
      <c r="B1359" t="inlineStr">
        <is>
          <t>__upload_recvhfQmhqP13c.jpg</t>
        </is>
      </c>
      <c r="C1359" s="2" t="str">
        <f>=HYPERLINK("https://xhslink.com/m/63Vfh9reYOq", "https://xhslink.com/m/63Vfh9reYOq")</f>
        <v>https://xhslink.com/m/63Vfh9reYOq</v>
      </c>
      <c r="D1359"/>
      <c r="E1359">
        <v>29000</v>
      </c>
      <c r="F1359">
        <v>24</v>
      </c>
      <c r="G1359"/>
      <c r="H1359">
        <v>300</v>
      </c>
      <c r="I1359" t="inlineStr">
        <is>
          <t>美妆</t>
        </is>
      </c>
      <c r="J1359" t="inlineStr">
        <is>
          <t>0.01</t>
        </is>
      </c>
      <c r="K1359"/>
      <c r="L1359" t="inlineStr">
        <is>
          <t>DE'LANCI美妆旗舰店</t>
        </is>
      </c>
      <c r="M1359">
        <v>37000</v>
      </c>
      <c r="N1359">
        <v>4.69</v>
      </c>
      <c r="O1359">
        <v>45000</v>
      </c>
      <c r="P1359" t="inlineStr">
        <is>
          <t>678dcd82f4d657000177faad</t>
        </is>
      </c>
      <c r="Q1359" t="inlineStr">
        <is>
          <t>🚫重复</t>
        </is>
      </c>
      <c r="R1359" t="inlineStr">
        <is>
          <t>17周</t>
        </is>
      </c>
      <c r="S1359" t="inlineStr">
        <is>
          <t>0.78</t>
        </is>
      </c>
      <c r="T1359" t="inlineStr">
        <is>
          <t>美妆个护</t>
        </is>
      </c>
      <c r="U1359" t="inlineStr">
        <is>
          <t>护肤彩妆</t>
        </is>
      </c>
      <c r="V1359" s="3">
        <v>46132.014918981484</v>
      </c>
      <c r="W1359" t="inlineStr">
        <is>
          <t>2026-Q2</t>
        </is>
      </c>
    </row>
    <row r="1360" ht="25.5" customHeight="1">
      <c r="A1360" t="inlineStr">
        <is>
          <t>2026升级版！经典九分直筒牛仔裤</t>
        </is>
      </c>
      <c r="B1360" t="inlineStr">
        <is>
          <t>recvcB48ezGEvS.jpg</t>
        </is>
      </c>
      <c r="C1360" s="2" t="str">
        <f>=HYPERLINK("https://xhslink.com/m/8lsUyVMnZj1", "https://xhslink.com/m/8lsUyVMnZj1")</f>
        <v>https://xhslink.com/m/8lsUyVMnZj1</v>
      </c>
      <c r="D1360"/>
      <c r="E1360">
        <v>12000</v>
      </c>
      <c r="F1360">
        <v>388</v>
      </c>
      <c r="G1360"/>
      <c r="H1360">
        <v>200</v>
      </c>
      <c r="I1360" t="inlineStr">
        <is>
          <t>牛仔裤</t>
        </is>
      </c>
      <c r="J1360" t="inlineStr">
        <is>
          <t>0.02</t>
        </is>
      </c>
      <c r="K1360"/>
      <c r="L1360" t="inlineStr">
        <is>
          <t>高坂大叔的店</t>
        </is>
      </c>
      <c r="M1360">
        <v>110000</v>
      </c>
      <c r="N1360">
        <v>4.77</v>
      </c>
      <c r="O1360">
        <v>402000</v>
      </c>
      <c r="P1360" t="inlineStr">
        <is>
          <t>6854c3efd67cc200010faa5d</t>
        </is>
      </c>
      <c r="Q1360" t="inlineStr">
        <is>
          <t>🚫重复</t>
        </is>
      </c>
      <c r="R1360" t="inlineStr">
        <is>
          <t>14周</t>
        </is>
      </c>
      <c r="S1360" t="inlineStr">
        <is>
          <t>0.11</t>
        </is>
      </c>
      <c r="T1360" t="inlineStr">
        <is>
          <t>服饰穿搭</t>
        </is>
      </c>
      <c r="U1360" t="inlineStr">
        <is>
          <t>女装</t>
        </is>
      </c>
      <c r="V1360" s="3">
        <v>46112.78107638889</v>
      </c>
      <c r="W1360" t="inlineStr">
        <is>
          <t>2026-Q1</t>
        </is>
      </c>
    </row>
    <row r="1361" ht="25.5" customHeight="1">
      <c r="A1361" t="inlineStr">
        <is>
          <t>鸽子的衣橱 · 黑玫瑰|高级感|缎面黑色宽松长袖衬衫女秋季通勤显瘦轻奢百搭上衣</t>
        </is>
      </c>
      <c r="B1361" t="inlineStr">
        <is>
          <t>recvcB48ezFW6f.jpg</t>
        </is>
      </c>
      <c r="C1361" s="2" t="str">
        <f>=HYPERLINK("https://xhslink.com/m/1AywuXtwEZ4", "https://xhslink.com/m/1AywuXtwEZ4")</f>
        <v>https://xhslink.com/m/1AywuXtwEZ4</v>
      </c>
      <c r="D1361"/>
      <c r="E1361">
        <v>10000</v>
      </c>
      <c r="F1361">
        <v>179</v>
      </c>
      <c r="G1361"/>
      <c r="H1361">
        <v>200</v>
      </c>
      <c r="I1361" t="inlineStr">
        <is>
          <t>衬衫</t>
        </is>
      </c>
      <c r="J1361" t="inlineStr">
        <is>
          <t>0.02</t>
        </is>
      </c>
      <c r="K1361"/>
      <c r="L1361" t="inlineStr">
        <is>
          <t>鸽子SHOP的店</t>
        </is>
      </c>
      <c r="M1361">
        <v>21000</v>
      </c>
      <c r="N1361">
        <v>4.63</v>
      </c>
      <c r="O1361">
        <v>36000</v>
      </c>
      <c r="P1361" t="inlineStr">
        <is>
          <t>66f7a7a84ae187000148bcec</t>
        </is>
      </c>
      <c r="Q1361"/>
      <c r="R1361" t="inlineStr">
        <is>
          <t>14周</t>
        </is>
      </c>
      <c r="S1361" t="inlineStr">
        <is>
          <t>0.48</t>
        </is>
      </c>
      <c r="T1361" t="inlineStr">
        <is>
          <t>服饰穿搭</t>
        </is>
      </c>
      <c r="U1361" t="inlineStr">
        <is>
          <t>女装</t>
        </is>
      </c>
      <c r="V1361" s="3">
        <v>46112.78107638889</v>
      </c>
      <c r="W1361" t="inlineStr">
        <is>
          <t>2026-Q1</t>
        </is>
      </c>
    </row>
    <row r="1362" ht="25.5" customHeight="1">
      <c r="A1362" t="inlineStr">
        <is>
          <t>倾曼雅 · 美式运动裤女秋冬新款中腰休闲宽松阔腿卫裤直筒显瘦休闲裤</t>
        </is>
      </c>
      <c r="B1362" t="inlineStr">
        <is>
          <t>recvcB48ezpC6f.jpg</t>
        </is>
      </c>
      <c r="C1362" s="2" t="str">
        <f>=HYPERLINK("https://xhslink.com/m/AaZULU3IGc4", "https://xhslink.com/m/AaZULU3IGc4")</f>
        <v>https://xhslink.com/m/AaZULU3IGc4</v>
      </c>
      <c r="D1362"/>
      <c r="E1362">
        <v>174000</v>
      </c>
      <c r="F1362">
        <v>79.9</v>
      </c>
      <c r="G1362"/>
      <c r="H1362">
        <v>200</v>
      </c>
      <c r="I1362" t="inlineStr">
        <is>
          <t>休闲裤</t>
        </is>
      </c>
      <c r="J1362" t="inlineStr">
        <is>
          <t>0.00</t>
        </is>
      </c>
      <c r="K1362"/>
      <c r="L1362" t="inlineStr">
        <is>
          <t>小鹅学姐穿搭的店的店</t>
        </is>
      </c>
      <c r="M1362">
        <v>229000</v>
      </c>
      <c r="N1362">
        <v>4.39</v>
      </c>
      <c r="O1362">
        <v>1448000</v>
      </c>
      <c r="P1362" t="inlineStr">
        <is>
          <t>652b656325e9bc00010d946c</t>
        </is>
      </c>
      <c r="Q1362" t="inlineStr">
        <is>
          <t>🚫重复</t>
        </is>
      </c>
      <c r="R1362" t="inlineStr">
        <is>
          <t>14周</t>
        </is>
      </c>
      <c r="S1362" t="inlineStr">
        <is>
          <t>0.76</t>
        </is>
      </c>
      <c r="T1362" t="inlineStr">
        <is>
          <t>服饰穿搭</t>
        </is>
      </c>
      <c r="U1362" t="inlineStr">
        <is>
          <t>女装</t>
        </is>
      </c>
      <c r="V1362" s="3">
        <v>46112.78107638889</v>
      </c>
      <c r="W1362" t="inlineStr">
        <is>
          <t>2026-Q1</t>
        </is>
      </c>
    </row>
    <row r="1363" ht="25.5" customHeight="1">
      <c r="A1363" t="inlineStr">
        <is>
          <t>显瘦舒服的春秋裤子垂坠感铜氨丝阔腿裤通勤小个子加绒莫代尔神裤</t>
        </is>
      </c>
      <c r="B1363" t="inlineStr">
        <is>
          <t>recvcB48ezVeqU.jpg</t>
        </is>
      </c>
      <c r="C1363" s="2" t="str">
        <f>=HYPERLINK("https://xhslink.com/m/A3sjPkCsl22", "https://xhslink.com/m/A3sjPkCsl22")</f>
        <v>https://xhslink.com/m/A3sjPkCsl22</v>
      </c>
      <c r="D1363"/>
      <c r="E1363">
        <v>30000</v>
      </c>
      <c r="F1363">
        <v>158</v>
      </c>
      <c r="G1363"/>
      <c r="H1363">
        <v>200</v>
      </c>
      <c r="I1363" t="inlineStr">
        <is>
          <t>休闲裤</t>
        </is>
      </c>
      <c r="J1363" t="inlineStr">
        <is>
          <t>0.01</t>
        </is>
      </c>
      <c r="K1363" t="inlineStr">
        <is>
          <t>🔥低粉爆款</t>
        </is>
      </c>
      <c r="L1363" t="inlineStr">
        <is>
          <t>绮思 Studio的店</t>
        </is>
      </c>
      <c r="M1363">
        <v>1222</v>
      </c>
      <c r="N1363">
        <v>4.63</v>
      </c>
      <c r="O1363">
        <v>31000</v>
      </c>
      <c r="P1363" t="inlineStr">
        <is>
          <t>66e0685a6837ef00016cba47</t>
        </is>
      </c>
      <c r="Q1363" t="inlineStr">
        <is>
          <t>🚫重复</t>
        </is>
      </c>
      <c r="R1363" t="inlineStr">
        <is>
          <t>14周</t>
        </is>
      </c>
      <c r="S1363" t="inlineStr">
        <is>
          <t>24.55</t>
        </is>
      </c>
      <c r="T1363" t="inlineStr">
        <is>
          <t>服饰穿搭</t>
        </is>
      </c>
      <c r="U1363" t="inlineStr">
        <is>
          <t>女装</t>
        </is>
      </c>
      <c r="V1363" s="3">
        <v>46112.78107638889</v>
      </c>
      <c r="W1363" t="inlineStr">
        <is>
          <t>2026-Q1</t>
        </is>
      </c>
    </row>
    <row r="1364" ht="25.5" customHeight="1">
      <c r="A1364" t="inlineStr">
        <is>
          <t>「版型牛牛窄版直筒裤」春夏薄款显瘦遮胯四面弹牛仔裤梨形522#</t>
        </is>
      </c>
      <c r="B1364" t="inlineStr">
        <is>
          <t>recvcB48ezCzC2.jpg</t>
        </is>
      </c>
      <c r="C1364" s="2" t="str">
        <f>=HYPERLINK("https://xhslink.com/m/99yEZw19JOX", "https://xhslink.com/m/99yEZw19JOX")</f>
        <v>https://xhslink.com/m/99yEZw19JOX</v>
      </c>
      <c r="D1364"/>
      <c r="E1364">
        <v>24000</v>
      </c>
      <c r="F1364">
        <v>229</v>
      </c>
      <c r="G1364"/>
      <c r="H1364">
        <v>200</v>
      </c>
      <c r="I1364" t="inlineStr">
        <is>
          <t>春装裤子</t>
        </is>
      </c>
      <c r="J1364" t="inlineStr">
        <is>
          <t>0.01</t>
        </is>
      </c>
      <c r="K1364"/>
      <c r="L1364" t="inlineStr">
        <is>
          <t>卖大衣的阿黄黄的店</t>
        </is>
      </c>
      <c r="M1364">
        <v>36000</v>
      </c>
      <c r="N1364">
        <v>4.78</v>
      </c>
      <c r="O1364">
        <v>150000</v>
      </c>
      <c r="P1364" t="inlineStr">
        <is>
          <t>672332611819350001e6140a</t>
        </is>
      </c>
      <c r="Q1364" t="inlineStr">
        <is>
          <t>🚫重复</t>
        </is>
      </c>
      <c r="R1364" t="inlineStr">
        <is>
          <t>14周</t>
        </is>
      </c>
      <c r="S1364" t="inlineStr">
        <is>
          <t>0.67</t>
        </is>
      </c>
      <c r="T1364" t="inlineStr">
        <is>
          <t>服饰穿搭</t>
        </is>
      </c>
      <c r="U1364" t="inlineStr">
        <is>
          <t>女装</t>
        </is>
      </c>
      <c r="V1364" s="3">
        <v>46112.78107638889</v>
      </c>
      <c r="W1364" t="inlineStr">
        <is>
          <t>2026-Q1</t>
        </is>
      </c>
    </row>
    <row r="1365" ht="25.5" customHeight="1">
      <c r="A1365" t="inlineStr">
        <is>
          <t>泡泡【银河牛仔裤】26春亮闪闪直筒阔腿美式复古法式牛仔裤子宽松</t>
        </is>
      </c>
      <c r="B1365" t="inlineStr">
        <is>
          <t>recvcB48ez28xa.jpg</t>
        </is>
      </c>
      <c r="C1365" s="2" t="str">
        <f>=HYPERLINK("https://xhslink.com/m/4yXor5KydHy", "https://xhslink.com/m/4yXor5KydHy")</f>
        <v>https://xhslink.com/m/4yXor5KydHy</v>
      </c>
      <c r="D1365"/>
      <c r="E1365">
        <v>6624</v>
      </c>
      <c r="F1365">
        <v>298</v>
      </c>
      <c r="G1365"/>
      <c r="H1365">
        <v>200</v>
      </c>
      <c r="I1365" t="inlineStr">
        <is>
          <t>春装裤子</t>
        </is>
      </c>
      <c r="J1365" t="inlineStr">
        <is>
          <t>0.03</t>
        </is>
      </c>
      <c r="K1365"/>
      <c r="L1365" t="inlineStr">
        <is>
          <t>泡儿的店</t>
        </is>
      </c>
      <c r="M1365">
        <v>3404</v>
      </c>
      <c r="N1365">
        <v>4.57</v>
      </c>
      <c r="O1365">
        <v>34000</v>
      </c>
      <c r="P1365" t="inlineStr">
        <is>
          <t>69267d32956243000141b8d6</t>
        </is>
      </c>
      <c r="Q1365" t="inlineStr">
        <is>
          <t>🚫重复</t>
        </is>
      </c>
      <c r="R1365" t="inlineStr">
        <is>
          <t>14周</t>
        </is>
      </c>
      <c r="S1365" t="inlineStr">
        <is>
          <t>1.95</t>
        </is>
      </c>
      <c r="T1365" t="inlineStr">
        <is>
          <t>服饰穿搭</t>
        </is>
      </c>
      <c r="U1365" t="inlineStr">
        <is>
          <t>女装</t>
        </is>
      </c>
      <c r="V1365" s="3">
        <v>46112.78107638889</v>
      </c>
      <c r="W1365" t="inlineStr">
        <is>
          <t>2026-Q1</t>
        </is>
      </c>
    </row>
    <row r="1366" ht="25.5" customHeight="1">
      <c r="A1366" t="inlineStr">
        <is>
          <t>米白直筒法棍牛仔裤</t>
        </is>
      </c>
      <c r="B1366" t="inlineStr">
        <is>
          <t>recvcB48ezFEl2.jpg</t>
        </is>
      </c>
      <c r="C1366" s="2" t="str">
        <f>=HYPERLINK("https://xhslink.com/m/7Nfl9IrC7a9", "https://xhslink.com/m/7Nfl9IrC7a9")</f>
        <v>https://xhslink.com/m/7Nfl9IrC7a9</v>
      </c>
      <c r="D1366"/>
      <c r="E1366">
        <v>43000</v>
      </c>
      <c r="F1366">
        <v>229</v>
      </c>
      <c r="G1366"/>
      <c r="H1366">
        <v>200</v>
      </c>
      <c r="I1366" t="inlineStr">
        <is>
          <t>长裤</t>
        </is>
      </c>
      <c r="J1366" t="inlineStr">
        <is>
          <t>0.00</t>
        </is>
      </c>
      <c r="K1366"/>
      <c r="L1366" t="inlineStr">
        <is>
          <t>知之章旗舰店</t>
        </is>
      </c>
      <c r="M1366">
        <v>81000</v>
      </c>
      <c r="N1366">
        <v>4.71</v>
      </c>
      <c r="O1366">
        <v>291000</v>
      </c>
      <c r="P1366" t="inlineStr">
        <is>
          <t>68f6ece67d3b3f00015a784c</t>
        </is>
      </c>
      <c r="Q1366" t="inlineStr">
        <is>
          <t>🚫重复</t>
        </is>
      </c>
      <c r="R1366" t="inlineStr">
        <is>
          <t>14周</t>
        </is>
      </c>
      <c r="S1366" t="inlineStr">
        <is>
          <t>0.53</t>
        </is>
      </c>
      <c r="T1366" t="inlineStr">
        <is>
          <t>服饰穿搭</t>
        </is>
      </c>
      <c r="U1366" t="inlineStr">
        <is>
          <t>女装</t>
        </is>
      </c>
      <c r="V1366" s="3">
        <v>46112.78107638889</v>
      </c>
      <c r="W1366" t="inlineStr">
        <is>
          <t>2026-Q1</t>
        </is>
      </c>
    </row>
    <row r="1367" ht="25.5" customHeight="1">
      <c r="A1367" t="inlineStr">
        <is>
          <t>CL JINLI “静奢神裤”意大利显瘦直筒牛仔裤</t>
        </is>
      </c>
      <c r="B1367" t="inlineStr">
        <is>
          <t>recvcB48ezzffB.jpg</t>
        </is>
      </c>
      <c r="C1367" s="2" t="str">
        <f>=HYPERLINK("https://xhslink.com/m/7A5KjxIWCAQ", "https://xhslink.com/m/7A5KjxIWCAQ")</f>
        <v>https://xhslink.com/m/7A5KjxIWCAQ</v>
      </c>
      <c r="D1367"/>
      <c r="E1367">
        <v>14000</v>
      </c>
      <c r="F1367">
        <v>339</v>
      </c>
      <c r="G1367"/>
      <c r="H1367">
        <v>200</v>
      </c>
      <c r="I1367" t="inlineStr">
        <is>
          <t>长裤</t>
        </is>
      </c>
      <c r="J1367" t="inlineStr">
        <is>
          <t>0.01</t>
        </is>
      </c>
      <c r="K1367"/>
      <c r="L1367" t="inlineStr">
        <is>
          <t>是锦鲤呀的店</t>
        </is>
      </c>
      <c r="M1367">
        <v>72000</v>
      </c>
      <c r="N1367">
        <v>4.61</v>
      </c>
      <c r="O1367">
        <v>422000</v>
      </c>
      <c r="P1367" t="inlineStr">
        <is>
          <t>68916856e08d4d0001fb644a</t>
        </is>
      </c>
      <c r="Q1367" t="inlineStr">
        <is>
          <t>🚫重复</t>
        </is>
      </c>
      <c r="R1367" t="inlineStr">
        <is>
          <t>14周</t>
        </is>
      </c>
      <c r="S1367" t="inlineStr">
        <is>
          <t>0.19</t>
        </is>
      </c>
      <c r="T1367" t="inlineStr">
        <is>
          <t>服饰穿搭</t>
        </is>
      </c>
      <c r="U1367" t="inlineStr">
        <is>
          <t>女装</t>
        </is>
      </c>
      <c r="V1367" s="3">
        <v>46112.78107638889</v>
      </c>
      <c r="W1367" t="inlineStr">
        <is>
          <t>2026-Q1</t>
        </is>
      </c>
    </row>
    <row r="1368" ht="25.5" customHeight="1">
      <c r="A1368" t="inlineStr">
        <is>
          <t>宫季每日鲜 榴莲/芒果/奶黄/开心果/巧克力/五英寸动物奶油罐子</t>
        </is>
      </c>
      <c r="B1368" t="inlineStr">
        <is>
          <t>recvcB48ez87kz.jpg</t>
        </is>
      </c>
      <c r="C1368" s="2" t="str">
        <f>=HYPERLINK("https://xhslink.com/m/4EQqFbRm4F5", "https://xhslink.com/m/4EQqFbRm4F5")</f>
        <v>https://xhslink.com/m/4EQqFbRm4F5</v>
      </c>
      <c r="D1368"/>
      <c r="E1368">
        <v>3439</v>
      </c>
      <c r="F1368">
        <v>89.99</v>
      </c>
      <c r="G1368"/>
      <c r="H1368">
        <v>200</v>
      </c>
      <c r="I1368" t="inlineStr">
        <is>
          <t>芋泥</t>
        </is>
      </c>
      <c r="J1368" t="inlineStr">
        <is>
          <t>0.06</t>
        </is>
      </c>
      <c r="K1368"/>
      <c r="L1368" t="inlineStr">
        <is>
          <t>宫季每日鲜甜品-工厂店的店</t>
        </is>
      </c>
      <c r="M1368">
        <v>215000</v>
      </c>
      <c r="N1368">
        <v>4.46</v>
      </c>
      <c r="O1368">
        <v>115000</v>
      </c>
      <c r="P1368" t="inlineStr">
        <is>
          <t>694cf330bfa59100016747c1</t>
        </is>
      </c>
      <c r="Q1368"/>
      <c r="R1368" t="inlineStr">
        <is>
          <t>14周</t>
        </is>
      </c>
      <c r="S1368" t="inlineStr">
        <is>
          <t>0.02</t>
        </is>
      </c>
      <c r="T1368" t="inlineStr">
        <is>
          <t>美食滋补</t>
        </is>
      </c>
      <c r="U1368" t="inlineStr">
        <is>
          <t>生鲜特产</t>
        </is>
      </c>
      <c r="V1368" s="3">
        <v>46112.78107638889</v>
      </c>
      <c r="W1368" t="inlineStr">
        <is>
          <t>2026-Q1</t>
        </is>
      </c>
    </row>
    <row r="1369" ht="25.5" customHeight="1">
      <c r="A1369" t="inlineStr">
        <is>
          <t>李空空【爱在西元前】复古蓝高腰微喇牛仔阔腿裤女复古显瘦长裤子</t>
        </is>
      </c>
      <c r="B1369" t="inlineStr">
        <is>
          <t>recvcB48ez6ebW.jpg</t>
        </is>
      </c>
      <c r="C1369" s="2" t="str">
        <f>=HYPERLINK("https://xhslink.com/m/5GP2K3uORCC", "https://xhslink.com/m/5GP2K3uORCC")</f>
        <v>https://xhslink.com/m/5GP2K3uORCC</v>
      </c>
      <c r="D1369"/>
      <c r="E1369">
        <v>60000</v>
      </c>
      <c r="F1369">
        <v>99.99</v>
      </c>
      <c r="G1369"/>
      <c r="H1369">
        <v>200</v>
      </c>
      <c r="I1369" t="inlineStr">
        <is>
          <t>裤子</t>
        </is>
      </c>
      <c r="J1369" t="inlineStr">
        <is>
          <t>0.00</t>
        </is>
      </c>
      <c r="K1369"/>
      <c r="L1369" t="inlineStr">
        <is>
          <t>李空空的店</t>
        </is>
      </c>
      <c r="M1369">
        <v>102000</v>
      </c>
      <c r="N1369">
        <v>4.68</v>
      </c>
      <c r="O1369">
        <v>544000</v>
      </c>
      <c r="P1369" t="inlineStr">
        <is>
          <t>68e8ce83c192ac0001b1f53e</t>
        </is>
      </c>
      <c r="Q1369" t="inlineStr">
        <is>
          <t>🚫重复</t>
        </is>
      </c>
      <c r="R1369" t="inlineStr">
        <is>
          <t>14周</t>
        </is>
      </c>
      <c r="S1369" t="inlineStr">
        <is>
          <t>0.59</t>
        </is>
      </c>
      <c r="T1369" t="inlineStr">
        <is>
          <t>服饰穿搭</t>
        </is>
      </c>
      <c r="U1369" t="inlineStr">
        <is>
          <t>女装</t>
        </is>
      </c>
      <c r="V1369" s="3">
        <v>46112.78107638889</v>
      </c>
      <c r="W1369" t="inlineStr">
        <is>
          <t>2026-Q1</t>
        </is>
      </c>
    </row>
    <row r="1370" ht="25.5" customHeight="1">
      <c r="A1370" t="inlineStr">
        <is>
          <t>STARMARRY · 折痕美式水洗牛仔裤女春秋新款拖地长裤宽松直筒阔7</t>
        </is>
      </c>
      <c r="B1370" t="inlineStr">
        <is>
          <t>recvcB48ezQ7bh.jpg</t>
        </is>
      </c>
      <c r="C1370" s="2" t="str">
        <f>=HYPERLINK("https://xhslink.com/m/AozOsIeqaBF", "https://xhslink.com/m/AozOsIeqaBF")</f>
        <v>https://xhslink.com/m/AozOsIeqaBF</v>
      </c>
      <c r="D1370"/>
      <c r="E1370">
        <v>27000</v>
      </c>
      <c r="F1370">
        <v>98</v>
      </c>
      <c r="G1370"/>
      <c r="H1370">
        <v>200</v>
      </c>
      <c r="I1370" t="inlineStr">
        <is>
          <t>裤子</t>
        </is>
      </c>
      <c r="J1370" t="inlineStr">
        <is>
          <t>0.01</t>
        </is>
      </c>
      <c r="K1370"/>
      <c r="L1370" t="inlineStr">
        <is>
          <t>OK饼饼的店</t>
        </is>
      </c>
      <c r="M1370">
        <v>24000</v>
      </c>
      <c r="N1370">
        <v>4.51</v>
      </c>
      <c r="O1370">
        <v>174000</v>
      </c>
      <c r="P1370" t="inlineStr">
        <is>
          <t>67e22c3eb95653000127668a</t>
        </is>
      </c>
      <c r="Q1370" t="inlineStr">
        <is>
          <t>🚫重复</t>
        </is>
      </c>
      <c r="R1370" t="inlineStr">
        <is>
          <t>14周</t>
        </is>
      </c>
      <c r="S1370" t="inlineStr">
        <is>
          <t>1.12</t>
        </is>
      </c>
      <c r="T1370" t="inlineStr">
        <is>
          <t>服饰穿搭</t>
        </is>
      </c>
      <c r="U1370" t="inlineStr">
        <is>
          <t>女装</t>
        </is>
      </c>
      <c r="V1370" s="3">
        <v>46112.78107638889</v>
      </c>
      <c r="W1370" t="inlineStr">
        <is>
          <t>2026-Q1</t>
        </is>
      </c>
    </row>
    <row r="1371" ht="25.5" customHeight="1">
      <c r="A1371" t="inlineStr">
        <is>
          <t>古早可爱卡通收纳包包～默认微瑕</t>
        </is>
      </c>
      <c r="B1371" t="inlineStr">
        <is>
          <t>recvcB48ezveuk.jpg</t>
        </is>
      </c>
      <c r="C1371" s="2" t="str">
        <f>=HYPERLINK("https://xhslink.com/m/9idRmKqBXoj", "https://xhslink.com/m/9idRmKqBXoj")</f>
        <v>https://xhslink.com/m/9idRmKqBXoj</v>
      </c>
      <c r="D1371"/>
      <c r="E1371">
        <v>2359</v>
      </c>
      <c r="F1371">
        <v>99</v>
      </c>
      <c r="G1371"/>
      <c r="H1371">
        <v>200</v>
      </c>
      <c r="I1371" t="inlineStr">
        <is>
          <t>收纳</t>
        </is>
      </c>
      <c r="J1371" t="inlineStr">
        <is>
          <t>0.08</t>
        </is>
      </c>
      <c r="K1371"/>
      <c r="L1371" t="inlineStr">
        <is>
          <t>虾子杂物社的店</t>
        </is>
      </c>
      <c r="M1371">
        <v>4482</v>
      </c>
      <c r="N1371">
        <v>4.67</v>
      </c>
      <c r="O1371">
        <v>15000</v>
      </c>
      <c r="P1371" t="inlineStr">
        <is>
          <t>6982bc521b200000011102b5</t>
        </is>
      </c>
      <c r="Q1371" t="inlineStr">
        <is>
          <t>🚫重复</t>
        </is>
      </c>
      <c r="R1371" t="inlineStr">
        <is>
          <t>14周</t>
        </is>
      </c>
      <c r="S1371" t="inlineStr">
        <is>
          <t>0.53</t>
        </is>
      </c>
      <c r="T1371" t="inlineStr">
        <is>
          <t>家居生活</t>
        </is>
      </c>
      <c r="U1371" t="inlineStr">
        <is>
          <t>家居日用</t>
        </is>
      </c>
      <c r="V1371" s="3">
        <v>46112.78107638889</v>
      </c>
      <c r="W1371" t="inlineStr">
        <is>
          <t>2026-Q1</t>
        </is>
      </c>
    </row>
    <row r="1372" ht="25.5" customHeight="1">
      <c r="A1372" t="inlineStr">
        <is>
          <t>花言几木 · 小众威士忌梨香薰蜡烛悦己暖心治愈</t>
        </is>
      </c>
      <c r="B1372" t="inlineStr">
        <is>
          <t>recvcB48ez6E3n.jpg</t>
        </is>
      </c>
      <c r="C1372" s="2" t="str">
        <f>=HYPERLINK("https://xhslink.com/m/20TxIJwDDkm", "https://xhslink.com/m/20TxIJwDDkm")</f>
        <v>https://xhslink.com/m/20TxIJwDDkm</v>
      </c>
      <c r="D1372"/>
      <c r="E1372">
        <v>38000</v>
      </c>
      <c r="F1372">
        <v>599</v>
      </c>
      <c r="G1372"/>
      <c r="H1372">
        <v>200</v>
      </c>
      <c r="I1372" t="inlineStr">
        <is>
          <t>香薰香氛</t>
        </is>
      </c>
      <c r="J1372" t="inlineStr">
        <is>
          <t>0.01</t>
        </is>
      </c>
      <c r="K1372" t="inlineStr">
        <is>
          <t>🔥低粉爆款</t>
        </is>
      </c>
      <c r="L1372" t="inlineStr">
        <is>
          <t>Mood land 花言几木的店</t>
        </is>
      </c>
      <c r="M1372">
        <v>5788</v>
      </c>
      <c r="N1372">
        <v>4.61</v>
      </c>
      <c r="O1372">
        <v>41000</v>
      </c>
      <c r="P1372" t="inlineStr">
        <is>
          <t>67d7e4f3533958000115799a</t>
        </is>
      </c>
      <c r="Q1372" t="inlineStr">
        <is>
          <t>🚫重复</t>
        </is>
      </c>
      <c r="R1372" t="inlineStr">
        <is>
          <t>14周</t>
        </is>
      </c>
      <c r="S1372" t="inlineStr">
        <is>
          <t>6.57</t>
        </is>
      </c>
      <c r="T1372" t="inlineStr">
        <is>
          <t>家居生活</t>
        </is>
      </c>
      <c r="U1372" t="inlineStr">
        <is>
          <t>家居日用</t>
        </is>
      </c>
      <c r="V1372" s="3">
        <v>46112.78107638889</v>
      </c>
      <c r="W1372" t="inlineStr">
        <is>
          <t>2026-Q1</t>
        </is>
      </c>
    </row>
    <row r="1373" ht="25.5" customHeight="1">
      <c r="A1373" t="inlineStr">
        <is>
          <t>26年迪士尼第一场大型特卖会！</t>
        </is>
      </c>
      <c r="B1373" t="inlineStr">
        <is>
          <t>recvcB48ezNN6B.jpg</t>
        </is>
      </c>
      <c r="C1373" s="2" t="str">
        <f>=HYPERLINK("https://xhslink.com/m/8LYKrU0EOZN", "https://xhslink.com/m/8LYKrU0EOZN")</f>
        <v>https://xhslink.com/m/8LYKrU0EOZN</v>
      </c>
      <c r="D1373"/>
      <c r="E1373">
        <v>2400</v>
      </c>
      <c r="F1373">
        <v>299</v>
      </c>
      <c r="G1373"/>
      <c r="H1373">
        <v>200</v>
      </c>
      <c r="I1373" t="inlineStr">
        <is>
          <t>摆件</t>
        </is>
      </c>
      <c r="J1373" t="inlineStr">
        <is>
          <t>0.08</t>
        </is>
      </c>
      <c r="K1373"/>
      <c r="L1373" t="inlineStr">
        <is>
          <t>茜茜妈咪的店</t>
        </is>
      </c>
      <c r="M1373">
        <v>4476</v>
      </c>
      <c r="N1373">
        <v>4.45</v>
      </c>
      <c r="O1373">
        <v>9617</v>
      </c>
      <c r="P1373" t="inlineStr">
        <is>
          <t>696a6bfe26bf6e0001c86e0c</t>
        </is>
      </c>
      <c r="Q1373" t="inlineStr">
        <is>
          <t>🚫重复</t>
        </is>
      </c>
      <c r="R1373" t="inlineStr">
        <is>
          <t>14周</t>
        </is>
      </c>
      <c r="S1373" t="inlineStr">
        <is>
          <t>0.54</t>
        </is>
      </c>
      <c r="T1373" t="inlineStr">
        <is>
          <t>家居生活</t>
        </is>
      </c>
      <c r="U1373" t="inlineStr">
        <is>
          <t>家具家装</t>
        </is>
      </c>
      <c r="V1373" s="3">
        <v>46112.78107638889</v>
      </c>
      <c r="W1373" t="inlineStr">
        <is>
          <t>2026-Q1</t>
        </is>
      </c>
    </row>
    <row r="1374" ht="25.5" customHeight="1">
      <c r="A1374" t="inlineStr">
        <is>
          <t>纳米海绵魔力擦去污神奇耐用擦鞋厨房清洁擦刷碗海绵洗碗跨境代发</t>
        </is>
      </c>
      <c r="B1374" t="inlineStr">
        <is>
          <t>recvcB48ezQi8k.jpg</t>
        </is>
      </c>
      <c r="C1374" s="2" t="str">
        <f>=HYPERLINK("https://xhslink.com/m/494aqn6rwmJ", "https://xhslink.com/m/494aqn6rwmJ")</f>
        <v>https://xhslink.com/m/494aqn6rwmJ</v>
      </c>
      <c r="D1374"/>
      <c r="E1374">
        <v>136000</v>
      </c>
      <c r="F1374">
        <v>13.9</v>
      </c>
      <c r="G1374"/>
      <c r="H1374">
        <v>200</v>
      </c>
      <c r="I1374" t="inlineStr">
        <is>
          <t>清洁</t>
        </is>
      </c>
      <c r="J1374" t="inlineStr">
        <is>
          <t>0.00</t>
        </is>
      </c>
      <c r="K1374" t="inlineStr">
        <is>
          <t>🔥低粉爆款</t>
        </is>
      </c>
      <c r="L1374" t="inlineStr">
        <is>
          <t>急如风严选的店</t>
        </is>
      </c>
      <c r="M1374">
        <v>616</v>
      </c>
      <c r="N1374">
        <v>4.4</v>
      </c>
      <c r="O1374">
        <v>137000</v>
      </c>
      <c r="P1374" t="inlineStr">
        <is>
          <t>677790a8f8c1a80001500ec7</t>
        </is>
      </c>
      <c r="Q1374"/>
      <c r="R1374" t="inlineStr">
        <is>
          <t>14周</t>
        </is>
      </c>
      <c r="S1374" t="inlineStr">
        <is>
          <t>220.78</t>
        </is>
      </c>
      <c r="T1374" t="inlineStr">
        <is>
          <t>家居生活</t>
        </is>
      </c>
      <c r="U1374" t="inlineStr">
        <is>
          <t>家居日用</t>
        </is>
      </c>
      <c r="V1374" s="3">
        <v>46112.78107638889</v>
      </c>
      <c r="W1374" t="inlineStr">
        <is>
          <t>2026-Q1</t>
        </is>
      </c>
    </row>
    <row r="1375" ht="25.5" customHeight="1">
      <c r="A1375" t="inlineStr">
        <is>
          <t>【赠一根衣杆】衣柜货架简易衣架组装卧室衣帽间收纳架子角钢衣架</t>
        </is>
      </c>
      <c r="B1375" t="inlineStr">
        <is>
          <t>recvcB48ezxtpj.jpg</t>
        </is>
      </c>
      <c r="C1375" s="2" t="str">
        <f>=HYPERLINK("https://xhslink.com/m/9VEb0zhOttD", "https://xhslink.com/m/9VEb0zhOttD")</f>
        <v>https://xhslink.com/m/9VEb0zhOttD</v>
      </c>
      <c r="D1375"/>
      <c r="E1375">
        <v>420</v>
      </c>
      <c r="F1375">
        <v>168.8</v>
      </c>
      <c r="G1375"/>
      <c r="H1375">
        <v>200</v>
      </c>
      <c r="I1375" t="inlineStr">
        <is>
          <t>置物</t>
        </is>
      </c>
      <c r="J1375" t="inlineStr">
        <is>
          <t>0.48</t>
        </is>
      </c>
      <c r="K1375"/>
      <c r="L1375" t="inlineStr">
        <is>
          <t>晚安阿鱼的店</t>
        </is>
      </c>
      <c r="M1375">
        <v>998</v>
      </c>
      <c r="N1375">
        <v>4.02</v>
      </c>
      <c r="O1375">
        <v>8850</v>
      </c>
      <c r="P1375" t="inlineStr">
        <is>
          <t>682f50c8bd11270001465c32</t>
        </is>
      </c>
      <c r="Q1375"/>
      <c r="R1375" t="inlineStr">
        <is>
          <t>14周</t>
        </is>
      </c>
      <c r="S1375" t="inlineStr">
        <is>
          <t>0.42</t>
        </is>
      </c>
      <c r="T1375" t="inlineStr">
        <is>
          <t>家居生活</t>
        </is>
      </c>
      <c r="U1375" t="inlineStr">
        <is>
          <t>家居日用</t>
        </is>
      </c>
      <c r="V1375" s="3">
        <v>46112.78107638889</v>
      </c>
      <c r="W1375" t="inlineStr">
        <is>
          <t>2026-Q1</t>
        </is>
      </c>
    </row>
    <row r="1376" ht="25.5" customHeight="1">
      <c r="A1376" t="inlineStr">
        <is>
          <t>且遇 2025春季新女士时尚休闲平底单鞋百搭蝴蝶结奶奶鞋一脚蹬女</t>
        </is>
      </c>
      <c r="B1376" t="inlineStr">
        <is>
          <t>recvcG44S0Vv7v.jpg</t>
        </is>
      </c>
      <c r="C1376" s="2" t="str">
        <f>=HYPERLINK("https://xhslink.com/m/6gwjoCWvQsP", "https://xhslink.com/m/6gwjoCWvQsP")</f>
        <v>https://xhslink.com/m/6gwjoCWvQsP</v>
      </c>
      <c r="D1376"/>
      <c r="E1376">
        <v>58000</v>
      </c>
      <c r="F1376">
        <v>59.9</v>
      </c>
      <c r="G1376"/>
      <c r="H1376">
        <v>200</v>
      </c>
      <c r="I1376" t="inlineStr">
        <is>
          <t>单鞋</t>
        </is>
      </c>
      <c r="J1376" t="inlineStr">
        <is>
          <t>0.00</t>
        </is>
      </c>
      <c r="K1376" t="inlineStr">
        <is>
          <t>🔥低粉爆款</t>
        </is>
      </c>
      <c r="L1376" t="inlineStr">
        <is>
          <t>鞋生会的店</t>
        </is>
      </c>
      <c r="M1376">
        <v>7566</v>
      </c>
      <c r="N1376">
        <v>4.59</v>
      </c>
      <c r="O1376">
        <v>84000</v>
      </c>
      <c r="P1376" t="inlineStr">
        <is>
          <t>67c1da409759260001ce4b0d</t>
        </is>
      </c>
      <c r="Q1376" t="inlineStr">
        <is>
          <t>🚫重复</t>
        </is>
      </c>
      <c r="R1376" t="inlineStr">
        <is>
          <t>14周</t>
        </is>
      </c>
      <c r="S1376" t="inlineStr">
        <is>
          <t>7.67</t>
        </is>
      </c>
      <c r="T1376" t="inlineStr">
        <is>
          <t>服饰穿搭</t>
        </is>
      </c>
      <c r="U1376" t="inlineStr">
        <is>
          <t>鞋靴箱包</t>
        </is>
      </c>
      <c r="V1376" s="3">
        <v>46112.78107638889</v>
      </c>
      <c r="W1376" t="inlineStr">
        <is>
          <t>2026-Q1</t>
        </is>
      </c>
    </row>
    <row r="1377" ht="25.5" customHeight="1">
      <c r="A1377" t="inlineStr">
        <is>
          <t>2025年春季新款网红百搭浅口平底四季瓢鞋方头孕妇婚鞋红色单鞋女</t>
        </is>
      </c>
      <c r="B1377" t="inlineStr">
        <is>
          <t>recvcG44S0lfJ6.jpg</t>
        </is>
      </c>
      <c r="C1377" s="2" t="str">
        <f>=HYPERLINK("https://xhslink.com/m/8w4DEngjdOn", "https://xhslink.com/m/8w4DEngjdOn")</f>
        <v>https://xhslink.com/m/8w4DEngjdOn</v>
      </c>
      <c r="D1377"/>
      <c r="E1377">
        <v>8376</v>
      </c>
      <c r="F1377">
        <v>69.9</v>
      </c>
      <c r="G1377"/>
      <c r="H1377">
        <v>200</v>
      </c>
      <c r="I1377" t="inlineStr">
        <is>
          <t>单鞋</t>
        </is>
      </c>
      <c r="J1377" t="inlineStr">
        <is>
          <t>0.02</t>
        </is>
      </c>
      <c r="K1377" t="inlineStr">
        <is>
          <t>🔥低粉爆款</t>
        </is>
      </c>
      <c r="L1377" t="inlineStr">
        <is>
          <t>小狗不哭的店</t>
        </is>
      </c>
      <c r="M1377">
        <v>1698</v>
      </c>
      <c r="N1377">
        <v>4.47</v>
      </c>
      <c r="O1377">
        <v>14000</v>
      </c>
      <c r="P1377" t="inlineStr">
        <is>
          <t>67d661fabb9b9d0001895299</t>
        </is>
      </c>
      <c r="Q1377" t="inlineStr">
        <is>
          <t>🚫重复</t>
        </is>
      </c>
      <c r="R1377" t="inlineStr">
        <is>
          <t>14周</t>
        </is>
      </c>
      <c r="S1377" t="inlineStr">
        <is>
          <t>4.93</t>
        </is>
      </c>
      <c r="T1377" t="inlineStr">
        <is>
          <t>服饰穿搭</t>
        </is>
      </c>
      <c r="U1377" t="inlineStr">
        <is>
          <t>鞋靴箱包</t>
        </is>
      </c>
      <c r="V1377" s="3">
        <v>46112.78107638889</v>
      </c>
      <c r="W1377" t="inlineStr">
        <is>
          <t>2026-Q1</t>
        </is>
      </c>
    </row>
    <row r="1378" ht="25.5" customHeight="1">
      <c r="A1378" t="inlineStr">
        <is>
          <t>厚底3cm德训鞋女春秋透气低帮百搭休闲鞋舒适软弹阿甘鞋休闲板鞋</t>
        </is>
      </c>
      <c r="B1378" t="inlineStr">
        <is>
          <t>recvcG44S03TCy.jpg</t>
        </is>
      </c>
      <c r="C1378" s="2" t="str">
        <f>=HYPERLINK("https://xhslink.com/m/4pbT9H0MLrF", "https://xhslink.com/m/4pbT9H0MLrF")</f>
        <v>https://xhslink.com/m/4pbT9H0MLrF</v>
      </c>
      <c r="D1378"/>
      <c r="E1378">
        <v>31000</v>
      </c>
      <c r="F1378">
        <v>69</v>
      </c>
      <c r="G1378"/>
      <c r="H1378">
        <v>200</v>
      </c>
      <c r="I1378" t="inlineStr">
        <is>
          <t>板鞋</t>
        </is>
      </c>
      <c r="J1378" t="inlineStr">
        <is>
          <t>0.01</t>
        </is>
      </c>
      <c r="K1378" t="inlineStr">
        <is>
          <t>🔥低粉爆款</t>
        </is>
      </c>
      <c r="L1378" t="inlineStr">
        <is>
          <t>格物桃的店</t>
        </is>
      </c>
      <c r="M1378">
        <v>3122</v>
      </c>
      <c r="N1378">
        <v>4.64</v>
      </c>
      <c r="O1378">
        <v>56000</v>
      </c>
      <c r="P1378" t="inlineStr">
        <is>
          <t>66d124510614b500016aca30</t>
        </is>
      </c>
      <c r="Q1378" t="inlineStr">
        <is>
          <t>🚫重复</t>
        </is>
      </c>
      <c r="R1378" t="inlineStr">
        <is>
          <t>14周</t>
        </is>
      </c>
      <c r="S1378" t="inlineStr">
        <is>
          <t>9.93</t>
        </is>
      </c>
      <c r="T1378" t="inlineStr">
        <is>
          <t>服饰穿搭</t>
        </is>
      </c>
      <c r="U1378" t="inlineStr">
        <is>
          <t>鞋靴箱包</t>
        </is>
      </c>
      <c r="V1378" s="3">
        <v>46112.78107638889</v>
      </c>
      <c r="W1378" t="inlineStr">
        <is>
          <t>2026-Q1</t>
        </is>
      </c>
    </row>
    <row r="1379" ht="25.5" customHeight="1">
      <c r="A1379" t="inlineStr">
        <is>
          <t>朴西 · （春日焕新拖）4cm增高玛丽珍洞洞鞋EVA包头拖鞋子推荐女旅游早八</t>
        </is>
      </c>
      <c r="B1379" t="inlineStr">
        <is>
          <t>recvcG44S0zsl4.jpg</t>
        </is>
      </c>
      <c r="C1379" s="2" t="str">
        <f>=HYPERLINK("https://xhslink.com/m/9Jo3AWMoNBs", "https://xhslink.com/m/9Jo3AWMoNBs")</f>
        <v>https://xhslink.com/m/9Jo3AWMoNBs</v>
      </c>
      <c r="D1379"/>
      <c r="E1379">
        <v>238000</v>
      </c>
      <c r="F1379">
        <v>39.9</v>
      </c>
      <c r="G1379"/>
      <c r="H1379">
        <v>200</v>
      </c>
      <c r="I1379" t="inlineStr">
        <is>
          <t>洞洞鞋</t>
        </is>
      </c>
      <c r="J1379" t="inlineStr">
        <is>
          <t>0.00</t>
        </is>
      </c>
      <c r="K1379" t="inlineStr">
        <is>
          <t>🔥低粉爆款</t>
        </is>
      </c>
      <c r="L1379" t="inlineStr">
        <is>
          <t>小金喜JINXI的店</t>
        </is>
      </c>
      <c r="M1379">
        <v>2044</v>
      </c>
      <c r="N1379">
        <v>4.68</v>
      </c>
      <c r="O1379">
        <v>317000</v>
      </c>
      <c r="P1379" t="inlineStr">
        <is>
          <t>66d08e54e6fff40001e25a6c</t>
        </is>
      </c>
      <c r="Q1379"/>
      <c r="R1379" t="inlineStr">
        <is>
          <t>14周</t>
        </is>
      </c>
      <c r="S1379" t="inlineStr">
        <is>
          <t>116.44</t>
        </is>
      </c>
      <c r="T1379" t="inlineStr">
        <is>
          <t>服饰穿搭</t>
        </is>
      </c>
      <c r="U1379" t="inlineStr">
        <is>
          <t>鞋靴箱包</t>
        </is>
      </c>
      <c r="V1379" s="3">
        <v>46112.78107638889</v>
      </c>
      <c r="W1379" t="inlineStr">
        <is>
          <t>2026-Q1</t>
        </is>
      </c>
    </row>
    <row r="1380" ht="25.5" customHeight="1">
      <c r="A1380" t="inlineStr">
        <is>
          <t>记补季 · 中国台湾省手作工艺三明治全新上市用料干净早餐烘焙主食生吐司</t>
        </is>
      </c>
      <c r="B1380" t="inlineStr">
        <is>
          <t>recvcMzZj8xvjy.jpg</t>
        </is>
      </c>
      <c r="C1380" s="2" t="str">
        <f>=HYPERLINK("https://xhslink.com/m/15vdCLQc92W", "https://xhslink.com/m/15vdCLQc92W")</f>
        <v>https://xhslink.com/m/15vdCLQc92W</v>
      </c>
      <c r="D1380"/>
      <c r="E1380">
        <v>4443</v>
      </c>
      <c r="F1380">
        <v>79.9</v>
      </c>
      <c r="G1380"/>
      <c r="H1380">
        <v>200</v>
      </c>
      <c r="I1380" t="inlineStr">
        <is>
          <t>早餐</t>
        </is>
      </c>
      <c r="J1380" t="inlineStr">
        <is>
          <t>0.05</t>
        </is>
      </c>
      <c r="K1380" t="inlineStr">
        <is>
          <t>🔥低粉爆款</t>
        </is>
      </c>
      <c r="L1380" t="inlineStr">
        <is>
          <t>记补季旗舰店</t>
        </is>
      </c>
      <c r="M1380">
        <v>585</v>
      </c>
      <c r="N1380">
        <v>3.95</v>
      </c>
      <c r="O1380">
        <v>5923</v>
      </c>
      <c r="P1380" t="inlineStr">
        <is>
          <t>68fc80e33f37a90001fa6874</t>
        </is>
      </c>
      <c r="Q1380" t="inlineStr">
        <is>
          <t>🚫重复</t>
        </is>
      </c>
      <c r="R1380" t="inlineStr">
        <is>
          <t>14周</t>
        </is>
      </c>
      <c r="S1380" t="inlineStr">
        <is>
          <t>7.59</t>
        </is>
      </c>
      <c r="T1380" t="inlineStr">
        <is>
          <t>美食滋补</t>
        </is>
      </c>
      <c r="U1380" t="inlineStr">
        <is>
          <t>休闲零食</t>
        </is>
      </c>
      <c r="V1380" s="3">
        <v>46112.78107638889</v>
      </c>
      <c r="W1380" t="inlineStr">
        <is>
          <t>2026-Q1</t>
        </is>
      </c>
    </row>
    <row r="1381" ht="25.5" customHeight="1">
      <c r="A1381" t="inlineStr">
        <is>
          <t>沐腊 · 四川烟熏麻辣香肠土猪肉风干腊肠腊肉腊排骨香肠广味</t>
        </is>
      </c>
      <c r="B1381" t="inlineStr">
        <is>
          <t>recvcMzZj8htIv.jpg</t>
        </is>
      </c>
      <c r="C1381" s="2" t="str">
        <f>=HYPERLINK("https://xhslink.com/m/sIFEoMJT5", "https://xhslink.com/m/sIFEoMJT5")</f>
        <v>https://xhslink.com/m/sIFEoMJT5</v>
      </c>
      <c r="D1381"/>
      <c r="E1381">
        <v>153000</v>
      </c>
      <c r="F1381">
        <v>258.8</v>
      </c>
      <c r="G1381">
        <v>208.8</v>
      </c>
      <c r="H1381">
        <v>200</v>
      </c>
      <c r="I1381" t="inlineStr">
        <is>
          <t>食品零食</t>
        </is>
      </c>
      <c r="J1381" t="inlineStr">
        <is>
          <t>0.00</t>
        </is>
      </c>
      <c r="K1381" t="inlineStr">
        <is>
          <t>🔥低粉爆款</t>
        </is>
      </c>
      <c r="L1381" t="inlineStr">
        <is>
          <t>沐腊旗舰店</t>
        </is>
      </c>
      <c r="M1381">
        <v>22000</v>
      </c>
      <c r="N1381">
        <v>4.47</v>
      </c>
      <c r="O1381">
        <v>173000</v>
      </c>
      <c r="P1381" t="inlineStr">
        <is>
          <t>654238825a75bf0001641165</t>
        </is>
      </c>
      <c r="Q1381"/>
      <c r="R1381" t="inlineStr">
        <is>
          <t>14周</t>
        </is>
      </c>
      <c r="S1381" t="inlineStr">
        <is>
          <t>6.95</t>
        </is>
      </c>
      <c r="T1381" t="inlineStr">
        <is>
          <t>美食滋补</t>
        </is>
      </c>
      <c r="U1381" t="inlineStr">
        <is>
          <t>休闲零食</t>
        </is>
      </c>
      <c r="V1381" s="3">
        <v>46112.78107638889</v>
      </c>
      <c r="W1381" t="inlineStr">
        <is>
          <t>2026-Q1</t>
        </is>
      </c>
    </row>
    <row r="1382" ht="25.5" customHeight="1">
      <c r="A1382" t="inlineStr">
        <is>
          <t>【满69顺丰包邮】30种口味选择 任拼切件 软心巴斯克 芝士蛋糕</t>
        </is>
      </c>
      <c r="B1382" t="inlineStr">
        <is>
          <t>recvcMzZj8QWPM.jpg</t>
        </is>
      </c>
      <c r="C1382" s="2" t="str">
        <f>=HYPERLINK("https://xhslink.com/m/77s0E1GXMGG", "https://xhslink.com/m/77s0E1GXMGG")</f>
        <v>https://xhslink.com/m/77s0E1GXMGG</v>
      </c>
      <c r="D1382"/>
      <c r="E1382">
        <v>133000</v>
      </c>
      <c r="F1382">
        <v>8.9</v>
      </c>
      <c r="G1382"/>
      <c r="H1382">
        <v>200</v>
      </c>
      <c r="I1382" t="inlineStr">
        <is>
          <t>面包蛋糕</t>
        </is>
      </c>
      <c r="J1382" t="inlineStr">
        <is>
          <t>0.00</t>
        </is>
      </c>
      <c r="K1382" t="inlineStr">
        <is>
          <t>🔥低粉爆款</t>
        </is>
      </c>
      <c r="L1382" t="inlineStr">
        <is>
          <t>栗是烘焙食品的店</t>
        </is>
      </c>
      <c r="M1382">
        <v>2944</v>
      </c>
      <c r="N1382">
        <v>4.7</v>
      </c>
      <c r="O1382">
        <v>134000</v>
      </c>
      <c r="P1382" t="inlineStr">
        <is>
          <t>671d2f49deb6c200017146b2</t>
        </is>
      </c>
      <c r="Q1382" t="inlineStr">
        <is>
          <t>🚫重复</t>
        </is>
      </c>
      <c r="R1382" t="inlineStr">
        <is>
          <t>14周</t>
        </is>
      </c>
      <c r="S1382" t="inlineStr">
        <is>
          <t>45.18</t>
        </is>
      </c>
      <c r="T1382" t="inlineStr">
        <is>
          <t>美食滋补</t>
        </is>
      </c>
      <c r="U1382" t="inlineStr">
        <is>
          <t>休闲零食</t>
        </is>
      </c>
      <c r="V1382" s="3">
        <v>46112.78107638889</v>
      </c>
      <c r="W1382" t="inlineStr">
        <is>
          <t>2026-Q1</t>
        </is>
      </c>
    </row>
    <row r="1383" ht="25.5" customHeight="1">
      <c r="A1383" t="inlineStr">
        <is>
          <t>YHH · 樱禾 四季猫眼C系列40色 【单颗买二送一】 5g罐装甲油胶</t>
        </is>
      </c>
      <c r="B1383" t="inlineStr">
        <is>
          <t>recvcXQv4IO72T.jpg</t>
        </is>
      </c>
      <c r="C1383" s="2" t="str">
        <f>=HYPERLINK("https://xhslink.com/m/ITkORCDsHR", "https://xhslink.com/m/ITkORCDsHR")</f>
        <v>https://xhslink.com/m/ITkORCDsHR</v>
      </c>
      <c r="D1383"/>
      <c r="E1383">
        <v>14000</v>
      </c>
      <c r="F1383">
        <v>788</v>
      </c>
      <c r="G1383"/>
      <c r="H1383">
        <v>200</v>
      </c>
      <c r="I1383" t="inlineStr">
        <is>
          <t>美甲甲油胶</t>
        </is>
      </c>
      <c r="J1383" t="inlineStr">
        <is>
          <t>0.01</t>
        </is>
      </c>
      <c r="K1383"/>
      <c r="L1383" t="inlineStr">
        <is>
          <t>樱禾nail的店</t>
        </is>
      </c>
      <c r="M1383">
        <v>368000</v>
      </c>
      <c r="N1383">
        <v>4.52</v>
      </c>
      <c r="O1383">
        <v>96000</v>
      </c>
      <c r="P1383" t="inlineStr">
        <is>
          <t>692d5882eb0d800001e67f6b</t>
        </is>
      </c>
      <c r="Q1383"/>
      <c r="R1383" t="inlineStr">
        <is>
          <t>14周</t>
        </is>
      </c>
      <c r="S1383" t="inlineStr">
        <is>
          <t>0.04</t>
        </is>
      </c>
      <c r="T1383" t="inlineStr">
        <is>
          <t>美妆个护</t>
        </is>
      </c>
      <c r="U1383" t="inlineStr">
        <is>
          <t>护肤彩妆</t>
        </is>
      </c>
      <c r="V1383" s="3">
        <v>46112.78107638889</v>
      </c>
      <c r="W1383" t="inlineStr">
        <is>
          <t>2026-Q1</t>
        </is>
      </c>
    </row>
    <row r="1384" ht="25.5" customHeight="1">
      <c r="A1384" t="inlineStr">
        <is>
          <t>韩系气质慵懒百搭通勤学院休闲包包斜挎单肩包包</t>
        </is>
      </c>
      <c r="B1384" t="inlineStr">
        <is>
          <t>recvd6YlGViAiP.jpg</t>
        </is>
      </c>
      <c r="C1384" s="2" t="str">
        <f>=HYPERLINK("https://xhslink.com/m/7d72i9hvl4p", "https://xhslink.com/m/7d72i9hvl4p")</f>
        <v>https://xhslink.com/m/7d72i9hvl4p</v>
      </c>
      <c r="D1384"/>
      <c r="E1384">
        <v>18000</v>
      </c>
      <c r="F1384">
        <v>69.9</v>
      </c>
      <c r="G1384"/>
      <c r="H1384">
        <v>200</v>
      </c>
      <c r="I1384" t="inlineStr">
        <is>
          <t>单肩包</t>
        </is>
      </c>
      <c r="J1384" t="inlineStr">
        <is>
          <t>0.01</t>
        </is>
      </c>
      <c r="K1384"/>
      <c r="L1384" t="inlineStr">
        <is>
          <t>SLOW的店</t>
        </is>
      </c>
      <c r="M1384">
        <v>60000</v>
      </c>
      <c r="N1384">
        <v>4.58</v>
      </c>
      <c r="O1384">
        <v>56000</v>
      </c>
      <c r="P1384" t="inlineStr">
        <is>
          <t>6735edad4f0ec7000180af20</t>
        </is>
      </c>
      <c r="Q1384" t="inlineStr">
        <is>
          <t>🚫重复</t>
        </is>
      </c>
      <c r="R1384" t="inlineStr">
        <is>
          <t>14周</t>
        </is>
      </c>
      <c r="S1384" t="inlineStr">
        <is>
          <t>0.30</t>
        </is>
      </c>
      <c r="T1384" t="inlineStr">
        <is>
          <t>服饰穿搭</t>
        </is>
      </c>
      <c r="U1384" t="inlineStr">
        <is>
          <t>鞋靴箱包</t>
        </is>
      </c>
      <c r="V1384" s="3">
        <v>46112.78107638889</v>
      </c>
      <c r="W1384" t="inlineStr">
        <is>
          <t>2026-Q1</t>
        </is>
      </c>
    </row>
    <row r="1385" ht="25.5" customHeight="1">
      <c r="A1385" t="inlineStr">
        <is>
          <t>Motata · 户外森系亲子单肩包法棍包彩虹包轻量化日常托特包潮流多功能三色</t>
        </is>
      </c>
      <c r="B1385" t="inlineStr">
        <is>
          <t>recvd6YlGVtjPm.jpg</t>
        </is>
      </c>
      <c r="C1385" s="2" t="str">
        <f>=HYPERLINK("https://xhslink.com/m/8Kxk4Z71kDO", "https://xhslink.com/m/8Kxk4Z71kDO")</f>
        <v>https://xhslink.com/m/8Kxk4Z71kDO</v>
      </c>
      <c r="D1385"/>
      <c r="E1385">
        <v>5479</v>
      </c>
      <c r="F1385">
        <v>208</v>
      </c>
      <c r="G1385"/>
      <c r="H1385">
        <v>200</v>
      </c>
      <c r="I1385" t="inlineStr">
        <is>
          <t>托特包</t>
        </is>
      </c>
      <c r="J1385" t="inlineStr">
        <is>
          <t>0.04</t>
        </is>
      </c>
      <c r="K1385"/>
      <c r="L1385" t="inlineStr">
        <is>
          <t>Motata户外的店</t>
        </is>
      </c>
      <c r="M1385">
        <v>40000</v>
      </c>
      <c r="N1385">
        <v>4.54</v>
      </c>
      <c r="O1385">
        <v>42000</v>
      </c>
      <c r="P1385" t="inlineStr">
        <is>
          <t>68c110f4fae7080001281134</t>
        </is>
      </c>
      <c r="Q1385"/>
      <c r="R1385" t="inlineStr">
        <is>
          <t>14周</t>
        </is>
      </c>
      <c r="S1385" t="inlineStr">
        <is>
          <t>0.14</t>
        </is>
      </c>
      <c r="T1385" t="inlineStr">
        <is>
          <t>服饰穿搭</t>
        </is>
      </c>
      <c r="U1385" t="inlineStr">
        <is>
          <t>鞋靴箱包</t>
        </is>
      </c>
      <c r="V1385" s="3">
        <v>46112.78107638889</v>
      </c>
      <c r="W1385" t="inlineStr">
        <is>
          <t>2026-Q1</t>
        </is>
      </c>
    </row>
    <row r="1386" ht="25.5" customHeight="1">
      <c r="A1386" t="inlineStr">
        <is>
          <t>荔枝玫瑰蕾丝修身连衣裙</t>
        </is>
      </c>
      <c r="B1386" t="inlineStr">
        <is>
          <t>recvd6YlGVeprP.jpg</t>
        </is>
      </c>
      <c r="C1386" s="2" t="str">
        <f>=HYPERLINK("https://xhslink.com/m/5CCvRiS9OdT", "https://xhslink.com/m/5CCvRiS9OdT")</f>
        <v>https://xhslink.com/m/5CCvRiS9OdT</v>
      </c>
      <c r="D1386"/>
      <c r="E1386">
        <v>23000</v>
      </c>
      <c r="F1386">
        <v>209</v>
      </c>
      <c r="G1386"/>
      <c r="H1386">
        <v>200</v>
      </c>
      <c r="I1386" t="inlineStr">
        <is>
          <t>蕾丝连衣裙</t>
        </is>
      </c>
      <c r="J1386" t="inlineStr">
        <is>
          <t>0.01</t>
        </is>
      </c>
      <c r="K1386"/>
      <c r="L1386" t="inlineStr">
        <is>
          <t>知之章旗舰店</t>
        </is>
      </c>
      <c r="M1386">
        <v>81000</v>
      </c>
      <c r="N1386">
        <v>4.72</v>
      </c>
      <c r="O1386">
        <v>295000</v>
      </c>
      <c r="P1386" t="inlineStr">
        <is>
          <t>687f089122713e0001ba65ea</t>
        </is>
      </c>
      <c r="Q1386" t="inlineStr">
        <is>
          <t>🚫重复</t>
        </is>
      </c>
      <c r="R1386" t="inlineStr">
        <is>
          <t>14周</t>
        </is>
      </c>
      <c r="S1386" t="inlineStr">
        <is>
          <t>0.28</t>
        </is>
      </c>
      <c r="T1386" t="inlineStr">
        <is>
          <t>服饰穿搭</t>
        </is>
      </c>
      <c r="U1386" t="inlineStr">
        <is>
          <t>女装</t>
        </is>
      </c>
      <c r="V1386" s="3">
        <v>46112.78107638889</v>
      </c>
      <c r="W1386" t="inlineStr">
        <is>
          <t>2026-Q1</t>
        </is>
      </c>
    </row>
    <row r="1387" ht="25.5" customHeight="1">
      <c r="A1387" t="inlineStr">
        <is>
          <t>小个子内增高方头红色平底单鞋女春秋哑光蝴蝶结芭蕾风复古豆豆鞋</t>
        </is>
      </c>
      <c r="B1387" t="inlineStr">
        <is>
          <t>recvd6YlGVkJlp.jpg</t>
        </is>
      </c>
      <c r="C1387" s="2" t="str">
        <f>=HYPERLINK("https://xhslink.com/m/Ad1Spnb3TPx", "https://xhslink.com/m/Ad1Spnb3TPx")</f>
        <v>https://xhslink.com/m/Ad1Spnb3TPx</v>
      </c>
      <c r="D1387"/>
      <c r="E1387">
        <v>1302</v>
      </c>
      <c r="F1387">
        <v>65</v>
      </c>
      <c r="G1387"/>
      <c r="H1387">
        <v>200</v>
      </c>
      <c r="I1387" t="inlineStr">
        <is>
          <t>单鞋</t>
        </is>
      </c>
      <c r="J1387" t="inlineStr">
        <is>
          <t>0.15</t>
        </is>
      </c>
      <c r="K1387"/>
      <c r="L1387" t="inlineStr">
        <is>
          <t>柠檬🍋(鞋教)的店</t>
        </is>
      </c>
      <c r="M1387">
        <v>29000</v>
      </c>
      <c r="N1387">
        <v>4.47</v>
      </c>
      <c r="O1387">
        <v>98000</v>
      </c>
      <c r="P1387" t="inlineStr">
        <is>
          <t>68dcb33fc75361000188c9b3</t>
        </is>
      </c>
      <c r="Q1387" t="inlineStr">
        <is>
          <t>🚫重复</t>
        </is>
      </c>
      <c r="R1387" t="inlineStr">
        <is>
          <t>14周</t>
        </is>
      </c>
      <c r="S1387" t="inlineStr">
        <is>
          <t>0.04</t>
        </is>
      </c>
      <c r="T1387" t="inlineStr">
        <is>
          <t>服饰穿搭</t>
        </is>
      </c>
      <c r="U1387" t="inlineStr">
        <is>
          <t>鞋靴箱包</t>
        </is>
      </c>
      <c r="V1387" s="3">
        <v>46112.78107638889</v>
      </c>
      <c r="W1387" t="inlineStr">
        <is>
          <t>2026-Q1</t>
        </is>
      </c>
    </row>
    <row r="1388" ht="25.5" customHeight="1">
      <c r="A1388" t="inlineStr">
        <is>
          <t>婴儿纱布浴巾纯棉超柔宝宝洗澡专用盖毯包单新生儿儿童超软全棉</t>
        </is>
      </c>
      <c r="B1388" t="inlineStr">
        <is>
          <t>recvd6YlGVP9UZ.jpg</t>
        </is>
      </c>
      <c r="C1388" s="2" t="str">
        <f>=HYPERLINK("https://xhslink.com/m/288VQM0z7cm", "https://xhslink.com/m/288VQM0z7cm")</f>
        <v>https://xhslink.com/m/288VQM0z7cm</v>
      </c>
      <c r="D1388"/>
      <c r="E1388">
        <v>79000</v>
      </c>
      <c r="F1388">
        <v>27.9</v>
      </c>
      <c r="G1388"/>
      <c r="H1388">
        <v>200</v>
      </c>
      <c r="I1388" t="inlineStr">
        <is>
          <t>纱布浴巾</t>
        </is>
      </c>
      <c r="J1388" t="inlineStr">
        <is>
          <t>0.00</t>
        </is>
      </c>
      <c r="K1388" t="inlineStr">
        <is>
          <t>🔥低粉爆款</t>
        </is>
      </c>
      <c r="L1388" t="inlineStr">
        <is>
          <t>高阳纱布家纺工厂的店</t>
        </is>
      </c>
      <c r="M1388">
        <v>9874</v>
      </c>
      <c r="N1388">
        <v>4.49</v>
      </c>
      <c r="O1388">
        <v>145000</v>
      </c>
      <c r="P1388" t="inlineStr">
        <is>
          <t>6616b03d68c7360001b000a2</t>
        </is>
      </c>
      <c r="Q1388"/>
      <c r="R1388" t="inlineStr">
        <is>
          <t>14周</t>
        </is>
      </c>
      <c r="S1388" t="inlineStr">
        <is>
          <t>8.00</t>
        </is>
      </c>
      <c r="T1388" t="inlineStr">
        <is>
          <t>母婴亲子</t>
        </is>
      </c>
      <c r="U1388" t="inlineStr">
        <is>
          <t>童装童鞋</t>
        </is>
      </c>
      <c r="V1388" s="3">
        <v>46112.78107638889</v>
      </c>
      <c r="W1388" t="inlineStr">
        <is>
          <t>2026-Q1</t>
        </is>
      </c>
    </row>
    <row r="1389" ht="25.5" customHeight="1">
      <c r="A1389" t="inlineStr">
        <is>
          <t>卫衣外套女春秋季宽松慵懒风小个子短款连帽2026新款爆款拉链开衫</t>
        </is>
      </c>
      <c r="B1389" t="inlineStr">
        <is>
          <t>recvd6YlGV4qpw.jpg</t>
        </is>
      </c>
      <c r="C1389" s="2" t="str">
        <f>=HYPERLINK("https://xhslink.com/m/4MqWvIcQ36v", "https://xhslink.com/m/4MqWvIcQ36v")</f>
        <v>https://xhslink.com/m/4MqWvIcQ36v</v>
      </c>
      <c r="D1389"/>
      <c r="E1389">
        <v>9839</v>
      </c>
      <c r="F1389">
        <v>199.9</v>
      </c>
      <c r="G1389"/>
      <c r="H1389">
        <v>200</v>
      </c>
      <c r="I1389" t="inlineStr">
        <is>
          <t>休闲外套</t>
        </is>
      </c>
      <c r="J1389" t="inlineStr">
        <is>
          <t>0.02</t>
        </is>
      </c>
      <c r="K1389" t="inlineStr">
        <is>
          <t>🔥低粉爆款</t>
        </is>
      </c>
      <c r="L1389" t="inlineStr">
        <is>
          <t>中山恋淑雅服饰的店</t>
        </is>
      </c>
      <c r="M1389">
        <v>2974</v>
      </c>
      <c r="N1389">
        <v>4.6</v>
      </c>
      <c r="O1389">
        <v>141000</v>
      </c>
      <c r="P1389" t="inlineStr">
        <is>
          <t>68fefe6fc4f8910001e8a907</t>
        </is>
      </c>
      <c r="Q1389" t="inlineStr">
        <is>
          <t>🚫重复</t>
        </is>
      </c>
      <c r="R1389" t="inlineStr">
        <is>
          <t>14周</t>
        </is>
      </c>
      <c r="S1389" t="inlineStr">
        <is>
          <t>3.31</t>
        </is>
      </c>
      <c r="T1389" t="inlineStr">
        <is>
          <t>服饰穿搭</t>
        </is>
      </c>
      <c r="U1389" t="inlineStr">
        <is>
          <t>女装</t>
        </is>
      </c>
      <c r="V1389" s="3">
        <v>46112.78107638889</v>
      </c>
      <c r="W1389" t="inlineStr">
        <is>
          <t>2026-Q1</t>
        </is>
      </c>
    </row>
    <row r="1390" ht="25.5" customHeight="1">
      <c r="A1390" t="inlineStr">
        <is>
          <t>珍妮同款抽绳百搭休闲 美式工装休闲阔腿裤-71185</t>
        </is>
      </c>
      <c r="B1390" t="inlineStr">
        <is>
          <t>recvdhGvoJ43YM.jpg</t>
        </is>
      </c>
      <c r="C1390" s="2" t="str">
        <f>=HYPERLINK("https://xhslink.com/m/7c33e40hEfa", "https://xhslink.com/m/7c33e40hEfa")</f>
        <v>https://xhslink.com/m/7c33e40hEfa</v>
      </c>
      <c r="D1390"/>
      <c r="E1390">
        <v>10000</v>
      </c>
      <c r="F1390">
        <v>699</v>
      </c>
      <c r="G1390"/>
      <c r="H1390">
        <v>200</v>
      </c>
      <c r="I1390" t="inlineStr">
        <is>
          <t>裤子</t>
        </is>
      </c>
      <c r="J1390" t="inlineStr">
        <is>
          <t>0.02</t>
        </is>
      </c>
      <c r="K1390"/>
      <c r="L1390" t="inlineStr">
        <is>
          <t>青岛小葵家外贸的店</t>
        </is>
      </c>
      <c r="M1390">
        <v>200000</v>
      </c>
      <c r="N1390">
        <v>4.55</v>
      </c>
      <c r="O1390">
        <v>90000</v>
      </c>
      <c r="P1390" t="inlineStr">
        <is>
          <t>694510acf17edd000192c07d</t>
        </is>
      </c>
      <c r="Q1390" t="inlineStr">
        <is>
          <t>🚫重复</t>
        </is>
      </c>
      <c r="R1390" t="inlineStr">
        <is>
          <t>14周</t>
        </is>
      </c>
      <c r="S1390" t="inlineStr">
        <is>
          <t>0.05</t>
        </is>
      </c>
      <c r="T1390" t="inlineStr">
        <is>
          <t>服饰穿搭</t>
        </is>
      </c>
      <c r="U1390" t="inlineStr">
        <is>
          <t>女装</t>
        </is>
      </c>
      <c r="V1390" s="3">
        <v>46112.78107638889</v>
      </c>
      <c r="W1390" t="inlineStr">
        <is>
          <t>2026-Q1</t>
        </is>
      </c>
    </row>
    <row r="1391" ht="25.5" customHeight="1">
      <c r="A1391" t="inlineStr">
        <is>
          <t>日本面料！夏季直筒棉麻长裤</t>
        </is>
      </c>
      <c r="B1391" t="inlineStr">
        <is>
          <t>recvdhGvoJiZUy.jpg</t>
        </is>
      </c>
      <c r="C1391" s="2" t="str">
        <f>=HYPERLINK("https://xhslink.com/m/12amFGeiEbs", "https://xhslink.com/m/12amFGeiEbs")</f>
        <v>https://xhslink.com/m/12amFGeiEbs</v>
      </c>
      <c r="D1391"/>
      <c r="E1391">
        <v>5172</v>
      </c>
      <c r="F1391">
        <v>698</v>
      </c>
      <c r="G1391"/>
      <c r="H1391">
        <v>200</v>
      </c>
      <c r="I1391" t="inlineStr">
        <is>
          <t>裤子</t>
        </is>
      </c>
      <c r="J1391" t="inlineStr">
        <is>
          <t>0.04</t>
        </is>
      </c>
      <c r="K1391"/>
      <c r="L1391" t="inlineStr">
        <is>
          <t>高坂大叔的店</t>
        </is>
      </c>
      <c r="M1391">
        <v>111000</v>
      </c>
      <c r="N1391">
        <v>4.78</v>
      </c>
      <c r="O1391">
        <v>410000</v>
      </c>
      <c r="P1391" t="inlineStr">
        <is>
          <t>67edf6c484d56b00013ba6a7</t>
        </is>
      </c>
      <c r="Q1391" t="inlineStr">
        <is>
          <t>🚫重复</t>
        </is>
      </c>
      <c r="R1391" t="inlineStr">
        <is>
          <t>14周</t>
        </is>
      </c>
      <c r="S1391" t="inlineStr">
        <is>
          <t>0.05</t>
        </is>
      </c>
      <c r="T1391" t="inlineStr">
        <is>
          <t>服饰穿搭</t>
        </is>
      </c>
      <c r="U1391" t="inlineStr">
        <is>
          <t>女装</t>
        </is>
      </c>
      <c r="V1391" s="3">
        <v>46112.78107638889</v>
      </c>
      <c r="W1391" t="inlineStr">
        <is>
          <t>2026-Q1</t>
        </is>
      </c>
    </row>
    <row r="1392" ht="25.5" customHeight="1">
      <c r="A1392" t="inlineStr">
        <is>
          <t>水感tee大V领宽松T恤夏露肩透气上衣跑步健身短袖百搭不挑人8766</t>
        </is>
      </c>
      <c r="B1392" t="inlineStr">
        <is>
          <t>recvdhGvoJyZla.jpg</t>
        </is>
      </c>
      <c r="C1392" s="2" t="str">
        <f>=HYPERLINK("https://xhslink.com/m/xu3VQu8gRf", "https://xhslink.com/m/xu3VQu8gRf")</f>
        <v>https://xhslink.com/m/xu3VQu8gRf</v>
      </c>
      <c r="D1392"/>
      <c r="E1392">
        <v>10000</v>
      </c>
      <c r="F1392">
        <v>68</v>
      </c>
      <c r="G1392"/>
      <c r="H1392">
        <v>200</v>
      </c>
      <c r="I1392" t="inlineStr">
        <is>
          <t>T恤</t>
        </is>
      </c>
      <c r="J1392" t="inlineStr">
        <is>
          <t>0.02</t>
        </is>
      </c>
      <c r="K1392"/>
      <c r="L1392" t="inlineStr">
        <is>
          <t>小鱼爱穿搭的店</t>
        </is>
      </c>
      <c r="M1392">
        <v>128000</v>
      </c>
      <c r="N1392">
        <v>4.45</v>
      </c>
      <c r="O1392">
        <v>601000</v>
      </c>
      <c r="P1392" t="inlineStr">
        <is>
          <t>67c97804e15c910001f4eb68</t>
        </is>
      </c>
      <c r="Q1392" t="inlineStr">
        <is>
          <t>🚫重复</t>
        </is>
      </c>
      <c r="R1392" t="inlineStr">
        <is>
          <t>14周</t>
        </is>
      </c>
      <c r="S1392" t="inlineStr">
        <is>
          <t>0.08</t>
        </is>
      </c>
      <c r="T1392" t="inlineStr">
        <is>
          <t>服饰穿搭</t>
        </is>
      </c>
      <c r="U1392" t="inlineStr">
        <is>
          <t>女装</t>
        </is>
      </c>
      <c r="V1392" s="3">
        <v>46112.78107638889</v>
      </c>
      <c r="W1392" t="inlineStr">
        <is>
          <t>2026-Q1</t>
        </is>
      </c>
    </row>
    <row r="1393" ht="25.5" customHeight="1">
      <c r="A1393" t="inlineStr">
        <is>
          <t>日本三醋酸连衣裙+桑蚕丝内衬</t>
        </is>
      </c>
      <c r="B1393" t="inlineStr">
        <is>
          <t>recvdhGvoJNGQG.jpg</t>
        </is>
      </c>
      <c r="C1393" s="2" t="str">
        <f>=HYPERLINK("https://xhslink.com/m/9PXwn6o2Rl9", "https://xhslink.com/m/9PXwn6o2Rl9")</f>
        <v>https://xhslink.com/m/9PXwn6o2Rl9</v>
      </c>
      <c r="D1393"/>
      <c r="E1393">
        <v>3813</v>
      </c>
      <c r="F1393">
        <v>788</v>
      </c>
      <c r="G1393"/>
      <c r="H1393">
        <v>200</v>
      </c>
      <c r="I1393" t="inlineStr">
        <is>
          <t>连衣裙</t>
        </is>
      </c>
      <c r="J1393" t="inlineStr">
        <is>
          <t>0.05</t>
        </is>
      </c>
      <c r="K1393"/>
      <c r="L1393" t="inlineStr">
        <is>
          <t>高坂大叔的店</t>
        </is>
      </c>
      <c r="M1393">
        <v>111000</v>
      </c>
      <c r="N1393">
        <v>4.78</v>
      </c>
      <c r="O1393">
        <v>410000</v>
      </c>
      <c r="P1393" t="inlineStr">
        <is>
          <t>67e5ed9a79c93d0001ea4e66</t>
        </is>
      </c>
      <c r="Q1393" t="inlineStr">
        <is>
          <t>🚫重复</t>
        </is>
      </c>
      <c r="R1393" t="inlineStr">
        <is>
          <t>14周</t>
        </is>
      </c>
      <c r="S1393" t="inlineStr">
        <is>
          <t>0.03</t>
        </is>
      </c>
      <c r="T1393" t="inlineStr">
        <is>
          <t>服饰穿搭</t>
        </is>
      </c>
      <c r="U1393" t="inlineStr">
        <is>
          <t>女装</t>
        </is>
      </c>
      <c r="V1393" s="3">
        <v>46112.78107638889</v>
      </c>
      <c r="W1393" t="inlineStr">
        <is>
          <t>2026-Q1</t>
        </is>
      </c>
    </row>
    <row r="1394" ht="25.5" customHeight="1">
      <c r="A1394" t="inlineStr">
        <is>
          <t>舟山弄堂薄皮小馄饨手工现做，薄如蝉翼，只用本地猪，新鲜早餐</t>
        </is>
      </c>
      <c r="B1394" t="inlineStr">
        <is>
          <t>recvdhGvoJvG2Z.jpg</t>
        </is>
      </c>
      <c r="C1394" s="2" t="str">
        <f>=HYPERLINK("https://xhslink.com/m/veeMTYtl5e", "https://xhslink.com/m/veeMTYtl5e")</f>
        <v>https://xhslink.com/m/veeMTYtl5e</v>
      </c>
      <c r="D1394"/>
      <c r="E1394">
        <v>60000</v>
      </c>
      <c r="F1394">
        <v>69.9</v>
      </c>
      <c r="G1394"/>
      <c r="H1394">
        <v>200</v>
      </c>
      <c r="I1394" t="inlineStr">
        <is>
          <t>早餐</t>
        </is>
      </c>
      <c r="J1394" t="inlineStr">
        <is>
          <t>0.00</t>
        </is>
      </c>
      <c r="K1394" t="inlineStr">
        <is>
          <t>🔥低粉爆款</t>
        </is>
      </c>
      <c r="L1394" t="inlineStr">
        <is>
          <t>三兔船长的店</t>
        </is>
      </c>
      <c r="M1394">
        <v>18000</v>
      </c>
      <c r="N1394">
        <v>4.68</v>
      </c>
      <c r="O1394">
        <v>103000</v>
      </c>
      <c r="P1394" t="inlineStr">
        <is>
          <t>66d16cc50eae590001dee319</t>
        </is>
      </c>
      <c r="Q1394" t="inlineStr">
        <is>
          <t>🚫重复</t>
        </is>
      </c>
      <c r="R1394" t="inlineStr">
        <is>
          <t>14周</t>
        </is>
      </c>
      <c r="S1394" t="inlineStr">
        <is>
          <t>3.33</t>
        </is>
      </c>
      <c r="T1394" t="inlineStr">
        <is>
          <t>美食滋补</t>
        </is>
      </c>
      <c r="U1394" t="inlineStr">
        <is>
          <t>休闲零食</t>
        </is>
      </c>
      <c r="V1394" s="3">
        <v>46112.78107638889</v>
      </c>
      <c r="W1394" t="inlineStr">
        <is>
          <t>2026-Q1</t>
        </is>
      </c>
    </row>
    <row r="1395" ht="25.5" customHeight="1">
      <c r="A1395" t="inlineStr">
        <is>
          <t>【老板疯了】零食大盲盒！从不刷评！良心做事！不满意包邮退回！</t>
        </is>
      </c>
      <c r="B1395" t="inlineStr">
        <is>
          <t>recvdhGvoJi2FH.jpg</t>
        </is>
      </c>
      <c r="C1395" s="2" t="str">
        <f>=HYPERLINK("https://xhslink.com/m/AsMitktHiNg", "https://xhslink.com/m/AsMitktHiNg")</f>
        <v>https://xhslink.com/m/AsMitktHiNg</v>
      </c>
      <c r="D1395"/>
      <c r="E1395">
        <v>178000</v>
      </c>
      <c r="F1395">
        <v>9.9</v>
      </c>
      <c r="G1395"/>
      <c r="H1395">
        <v>200</v>
      </c>
      <c r="I1395" t="inlineStr">
        <is>
          <t>便宜零食</t>
        </is>
      </c>
      <c r="J1395" t="inlineStr">
        <is>
          <t>0.00</t>
        </is>
      </c>
      <c r="K1395" t="inlineStr">
        <is>
          <t>🔥低粉爆款</t>
        </is>
      </c>
      <c r="L1395" t="inlineStr">
        <is>
          <t>林幺幺捡漏食品铺子的店</t>
        </is>
      </c>
      <c r="M1395">
        <v>6148</v>
      </c>
      <c r="N1395">
        <v>4.34</v>
      </c>
      <c r="O1395">
        <v>191000</v>
      </c>
      <c r="P1395" t="inlineStr">
        <is>
          <t>686a1d6b7ec78a00018ac2c7</t>
        </is>
      </c>
      <c r="Q1395"/>
      <c r="R1395" t="inlineStr">
        <is>
          <t>14周</t>
        </is>
      </c>
      <c r="S1395" t="inlineStr">
        <is>
          <t>28.95</t>
        </is>
      </c>
      <c r="T1395" t="inlineStr">
        <is>
          <t>美食滋补</t>
        </is>
      </c>
      <c r="U1395" t="inlineStr">
        <is>
          <t>休闲零食</t>
        </is>
      </c>
      <c r="V1395" s="3">
        <v>46112.78107638889</v>
      </c>
      <c r="W1395" t="inlineStr">
        <is>
          <t>2026-Q1</t>
        </is>
      </c>
    </row>
    <row r="1396" ht="25.5" customHeight="1">
      <c r="A1396" t="inlineStr">
        <is>
          <t>花千寻 · 桃夭化妆刷套装13支装动物毛新手入门眼影散粉刷全套家用便携化妆</t>
        </is>
      </c>
      <c r="B1396" t="inlineStr">
        <is>
          <t>recvdxJgGziqf9.jpg</t>
        </is>
      </c>
      <c r="C1396" s="2" t="str">
        <f>=HYPERLINK("https://xhslink.com/m/4kLYys2bH5N", "https://xhslink.com/m/4kLYys2bH5N")</f>
        <v>https://xhslink.com/m/4kLYys2bH5N</v>
      </c>
      <c r="D1396"/>
      <c r="E1396">
        <v>8019</v>
      </c>
      <c r="F1396">
        <v>25.9</v>
      </c>
      <c r="G1396"/>
      <c r="H1396">
        <v>200</v>
      </c>
      <c r="I1396" t="inlineStr">
        <is>
          <t>化妆刷</t>
        </is>
      </c>
      <c r="J1396" t="inlineStr">
        <is>
          <t>0.02</t>
        </is>
      </c>
      <c r="K1396" t="inlineStr">
        <is>
          <t>🔥低粉爆款</t>
        </is>
      </c>
      <c r="L1396" t="inlineStr">
        <is>
          <t>花千寻旗舰店</t>
        </is>
      </c>
      <c r="M1396">
        <v>910</v>
      </c>
      <c r="N1396">
        <v>4.52</v>
      </c>
      <c r="O1396">
        <v>74000</v>
      </c>
      <c r="P1396" t="inlineStr">
        <is>
          <t>69195b2c1c5b2a0001d86cf9</t>
        </is>
      </c>
      <c r="Q1396" t="inlineStr">
        <is>
          <t>🚫重复</t>
        </is>
      </c>
      <c r="R1396" t="inlineStr">
        <is>
          <t>14周</t>
        </is>
      </c>
      <c r="S1396" t="inlineStr">
        <is>
          <t>8.81</t>
        </is>
      </c>
      <c r="T1396" t="inlineStr">
        <is>
          <t>美妆个护</t>
        </is>
      </c>
      <c r="U1396" t="inlineStr">
        <is>
          <t>护肤彩妆</t>
        </is>
      </c>
      <c r="V1396" s="3">
        <v>46112.78107638889</v>
      </c>
      <c r="W1396" t="inlineStr">
        <is>
          <t>2026-Q1</t>
        </is>
      </c>
    </row>
    <row r="1397" ht="25.5" customHeight="1">
      <c r="A1397" t="inlineStr">
        <is>
          <t>娜涟 · NALY光感隔离霜均匀肤色提亮保湿隔离霜拍一发三</t>
        </is>
      </c>
      <c r="B1397" t="inlineStr">
        <is>
          <t>recvdDBukxxY64.jpg</t>
        </is>
      </c>
      <c r="C1397" s="2" t="str">
        <f>=HYPERLINK("https://xhslink.com/m/2KkNZiaATVs", "https://xhslink.com/m/2KkNZiaATVs")</f>
        <v>https://xhslink.com/m/2KkNZiaATVs</v>
      </c>
      <c r="D1397"/>
      <c r="E1397">
        <v>108000</v>
      </c>
      <c r="F1397">
        <v>139</v>
      </c>
      <c r="G1397"/>
      <c r="H1397">
        <v>200</v>
      </c>
      <c r="I1397" t="inlineStr">
        <is>
          <t>隔离霜</t>
        </is>
      </c>
      <c r="J1397" t="inlineStr">
        <is>
          <t>0.00</t>
        </is>
      </c>
      <c r="K1397" t="inlineStr">
        <is>
          <t>🔥低粉爆款</t>
        </is>
      </c>
      <c r="L1397" t="inlineStr">
        <is>
          <t>娜涟旗舰店</t>
        </is>
      </c>
      <c r="M1397">
        <v>12000</v>
      </c>
      <c r="N1397">
        <v>4.73</v>
      </c>
      <c r="O1397">
        <v>119000</v>
      </c>
      <c r="P1397" t="inlineStr">
        <is>
          <t>6608d031d4bfd4000187d84e</t>
        </is>
      </c>
      <c r="Q1397"/>
      <c r="R1397" t="inlineStr">
        <is>
          <t>14周</t>
        </is>
      </c>
      <c r="S1397" t="inlineStr">
        <is>
          <t>9.00</t>
        </is>
      </c>
      <c r="T1397" t="inlineStr">
        <is>
          <t>美妆个护</t>
        </is>
      </c>
      <c r="U1397" t="inlineStr">
        <is>
          <t>护肤彩妆</t>
        </is>
      </c>
      <c r="V1397" s="3">
        <v>46112.78107638889</v>
      </c>
      <c r="W1397" t="inlineStr">
        <is>
          <t>2026-Q1</t>
        </is>
      </c>
    </row>
    <row r="1398" ht="25.5" customHeight="1">
      <c r="A1398" t="inlineStr">
        <is>
          <t>磨脚神器纳米玻璃磨脚板脚后跟去死皮老茧搓脚板纳米玻璃磨脚器</t>
        </is>
      </c>
      <c r="B1398" t="inlineStr">
        <is>
          <t>recvdDBukxw6ea.jpg</t>
        </is>
      </c>
      <c r="C1398" s="2" t="str">
        <f>=HYPERLINK("https://xhslink.com/m/6mXKiGM0JtT", "https://xhslink.com/m/6mXKiGM0JtT")</f>
        <v>https://xhslink.com/m/6mXKiGM0JtT</v>
      </c>
      <c r="D1398"/>
      <c r="E1398">
        <v>81000</v>
      </c>
      <c r="F1398">
        <v>15.9</v>
      </c>
      <c r="G1398"/>
      <c r="H1398">
        <v>200</v>
      </c>
      <c r="I1398" t="inlineStr">
        <is>
          <t>足部护理</t>
        </is>
      </c>
      <c r="J1398" t="inlineStr">
        <is>
          <t>0.00</t>
        </is>
      </c>
      <c r="K1398"/>
      <c r="L1398" t="inlineStr">
        <is>
          <t>瓦東商贸（全品类）的店</t>
        </is>
      </c>
      <c r="M1398">
        <v>32000</v>
      </c>
      <c r="N1398">
        <v>4.64</v>
      </c>
      <c r="O1398">
        <v>438000</v>
      </c>
      <c r="P1398" t="inlineStr">
        <is>
          <t>696719113db79c0001823444</t>
        </is>
      </c>
      <c r="Q1398"/>
      <c r="R1398" t="inlineStr">
        <is>
          <t>14周</t>
        </is>
      </c>
      <c r="S1398" t="inlineStr">
        <is>
          <t>2.53</t>
        </is>
      </c>
      <c r="T1398" t="inlineStr">
        <is>
          <t>美妆个护</t>
        </is>
      </c>
      <c r="U1398" t="inlineStr">
        <is>
          <t>个人护理</t>
        </is>
      </c>
      <c r="V1398" s="3">
        <v>46112.78107638889</v>
      </c>
      <c r="W1398" t="inlineStr">
        <is>
          <t>2026-Q1</t>
        </is>
      </c>
    </row>
    <row r="1399" ht="25.5" customHeight="1">
      <c r="A1399" t="inlineStr">
        <is>
          <t>意大利原色直筒牛仔裤</t>
        </is>
      </c>
      <c r="B1399" t="inlineStr">
        <is>
          <t>recvdKDRQh5AuW.jpg</t>
        </is>
      </c>
      <c r="C1399" s="2" t="str">
        <f>=HYPERLINK("https://xhslink.com/m/9YdQnrf3uZ0", "https://xhslink.com/m/9YdQnrf3uZ0")</f>
        <v>https://xhslink.com/m/9YdQnrf3uZ0</v>
      </c>
      <c r="D1399"/>
      <c r="E1399">
        <v>8120</v>
      </c>
      <c r="F1399">
        <v>588</v>
      </c>
      <c r="G1399"/>
      <c r="H1399">
        <v>200</v>
      </c>
      <c r="I1399" t="inlineStr">
        <is>
          <t>裤子</t>
        </is>
      </c>
      <c r="J1399" t="inlineStr">
        <is>
          <t>0.02</t>
        </is>
      </c>
      <c r="K1399"/>
      <c r="L1399" t="inlineStr">
        <is>
          <t>高坂大叔的店</t>
        </is>
      </c>
      <c r="M1399">
        <v>111000</v>
      </c>
      <c r="N1399">
        <v>4.77</v>
      </c>
      <c r="O1399">
        <v>417000</v>
      </c>
      <c r="P1399" t="inlineStr">
        <is>
          <t>686215c26256090001d272ad</t>
        </is>
      </c>
      <c r="Q1399" t="inlineStr">
        <is>
          <t>🚫重复</t>
        </is>
      </c>
      <c r="R1399" t="inlineStr">
        <is>
          <t>14周</t>
        </is>
      </c>
      <c r="S1399" t="inlineStr">
        <is>
          <t>0.07</t>
        </is>
      </c>
      <c r="T1399" t="inlineStr">
        <is>
          <t>服饰穿搭</t>
        </is>
      </c>
      <c r="U1399" t="inlineStr">
        <is>
          <t>女装</t>
        </is>
      </c>
      <c r="V1399" s="3">
        <v>46112.78107638889</v>
      </c>
      <c r="W1399" t="inlineStr">
        <is>
          <t>2026-Q1</t>
        </is>
      </c>
    </row>
    <row r="1400" ht="25.5" customHeight="1">
      <c r="A1400" t="inlineStr">
        <is>
          <t>miu系高级感复古大容量托特包！单肩斜挎双肩三用包~多种背法！~</t>
        </is>
      </c>
      <c r="B1400" t="inlineStr">
        <is>
          <t>recvdKDRQhq9mZ.jpg</t>
        </is>
      </c>
      <c r="C1400" s="2" t="str">
        <f>=HYPERLINK("https://xhslink.com/m/3mgv9Ppc9oy", "https://xhslink.com/m/3mgv9Ppc9oy")</f>
        <v>https://xhslink.com/m/3mgv9Ppc9oy</v>
      </c>
      <c r="D1400"/>
      <c r="E1400">
        <v>88000</v>
      </c>
      <c r="F1400">
        <v>46.9</v>
      </c>
      <c r="G1400"/>
      <c r="H1400">
        <v>200</v>
      </c>
      <c r="I1400" t="inlineStr">
        <is>
          <t>包包</t>
        </is>
      </c>
      <c r="J1400" t="inlineStr">
        <is>
          <t>0.00</t>
        </is>
      </c>
      <c r="K1400" t="inlineStr">
        <is>
          <t>🔥低粉爆款</t>
        </is>
      </c>
      <c r="L1400" t="inlineStr">
        <is>
          <t>Nov. okk的店</t>
        </is>
      </c>
      <c r="M1400">
        <v>21000</v>
      </c>
      <c r="N1400">
        <v>4.55</v>
      </c>
      <c r="O1400">
        <v>203000</v>
      </c>
      <c r="P1400" t="inlineStr">
        <is>
          <t>671a4f652067120001a82baf</t>
        </is>
      </c>
      <c r="Q1400"/>
      <c r="R1400" t="inlineStr">
        <is>
          <t>14周</t>
        </is>
      </c>
      <c r="S1400" t="inlineStr">
        <is>
          <t>4.19</t>
        </is>
      </c>
      <c r="T1400" t="inlineStr">
        <is>
          <t>服饰穿搭</t>
        </is>
      </c>
      <c r="U1400" t="inlineStr">
        <is>
          <t>鞋靴箱包</t>
        </is>
      </c>
      <c r="V1400" s="3">
        <v>46112.78107638889</v>
      </c>
      <c r="W1400" t="inlineStr">
        <is>
          <t>2026-Q1</t>
        </is>
      </c>
    </row>
    <row r="1401" ht="25.5" customHeight="1">
      <c r="A1401" t="inlineStr">
        <is>
          <t>意大利原色直筒牛仔裤</t>
        </is>
      </c>
      <c r="B1401" t="inlineStr">
        <is>
          <t>recvdKDRQhNx6z.jpg</t>
        </is>
      </c>
      <c r="C1401" s="2" t="str">
        <f>=HYPERLINK("https://xhslink.com/m/9SsKaA16Wk0", "https://xhslink.com/m/9SsKaA16Wk0")</f>
        <v>https://xhslink.com/m/9SsKaA16Wk0</v>
      </c>
      <c r="D1401"/>
      <c r="E1401">
        <v>8127</v>
      </c>
      <c r="F1401">
        <v>588</v>
      </c>
      <c r="G1401"/>
      <c r="H1401">
        <v>200</v>
      </c>
      <c r="I1401" t="inlineStr">
        <is>
          <t>直裤</t>
        </is>
      </c>
      <c r="J1401" t="inlineStr">
        <is>
          <t>0.02</t>
        </is>
      </c>
      <c r="K1401"/>
      <c r="L1401" t="inlineStr">
        <is>
          <t>高坂大叔的店</t>
        </is>
      </c>
      <c r="M1401">
        <v>111000</v>
      </c>
      <c r="N1401">
        <v>4.77</v>
      </c>
      <c r="O1401">
        <v>417000</v>
      </c>
      <c r="P1401" t="inlineStr">
        <is>
          <t>682b33829a32770001c17cf5</t>
        </is>
      </c>
      <c r="Q1401" t="inlineStr">
        <is>
          <t>🚫重复</t>
        </is>
      </c>
      <c r="R1401" t="inlineStr">
        <is>
          <t>14周</t>
        </is>
      </c>
      <c r="S1401" t="inlineStr">
        <is>
          <t>0.07</t>
        </is>
      </c>
      <c r="T1401" t="inlineStr">
        <is>
          <t>服饰穿搭</t>
        </is>
      </c>
      <c r="U1401" t="inlineStr">
        <is>
          <t>女装</t>
        </is>
      </c>
      <c r="V1401" s="3">
        <v>46112.78107638889</v>
      </c>
      <c r="W1401" t="inlineStr">
        <is>
          <t>2026-Q1</t>
        </is>
      </c>
    </row>
    <row r="1402" ht="25.5" customHeight="1">
      <c r="A1402" t="inlineStr">
        <is>
          <t>灰色阔腿裤女秋季2025新款窄版高腰宽松垂感休闲瑜伽运动卫裤</t>
        </is>
      </c>
      <c r="B1402" t="inlineStr">
        <is>
          <t>recvdKDRQhUtpw.jpg</t>
        </is>
      </c>
      <c r="C1402" s="2" t="str">
        <f>=HYPERLINK("https://xhslink.com/m/9UThzWU1WMD", "https://xhslink.com/m/9UThzWU1WMD")</f>
        <v>https://xhslink.com/m/9UThzWU1WMD</v>
      </c>
      <c r="D1402"/>
      <c r="E1402">
        <v>32000</v>
      </c>
      <c r="F1402">
        <v>89</v>
      </c>
      <c r="G1402"/>
      <c r="H1402">
        <v>200</v>
      </c>
      <c r="I1402" t="inlineStr">
        <is>
          <t>休闲裤</t>
        </is>
      </c>
      <c r="J1402" t="inlineStr">
        <is>
          <t>0.01</t>
        </is>
      </c>
      <c r="K1402" t="inlineStr">
        <is>
          <t>🔥低粉爆款</t>
        </is>
      </c>
      <c r="L1402" t="inlineStr">
        <is>
          <t>酸奶玉米汤的店</t>
        </is>
      </c>
      <c r="M1402">
        <v>2293</v>
      </c>
      <c r="N1402">
        <v>4.68</v>
      </c>
      <c r="O1402">
        <v>49000</v>
      </c>
      <c r="P1402" t="inlineStr">
        <is>
          <t>68b556f06f3f720001c7973f</t>
        </is>
      </c>
      <c r="Q1402" t="inlineStr">
        <is>
          <t>🚫重复</t>
        </is>
      </c>
      <c r="R1402" t="inlineStr">
        <is>
          <t>14周</t>
        </is>
      </c>
      <c r="S1402" t="inlineStr">
        <is>
          <t>13.96</t>
        </is>
      </c>
      <c r="T1402" t="inlineStr">
        <is>
          <t>服饰穿搭</t>
        </is>
      </c>
      <c r="U1402" t="inlineStr">
        <is>
          <t>女装</t>
        </is>
      </c>
      <c r="V1402" s="3">
        <v>46112.78107638889</v>
      </c>
      <c r="W1402" t="inlineStr">
        <is>
          <t>2026-Q1</t>
        </is>
      </c>
    </row>
    <row r="1403" ht="25.5" customHeight="1">
      <c r="A1403" t="inlineStr">
        <is>
          <t>花尾渡 · 榄仁萨其马沙琪玛 传统糕点240克</t>
        </is>
      </c>
      <c r="B1403" t="inlineStr">
        <is>
          <t>recvdOJ3S2WkO3.jpg</t>
        </is>
      </c>
      <c r="C1403" s="2" t="str">
        <f>=HYPERLINK("https://xhslink.com/m/AwbvMzTgvS8", "https://xhslink.com/m/AwbvMzTgvS8")</f>
        <v>https://xhslink.com/m/AwbvMzTgvS8</v>
      </c>
      <c r="D1403"/>
      <c r="E1403">
        <v>174000</v>
      </c>
      <c r="F1403">
        <v>129</v>
      </c>
      <c r="G1403"/>
      <c r="H1403">
        <v>200</v>
      </c>
      <c r="I1403" t="inlineStr">
        <is>
          <t>糕点</t>
        </is>
      </c>
      <c r="J1403" t="inlineStr">
        <is>
          <t>0.00</t>
        </is>
      </c>
      <c r="K1403" t="inlineStr">
        <is>
          <t>🔥低粉爆款</t>
        </is>
      </c>
      <c r="L1403" t="inlineStr">
        <is>
          <t>花尾渡旗舰店</t>
        </is>
      </c>
      <c r="M1403">
        <v>34000</v>
      </c>
      <c r="N1403">
        <v>4.58</v>
      </c>
      <c r="O1403">
        <v>217000</v>
      </c>
      <c r="P1403" t="inlineStr">
        <is>
          <t>67dbe44e84926e000103734c</t>
        </is>
      </c>
      <c r="Q1403"/>
      <c r="R1403" t="inlineStr">
        <is>
          <t>14周</t>
        </is>
      </c>
      <c r="S1403" t="inlineStr">
        <is>
          <t>5.12</t>
        </is>
      </c>
      <c r="T1403" t="inlineStr">
        <is>
          <t>美食滋补</t>
        </is>
      </c>
      <c r="U1403" t="inlineStr">
        <is>
          <t>休闲零食</t>
        </is>
      </c>
      <c r="V1403" s="3">
        <v>46112.78107638889</v>
      </c>
      <c r="W1403" t="inlineStr">
        <is>
          <t>2026-Q1</t>
        </is>
      </c>
    </row>
    <row r="1404" ht="25.5" customHeight="1">
      <c r="A1404" t="inlineStr">
        <is>
          <t>北京稻香村 · 正宗北京三禾稻香村迷你小盒一样一块多口味mini 精致礼盒伴手礼</t>
        </is>
      </c>
      <c r="B1404" t="inlineStr">
        <is>
          <t>recvdOJ3S2xMEY.jpg</t>
        </is>
      </c>
      <c r="C1404" s="2" t="str">
        <f>=HYPERLINK("https://xhslink.com/m/50w3bKBXtPT", "https://xhslink.com/m/50w3bKBXtPT")</f>
        <v>https://xhslink.com/m/50w3bKBXtPT</v>
      </c>
      <c r="D1404"/>
      <c r="E1404">
        <v>21000</v>
      </c>
      <c r="F1404">
        <v>32.8</v>
      </c>
      <c r="G1404"/>
      <c r="H1404">
        <v>200</v>
      </c>
      <c r="I1404" t="inlineStr">
        <is>
          <t>糕点</t>
        </is>
      </c>
      <c r="J1404" t="inlineStr">
        <is>
          <t>0.01</t>
        </is>
      </c>
      <c r="K1404"/>
      <c r="L1404" t="inlineStr">
        <is>
          <t>北京稻香村专柜的店</t>
        </is>
      </c>
      <c r="M1404">
        <v>72000</v>
      </c>
      <c r="N1404">
        <v>4.68</v>
      </c>
      <c r="O1404">
        <v>316000</v>
      </c>
      <c r="P1404" t="inlineStr">
        <is>
          <t>68af241654c0f30001879475</t>
        </is>
      </c>
      <c r="Q1404"/>
      <c r="R1404" t="inlineStr">
        <is>
          <t>14周</t>
        </is>
      </c>
      <c r="S1404" t="inlineStr">
        <is>
          <t>0.29</t>
        </is>
      </c>
      <c r="T1404" t="inlineStr">
        <is>
          <t>美食滋补</t>
        </is>
      </c>
      <c r="U1404" t="inlineStr">
        <is>
          <t>休闲零食</t>
        </is>
      </c>
      <c r="V1404" s="3">
        <v>46112.78107638889</v>
      </c>
      <c r="W1404" t="inlineStr">
        <is>
          <t>2026-Q1</t>
        </is>
      </c>
    </row>
    <row r="1405" ht="25.5" customHeight="1">
      <c r="A1405" t="inlineStr">
        <is>
          <t>四川正宗高山枇杷九甜一酸现摘现发孕妇可炫应季水果</t>
        </is>
      </c>
      <c r="B1405" t="inlineStr">
        <is>
          <t>recvdOJ3S2Uhen.jpg</t>
        </is>
      </c>
      <c r="C1405" s="2" t="str">
        <f>=HYPERLINK("https://xhslink.com/m/Al2sjxjZPD9", "https://xhslink.com/m/Al2sjxjZPD9")</f>
        <v>https://xhslink.com/m/Al2sjxjZPD9</v>
      </c>
      <c r="D1405"/>
      <c r="E1405">
        <v>17000</v>
      </c>
      <c r="F1405">
        <v>368</v>
      </c>
      <c r="G1405"/>
      <c r="H1405">
        <v>200</v>
      </c>
      <c r="I1405" t="inlineStr">
        <is>
          <t>水果</t>
        </is>
      </c>
      <c r="J1405" t="inlineStr">
        <is>
          <t>0.01</t>
        </is>
      </c>
      <c r="K1405" t="inlineStr">
        <is>
          <t>🔥低粉爆款</t>
        </is>
      </c>
      <c r="L1405" t="inlineStr">
        <is>
          <t>果摆摆呀的店</t>
        </is>
      </c>
      <c r="M1405">
        <v>1020</v>
      </c>
      <c r="N1405">
        <v>4.14</v>
      </c>
      <c r="O1405">
        <v>25000</v>
      </c>
      <c r="P1405" t="inlineStr">
        <is>
          <t>664c7e38c0d6440001d166a6</t>
        </is>
      </c>
      <c r="Q1405"/>
      <c r="R1405" t="inlineStr">
        <is>
          <t>14周</t>
        </is>
      </c>
      <c r="S1405" t="inlineStr">
        <is>
          <t>16.67</t>
        </is>
      </c>
      <c r="T1405" t="inlineStr">
        <is>
          <t>美食滋补</t>
        </is>
      </c>
      <c r="U1405" t="inlineStr">
        <is>
          <t>生鲜特产</t>
        </is>
      </c>
      <c r="V1405" s="3">
        <v>46112.78107638889</v>
      </c>
      <c r="W1405" t="inlineStr">
        <is>
          <t>2026-Q1</t>
        </is>
      </c>
    </row>
    <row r="1406" ht="25.5" customHeight="1">
      <c r="A1406" t="inlineStr">
        <is>
          <t>自然搭档 · 陕西洛川红富士苹果延安苹果新鲜水果洛川苹果脆甜多汁</t>
        </is>
      </c>
      <c r="B1406" t="inlineStr">
        <is>
          <t>recvdOJ3S2qRmD.jpg</t>
        </is>
      </c>
      <c r="C1406" s="2" t="str">
        <f>=HYPERLINK("https://xhslink.com/m/19OorSvKcEh", "https://xhslink.com/m/19OorSvKcEh")</f>
        <v>https://xhslink.com/m/19OorSvKcEh</v>
      </c>
      <c r="D1406"/>
      <c r="E1406">
        <v>197000</v>
      </c>
      <c r="F1406">
        <v>46.9</v>
      </c>
      <c r="G1406"/>
      <c r="H1406">
        <v>200</v>
      </c>
      <c r="I1406" t="inlineStr">
        <is>
          <t>苹果</t>
        </is>
      </c>
      <c r="J1406" t="inlineStr">
        <is>
          <t>0.00</t>
        </is>
      </c>
      <c r="K1406" t="inlineStr">
        <is>
          <t>🔥低粉爆款</t>
        </is>
      </c>
      <c r="L1406" t="inlineStr">
        <is>
          <t>自然搭档旗舰店</t>
        </is>
      </c>
      <c r="M1406">
        <v>12000</v>
      </c>
      <c r="N1406">
        <v>4.59</v>
      </c>
      <c r="O1406">
        <v>487000</v>
      </c>
      <c r="P1406" t="inlineStr">
        <is>
          <t>663f110e19b7600001491f58</t>
        </is>
      </c>
      <c r="Q1406"/>
      <c r="R1406" t="inlineStr">
        <is>
          <t>14周</t>
        </is>
      </c>
      <c r="S1406" t="inlineStr">
        <is>
          <t>16.42</t>
        </is>
      </c>
      <c r="T1406" t="inlineStr">
        <is>
          <t>美食滋补</t>
        </is>
      </c>
      <c r="U1406" t="inlineStr">
        <is>
          <t>生鲜特产</t>
        </is>
      </c>
      <c r="V1406" s="3">
        <v>46112.78107638889</v>
      </c>
      <c r="W1406" t="inlineStr">
        <is>
          <t>2026-Q1</t>
        </is>
      </c>
    </row>
    <row r="1407" ht="25.5" customHeight="1">
      <c r="A1407" t="inlineStr">
        <is>
          <t>女王与鲜生 · 刺身拼盘 挪威三文鱼刺身北极贝北极甜虾鱼腩兰花蚌希鲮鱼海鲜</t>
        </is>
      </c>
      <c r="B1407" t="inlineStr">
        <is>
          <t>recvdOJ3S2p6PT.jpg</t>
        </is>
      </c>
      <c r="C1407" s="2" t="str">
        <f>=HYPERLINK("https://xhslink.com/m/A0ETIeFMVo3", "https://xhslink.com/m/A0ETIeFMVo3")</f>
        <v>https://xhslink.com/m/A0ETIeFMVo3</v>
      </c>
      <c r="D1407"/>
      <c r="E1407">
        <v>58000</v>
      </c>
      <c r="F1407">
        <v>74</v>
      </c>
      <c r="G1407"/>
      <c r="H1407">
        <v>200</v>
      </c>
      <c r="I1407" t="inlineStr">
        <is>
          <t>三文鱼</t>
        </is>
      </c>
      <c r="J1407" t="inlineStr">
        <is>
          <t>0.00</t>
        </is>
      </c>
      <c r="K1407"/>
      <c r="L1407" t="inlineStr">
        <is>
          <t>女王与鲜生旗舰店</t>
        </is>
      </c>
      <c r="M1407">
        <v>22000</v>
      </c>
      <c r="N1407">
        <v>4.75</v>
      </c>
      <c r="O1407">
        <v>119000</v>
      </c>
      <c r="P1407" t="inlineStr">
        <is>
          <t>665430e0d5d5a10001e989ed</t>
        </is>
      </c>
      <c r="Q1407" t="inlineStr">
        <is>
          <t>🚫重复</t>
        </is>
      </c>
      <c r="R1407" t="inlineStr">
        <is>
          <t>14周</t>
        </is>
      </c>
      <c r="S1407" t="inlineStr">
        <is>
          <t>2.64</t>
        </is>
      </c>
      <c r="T1407" t="inlineStr">
        <is>
          <t>美食滋补</t>
        </is>
      </c>
      <c r="U1407" t="inlineStr">
        <is>
          <t>生鲜特产</t>
        </is>
      </c>
      <c r="V1407" s="3">
        <v>46112.78107638889</v>
      </c>
      <c r="W1407" t="inlineStr">
        <is>
          <t>2026-Q1</t>
        </is>
      </c>
    </row>
    <row r="1408" ht="25.5" customHeight="1">
      <c r="A1408" t="inlineStr">
        <is>
          <t>柠檬气泡花束 小清新风格</t>
        </is>
      </c>
      <c r="B1408" t="inlineStr">
        <is>
          <t>recvdOJ3S2Xpc7.jpg</t>
        </is>
      </c>
      <c r="C1408" s="2" t="str">
        <f>=HYPERLINK("https://xhslink.com/m/8MFNnzYAvX5", "https://xhslink.com/m/8MFNnzYAvX5")</f>
        <v>https://xhslink.com/m/8MFNnzYAvX5</v>
      </c>
      <c r="D1408"/>
      <c r="E1408">
        <v>5490</v>
      </c>
      <c r="F1408">
        <v>29.9</v>
      </c>
      <c r="G1408"/>
      <c r="H1408">
        <v>200</v>
      </c>
      <c r="I1408" t="inlineStr">
        <is>
          <t>鲜花</t>
        </is>
      </c>
      <c r="J1408" t="inlineStr">
        <is>
          <t>0.04</t>
        </is>
      </c>
      <c r="K1408"/>
      <c r="L1408" t="inlineStr">
        <is>
          <t>云觅鲜花的店</t>
        </is>
      </c>
      <c r="M1408">
        <v>471000</v>
      </c>
      <c r="N1408">
        <v>4.46</v>
      </c>
      <c r="O1408">
        <v>1598000</v>
      </c>
      <c r="P1408" t="inlineStr">
        <is>
          <t>698c3cc884b90b00015bad2f</t>
        </is>
      </c>
      <c r="Q1408" t="inlineStr">
        <is>
          <t>🚫重复</t>
        </is>
      </c>
      <c r="R1408" t="inlineStr">
        <is>
          <t>14周</t>
        </is>
      </c>
      <c r="S1408" t="inlineStr">
        <is>
          <t>0.01</t>
        </is>
      </c>
      <c r="T1408" t="inlineStr">
        <is>
          <t>家居生活</t>
        </is>
      </c>
      <c r="U1408" t="inlineStr">
        <is>
          <t>家具家装</t>
        </is>
      </c>
      <c r="V1408" s="3">
        <v>46112.78107638889</v>
      </c>
      <c r="W1408" t="inlineStr">
        <is>
          <t>2026-Q1</t>
        </is>
      </c>
    </row>
    <row r="1409" ht="25.5" customHeight="1">
      <c r="A1409" t="inlineStr">
        <is>
          <t>厚底3cm德训鞋女春秋透气低帮百搭休闲鞋舒适软弹阿甘鞋休闲板鞋</t>
        </is>
      </c>
      <c r="B1409" t="inlineStr">
        <is>
          <t>recvdOJ3S2rlB0.jpg</t>
        </is>
      </c>
      <c r="C1409" s="2" t="str">
        <f>=HYPERLINK("https://xhslink.com/m/4P30JeLQWkR", "https://xhslink.com/m/4P30JeLQWkR")</f>
        <v>https://xhslink.com/m/4P30JeLQWkR</v>
      </c>
      <c r="D1409"/>
      <c r="E1409">
        <v>32000</v>
      </c>
      <c r="F1409">
        <v>69</v>
      </c>
      <c r="G1409"/>
      <c r="H1409">
        <v>200</v>
      </c>
      <c r="I1409" t="inlineStr">
        <is>
          <t>板鞋</t>
        </is>
      </c>
      <c r="J1409" t="inlineStr">
        <is>
          <t>0.01</t>
        </is>
      </c>
      <c r="K1409" t="inlineStr">
        <is>
          <t>🔥低粉爆款</t>
        </is>
      </c>
      <c r="L1409" t="inlineStr">
        <is>
          <t>格物桃的店</t>
        </is>
      </c>
      <c r="M1409">
        <v>3200</v>
      </c>
      <c r="N1409">
        <v>4.66</v>
      </c>
      <c r="O1409">
        <v>58000</v>
      </c>
      <c r="P1409" t="inlineStr">
        <is>
          <t>66d124510614b500016aca3c</t>
        </is>
      </c>
      <c r="Q1409" t="inlineStr">
        <is>
          <t>🚫重复</t>
        </is>
      </c>
      <c r="R1409" t="inlineStr">
        <is>
          <t>14周</t>
        </is>
      </c>
      <c r="S1409" t="inlineStr">
        <is>
          <t>10.00</t>
        </is>
      </c>
      <c r="T1409" t="inlineStr">
        <is>
          <t>服饰穿搭</t>
        </is>
      </c>
      <c r="U1409" t="inlineStr">
        <is>
          <t>鞋靴箱包</t>
        </is>
      </c>
      <c r="V1409" s="3">
        <v>46112.78107638889</v>
      </c>
      <c r="W1409" t="inlineStr">
        <is>
          <t>2026-Q1</t>
        </is>
      </c>
    </row>
    <row r="1410" ht="25.5" customHeight="1">
      <c r="A1410" t="inlineStr">
        <is>
          <t>厚底毛边帆布鞋女2025年秋季新款韩版百搭增高软底不累脚低帮板鞋</t>
        </is>
      </c>
      <c r="B1410" t="inlineStr">
        <is>
          <t>recvdOJ3S26Udp.jpg</t>
        </is>
      </c>
      <c r="C1410" s="2" t="str">
        <f>=HYPERLINK("https://xhslink.com/m/7IJqHPmmgju", "https://xhslink.com/m/7IJqHPmmgju")</f>
        <v>https://xhslink.com/m/7IJqHPmmgju</v>
      </c>
      <c r="D1410"/>
      <c r="E1410">
        <v>15000</v>
      </c>
      <c r="F1410">
        <v>54.9</v>
      </c>
      <c r="G1410"/>
      <c r="H1410">
        <v>200</v>
      </c>
      <c r="I1410" t="inlineStr">
        <is>
          <t>板鞋</t>
        </is>
      </c>
      <c r="J1410" t="inlineStr">
        <is>
          <t>0.01</t>
        </is>
      </c>
      <c r="K1410" t="inlineStr">
        <is>
          <t>🔥低粉爆款</t>
        </is>
      </c>
      <c r="L1410" t="inlineStr">
        <is>
          <t>松荟鱼酱鞋屋的店</t>
        </is>
      </c>
      <c r="M1410">
        <v>4896</v>
      </c>
      <c r="N1410">
        <v>4.36</v>
      </c>
      <c r="O1410">
        <v>67000</v>
      </c>
      <c r="P1410" t="inlineStr">
        <is>
          <t>67f2901cb2c30c00019f0fe7</t>
        </is>
      </c>
      <c r="Q1410" t="inlineStr">
        <is>
          <t>🚫重复</t>
        </is>
      </c>
      <c r="R1410" t="inlineStr">
        <is>
          <t>14周</t>
        </is>
      </c>
      <c r="S1410" t="inlineStr">
        <is>
          <t>3.06</t>
        </is>
      </c>
      <c r="T1410" t="inlineStr">
        <is>
          <t>服饰穿搭</t>
        </is>
      </c>
      <c r="U1410" t="inlineStr">
        <is>
          <t>鞋靴箱包</t>
        </is>
      </c>
      <c r="V1410" s="3">
        <v>46112.78107638889</v>
      </c>
      <c r="W1410" t="inlineStr">
        <is>
          <t>2026-Q1</t>
        </is>
      </c>
    </row>
    <row r="1411" ht="25.5" customHeight="1">
      <c r="A1411" t="inlineStr">
        <is>
          <t>FFDolly原创手作ins芭蕾风痛包通勤小众抽绳双肩包少女</t>
        </is>
      </c>
      <c r="B1411" t="inlineStr">
        <is>
          <t>recvdOJ3S2xxmX.jpg</t>
        </is>
      </c>
      <c r="C1411" s="2" t="str">
        <f>=HYPERLINK("https://xhslink.com/m/1XxHjQnSVV9", "https://xhslink.com/m/1XxHjQnSVV9")</f>
        <v>https://xhslink.com/m/1XxHjQnSVV9</v>
      </c>
      <c r="D1411"/>
      <c r="E1411">
        <v>2432</v>
      </c>
      <c r="F1411">
        <v>999</v>
      </c>
      <c r="G1411"/>
      <c r="H1411">
        <v>200</v>
      </c>
      <c r="I1411" t="inlineStr">
        <is>
          <t>双肩包</t>
        </is>
      </c>
      <c r="J1411" t="inlineStr">
        <is>
          <t>0.08</t>
        </is>
      </c>
      <c r="K1411"/>
      <c r="L1411" t="inlineStr">
        <is>
          <t>FFDolly的店</t>
        </is>
      </c>
      <c r="M1411">
        <v>4640</v>
      </c>
      <c r="N1411">
        <v>4.53</v>
      </c>
      <c r="O1411">
        <v>6042</v>
      </c>
      <c r="P1411" t="inlineStr">
        <is>
          <t>68a94a1116e5830001bc7b88</t>
        </is>
      </c>
      <c r="Q1411" t="inlineStr">
        <is>
          <t>🚫重复</t>
        </is>
      </c>
      <c r="R1411" t="inlineStr">
        <is>
          <t>14周</t>
        </is>
      </c>
      <c r="S1411" t="inlineStr">
        <is>
          <t>0.52</t>
        </is>
      </c>
      <c r="T1411" t="inlineStr">
        <is>
          <t>服饰穿搭</t>
        </is>
      </c>
      <c r="U1411" t="inlineStr">
        <is>
          <t>鞋靴箱包</t>
        </is>
      </c>
      <c r="V1411" s="3">
        <v>46112.78107638889</v>
      </c>
      <c r="W1411" t="inlineStr">
        <is>
          <t>2026-Q1</t>
        </is>
      </c>
    </row>
    <row r="1412" ht="25.5" customHeight="1">
      <c r="A1412" t="inlineStr">
        <is>
          <t>韩系气质慵懒百搭通勤学院休闲包包斜挎单肩包包</t>
        </is>
      </c>
      <c r="B1412" t="inlineStr">
        <is>
          <t>recvdOJ3S2DTWq.jpg</t>
        </is>
      </c>
      <c r="C1412" s="2" t="str">
        <f>=HYPERLINK("https://xhslink.com/m/4SWvpVS74WD", "https://xhslink.com/m/4SWvpVS74WD")</f>
        <v>https://xhslink.com/m/4SWvpVS74WD</v>
      </c>
      <c r="D1412"/>
      <c r="E1412">
        <v>18000</v>
      </c>
      <c r="F1412">
        <v>69.9</v>
      </c>
      <c r="G1412"/>
      <c r="H1412">
        <v>200</v>
      </c>
      <c r="I1412" t="inlineStr">
        <is>
          <t>单肩包</t>
        </is>
      </c>
      <c r="J1412" t="inlineStr">
        <is>
          <t>0.01</t>
        </is>
      </c>
      <c r="K1412"/>
      <c r="L1412" t="inlineStr">
        <is>
          <t>SLOW的店</t>
        </is>
      </c>
      <c r="M1412">
        <v>60000</v>
      </c>
      <c r="N1412">
        <v>4.58</v>
      </c>
      <c r="O1412">
        <v>57000</v>
      </c>
      <c r="P1412" t="inlineStr">
        <is>
          <t>6735edad4f0ec7000180af26</t>
        </is>
      </c>
      <c r="Q1412" t="inlineStr">
        <is>
          <t>🚫重复</t>
        </is>
      </c>
      <c r="R1412" t="inlineStr">
        <is>
          <t>14周</t>
        </is>
      </c>
      <c r="S1412" t="inlineStr">
        <is>
          <t>0.30</t>
        </is>
      </c>
      <c r="T1412" t="inlineStr">
        <is>
          <t>服饰穿搭</t>
        </is>
      </c>
      <c r="U1412" t="inlineStr">
        <is>
          <t>鞋靴箱包</t>
        </is>
      </c>
      <c r="V1412" s="3">
        <v>46112.78107638889</v>
      </c>
      <c r="W1412" t="inlineStr">
        <is>
          <t>2026-Q1</t>
        </is>
      </c>
    </row>
    <row r="1413" ht="25.5" customHeight="1">
      <c r="A1413" t="inlineStr">
        <is>
          <t>心愿先生 · 一步猫眼甲油胶2026新款9色猫眼胶指甲油正品爆款</t>
        </is>
      </c>
      <c r="B1413" t="inlineStr">
        <is>
          <t>recvdOJ3S2X2aq.jpg</t>
        </is>
      </c>
      <c r="C1413" s="2" t="str">
        <f>=HYPERLINK("https://xhslink.com/m/tf3ZQ9ELRM", "https://xhslink.com/m/tf3ZQ9ELRM")</f>
        <v>https://xhslink.com/m/tf3ZQ9ELRM</v>
      </c>
      <c r="D1413"/>
      <c r="E1413">
        <v>5389</v>
      </c>
      <c r="F1413">
        <v>49.9</v>
      </c>
      <c r="G1413"/>
      <c r="H1413">
        <v>200</v>
      </c>
      <c r="I1413" t="inlineStr">
        <is>
          <t>美甲甲油胶</t>
        </is>
      </c>
      <c r="J1413" t="inlineStr">
        <is>
          <t>0.04</t>
        </is>
      </c>
      <c r="K1413"/>
      <c r="L1413" t="inlineStr">
        <is>
          <t>MR.WISH心愿先生有鲤美妆工具专卖店</t>
        </is>
      </c>
      <c r="M1413">
        <v>102000</v>
      </c>
      <c r="N1413">
        <v>4.35</v>
      </c>
      <c r="O1413">
        <v>296000</v>
      </c>
      <c r="P1413" t="inlineStr">
        <is>
          <t>68a96a745ce8aa000173e418</t>
        </is>
      </c>
      <c r="Q1413" t="inlineStr">
        <is>
          <t>🚫重复</t>
        </is>
      </c>
      <c r="R1413" t="inlineStr">
        <is>
          <t>14周</t>
        </is>
      </c>
      <c r="S1413" t="inlineStr">
        <is>
          <t>0.05</t>
        </is>
      </c>
      <c r="T1413" t="inlineStr">
        <is>
          <t>美妆个护</t>
        </is>
      </c>
      <c r="U1413" t="inlineStr">
        <is>
          <t>护肤彩妆</t>
        </is>
      </c>
      <c r="V1413" s="3">
        <v>46112.78107638889</v>
      </c>
      <c r="W1413" t="inlineStr">
        <is>
          <t>2026-Q1</t>
        </is>
      </c>
    </row>
    <row r="1414" ht="25.5" customHeight="1">
      <c r="A1414" t="inlineStr">
        <is>
          <t>其他 · 花姐家·古法【活性醪糟】手工醪糟酒酿 月子酒 自然发酵 顺丰包邮</t>
        </is>
      </c>
      <c r="B1414" t="inlineStr">
        <is>
          <t>recvdRkif42KvN.jpg</t>
        </is>
      </c>
      <c r="C1414" s="2" t="str">
        <f>=HYPERLINK("https://xhslink.com/m/9ailCk94xzq", "https://xhslink.com/m/9ailCk94xzq")</f>
        <v>https://xhslink.com/m/9ailCk94xzq</v>
      </c>
      <c r="D1414"/>
      <c r="E1414">
        <v>14000</v>
      </c>
      <c r="F1414">
        <v>31.8</v>
      </c>
      <c r="G1414">
        <v>30.8</v>
      </c>
      <c r="H1414">
        <v>200</v>
      </c>
      <c r="I1414" t="inlineStr">
        <is>
          <t>零食</t>
        </is>
      </c>
      <c r="J1414" t="inlineStr">
        <is>
          <t>0.01</t>
        </is>
      </c>
      <c r="K1414" t="inlineStr">
        <is>
          <t>🔥低粉爆款</t>
        </is>
      </c>
      <c r="L1414" t="inlineStr">
        <is>
          <t>花姐的古法醪糟米酒的店</t>
        </is>
      </c>
      <c r="M1414">
        <v>1754</v>
      </c>
      <c r="N1414">
        <v>4.54</v>
      </c>
      <c r="O1414">
        <v>14000</v>
      </c>
      <c r="P1414" t="inlineStr">
        <is>
          <t>68c4cdac34db2a00013e4fd6</t>
        </is>
      </c>
      <c r="Q1414" t="inlineStr">
        <is>
          <t>🚫重复</t>
        </is>
      </c>
      <c r="R1414" t="inlineStr">
        <is>
          <t>14周</t>
        </is>
      </c>
      <c r="S1414" t="inlineStr">
        <is>
          <t>7.98</t>
        </is>
      </c>
      <c r="T1414" t="inlineStr">
        <is>
          <t>美食滋补</t>
        </is>
      </c>
      <c r="U1414" t="inlineStr">
        <is>
          <t>酒水冲饮</t>
        </is>
      </c>
      <c r="V1414" s="3">
        <v>46112.78107638889</v>
      </c>
      <c r="W1414" t="inlineStr">
        <is>
          <t>2026-Q1</t>
        </is>
      </c>
    </row>
    <row r="1415" ht="25.5" customHeight="1">
      <c r="A1415" t="inlineStr">
        <is>
          <t>MSMZ · 【新品】慢熟麦子五重抹茶米软欧面包网红下午茶博主推荐</t>
        </is>
      </c>
      <c r="B1415" t="inlineStr">
        <is>
          <t>recvdRkif4PFJq.jpg</t>
        </is>
      </c>
      <c r="C1415" s="2" t="str">
        <f>=HYPERLINK("https://xhslink.com/m/4Fw8mh4441M", "https://xhslink.com/m/4Fw8mh4441M")</f>
        <v>https://xhslink.com/m/4Fw8mh4441M</v>
      </c>
      <c r="D1415"/>
      <c r="E1415">
        <v>38000</v>
      </c>
      <c r="F1415">
        <v>16.9</v>
      </c>
      <c r="G1415">
        <v>13.9</v>
      </c>
      <c r="H1415">
        <v>200</v>
      </c>
      <c r="I1415" t="inlineStr">
        <is>
          <t>零食</t>
        </is>
      </c>
      <c r="J1415" t="inlineStr">
        <is>
          <t>0.01</t>
        </is>
      </c>
      <c r="K1415"/>
      <c r="L1415" t="inlineStr">
        <is>
          <t>MSMZ 面包旗舰店</t>
        </is>
      </c>
      <c r="M1415">
        <v>67000</v>
      </c>
      <c r="N1415">
        <v>4.37</v>
      </c>
      <c r="O1415">
        <v>460000</v>
      </c>
      <c r="P1415" t="inlineStr">
        <is>
          <t>68d216af7d96540001027ee0</t>
        </is>
      </c>
      <c r="Q1415" t="inlineStr">
        <is>
          <t>🚫重复</t>
        </is>
      </c>
      <c r="R1415" t="inlineStr">
        <is>
          <t>14周</t>
        </is>
      </c>
      <c r="S1415" t="inlineStr">
        <is>
          <t>0.57</t>
        </is>
      </c>
      <c r="T1415" t="inlineStr">
        <is>
          <t>美食滋补</t>
        </is>
      </c>
      <c r="U1415" t="inlineStr">
        <is>
          <t>休闲零食</t>
        </is>
      </c>
      <c r="V1415" s="3">
        <v>46112.78107638889</v>
      </c>
      <c r="W1415" t="inlineStr">
        <is>
          <t>2026-Q1</t>
        </is>
      </c>
    </row>
    <row r="1416" ht="25.5" customHeight="1">
      <c r="A1416" t="inlineStr">
        <is>
          <t>【顺丰包邮】28.8自选8个碱水球 加购结算自动改价</t>
        </is>
      </c>
      <c r="B1416" t="inlineStr">
        <is>
          <t>recvdRkif4Lyh0.jpg</t>
        </is>
      </c>
      <c r="C1416" s="2" t="str">
        <f>=HYPERLINK("https://xhslink.com/m/6OTG6OkLv2N", "https://xhslink.com/m/6OTG6OkLv2N")</f>
        <v>https://xhslink.com/m/6OTG6OkLv2N</v>
      </c>
      <c r="D1416"/>
      <c r="E1416">
        <v>15000</v>
      </c>
      <c r="F1416">
        <v>9.6</v>
      </c>
      <c r="G1416"/>
      <c r="H1416">
        <v>200</v>
      </c>
      <c r="I1416" t="inlineStr">
        <is>
          <t>零食</t>
        </is>
      </c>
      <c r="J1416" t="inlineStr">
        <is>
          <t>0.01</t>
        </is>
      </c>
      <c r="K1416"/>
      <c r="L1416" t="inlineStr">
        <is>
          <t>日光手作BaKery的店</t>
        </is>
      </c>
      <c r="M1416">
        <v>6515</v>
      </c>
      <c r="N1416">
        <v>4.59</v>
      </c>
      <c r="O1416">
        <v>255000</v>
      </c>
      <c r="P1416" t="inlineStr">
        <is>
          <t>692adc33b70fce0001fb5a09</t>
        </is>
      </c>
      <c r="Q1416"/>
      <c r="R1416" t="inlineStr">
        <is>
          <t>14周</t>
        </is>
      </c>
      <c r="S1416" t="inlineStr">
        <is>
          <t>2.30</t>
        </is>
      </c>
      <c r="T1416" t="inlineStr">
        <is>
          <t>美食滋补</t>
        </is>
      </c>
      <c r="U1416" t="inlineStr">
        <is>
          <t>休闲零食</t>
        </is>
      </c>
      <c r="V1416" s="3">
        <v>46112.78107638889</v>
      </c>
      <c r="W1416" t="inlineStr">
        <is>
          <t>2026-Q1</t>
        </is>
      </c>
    </row>
    <row r="1417" ht="25.5" customHeight="1">
      <c r="A1417" t="inlineStr">
        <is>
          <t>乌蔓 · WOMO弹力素护卷塑型定型保湿轻盈蓬松卷发造型烫头发护发改善毛糙</t>
        </is>
      </c>
      <c r="B1417" t="inlineStr">
        <is>
          <t>recvdRkif4bs7y.jpg</t>
        </is>
      </c>
      <c r="C1417" s="2" t="str">
        <f>=HYPERLINK("https://xhslink.com/m/5gEXH9cnrTm", "https://xhslink.com/m/5gEXH9cnrTm")</f>
        <v>https://xhslink.com/m/5gEXH9cnrTm</v>
      </c>
      <c r="D1417"/>
      <c r="E1417">
        <v>71000</v>
      </c>
      <c r="F1417">
        <v>89</v>
      </c>
      <c r="G1417"/>
      <c r="H1417">
        <v>200</v>
      </c>
      <c r="I1417" t="inlineStr">
        <is>
          <t>美发养发</t>
        </is>
      </c>
      <c r="J1417" t="inlineStr">
        <is>
          <t>0.00</t>
        </is>
      </c>
      <c r="K1417" t="inlineStr">
        <is>
          <t>🔥低粉爆款</t>
        </is>
      </c>
      <c r="L1417" t="inlineStr">
        <is>
          <t>乌蔓旗舰店</t>
        </is>
      </c>
      <c r="M1417">
        <v>15000</v>
      </c>
      <c r="N1417">
        <v>4.53</v>
      </c>
      <c r="O1417">
        <v>701000</v>
      </c>
      <c r="P1417" t="inlineStr">
        <is>
          <t>6576d0c7152a7600016d074f</t>
        </is>
      </c>
      <c r="Q1417" t="inlineStr">
        <is>
          <t>🚫重复</t>
        </is>
      </c>
      <c r="R1417" t="inlineStr">
        <is>
          <t>14周</t>
        </is>
      </c>
      <c r="S1417" t="inlineStr">
        <is>
          <t>4.73</t>
        </is>
      </c>
      <c r="T1417" t="inlineStr">
        <is>
          <t>美妆个护</t>
        </is>
      </c>
      <c r="U1417" t="inlineStr">
        <is>
          <t>个人护理</t>
        </is>
      </c>
      <c r="V1417" s="3">
        <v>46112.78107638889</v>
      </c>
      <c r="W1417" t="inlineStr">
        <is>
          <t>2026-Q1</t>
        </is>
      </c>
    </row>
    <row r="1418" ht="25.5" customHeight="1">
      <c r="A1418" t="inlineStr">
        <is>
          <t>ZkYo · 花萃肌密·美白防晒霜SPF50+PA+++</t>
        </is>
      </c>
      <c r="B1418" t="inlineStr">
        <is>
          <t>recvdRkif4Um5d.jpg</t>
        </is>
      </c>
      <c r="C1418" s="2" t="str">
        <f>=HYPERLINK("https://xhslink.com/m/18pfYaO7osU", "https://xhslink.com/m/18pfYaO7osU")</f>
        <v>https://xhslink.com/m/18pfYaO7osU</v>
      </c>
      <c r="D1418"/>
      <c r="E1418">
        <v>14000</v>
      </c>
      <c r="F1418">
        <v>9.9</v>
      </c>
      <c r="G1418"/>
      <c r="H1418">
        <v>200</v>
      </c>
      <c r="I1418" t="inlineStr">
        <is>
          <t>防晒</t>
        </is>
      </c>
      <c r="J1418" t="inlineStr">
        <is>
          <t>0.01</t>
        </is>
      </c>
      <c r="K1418"/>
      <c r="L1418" t="inlineStr">
        <is>
          <t>小羊困了护肤shop的店</t>
        </is>
      </c>
      <c r="M1418">
        <v>17000</v>
      </c>
      <c r="N1418">
        <v>4.45</v>
      </c>
      <c r="O1418">
        <v>49000</v>
      </c>
      <c r="P1418" t="inlineStr">
        <is>
          <t>66a755205a796d0001ad4e00</t>
        </is>
      </c>
      <c r="Q1418"/>
      <c r="R1418" t="inlineStr">
        <is>
          <t>14周</t>
        </is>
      </c>
      <c r="S1418" t="inlineStr">
        <is>
          <t>0.82</t>
        </is>
      </c>
      <c r="T1418" t="inlineStr">
        <is>
          <t>美妆个护</t>
        </is>
      </c>
      <c r="U1418" t="inlineStr">
        <is>
          <t>护肤彩妆</t>
        </is>
      </c>
      <c r="V1418" s="3">
        <v>46112.78107638889</v>
      </c>
      <c r="W1418" t="inlineStr">
        <is>
          <t>2026-Q1</t>
        </is>
      </c>
    </row>
    <row r="1419" ht="25.5" customHeight="1">
      <c r="A1419" t="inlineStr">
        <is>
          <t>DPDP · 【何泓姗同款】city beauty轻薄水润高遮瑕混干油皮粉底液c</t>
        </is>
      </c>
      <c r="B1419" t="inlineStr">
        <is>
          <t>recvdRkif4Ver6.jpg</t>
        </is>
      </c>
      <c r="C1419" s="2" t="str">
        <f>=HYPERLINK("https://xhslink.com/m/8cNjIjvhNp9", "https://xhslink.com/m/8cNjIjvhNp9")</f>
        <v>https://xhslink.com/m/8cNjIjvhNp9</v>
      </c>
      <c r="D1419"/>
      <c r="E1419">
        <v>299000</v>
      </c>
      <c r="F1419">
        <v>79.9</v>
      </c>
      <c r="G1419">
        <v>59.9</v>
      </c>
      <c r="H1419">
        <v>200</v>
      </c>
      <c r="I1419" t="inlineStr">
        <is>
          <t>轮廓底妆</t>
        </is>
      </c>
      <c r="J1419" t="inlineStr">
        <is>
          <t>0.00</t>
        </is>
      </c>
      <c r="K1419"/>
      <c r="L1419" t="inlineStr">
        <is>
          <t>DPDP旗舰店</t>
        </is>
      </c>
      <c r="M1419">
        <v>117000</v>
      </c>
      <c r="N1419">
        <v>4.6</v>
      </c>
      <c r="O1419">
        <v>698000</v>
      </c>
      <c r="P1419" t="inlineStr">
        <is>
          <t>661f4370563f1e00019ac9ef</t>
        </is>
      </c>
      <c r="Q1419"/>
      <c r="R1419" t="inlineStr">
        <is>
          <t>14周</t>
        </is>
      </c>
      <c r="S1419" t="inlineStr">
        <is>
          <t>2.56</t>
        </is>
      </c>
      <c r="T1419" t="inlineStr">
        <is>
          <t>美妆个护</t>
        </is>
      </c>
      <c r="U1419" t="inlineStr">
        <is>
          <t>护肤彩妆</t>
        </is>
      </c>
      <c r="V1419" s="3">
        <v>46112.78107638889</v>
      </c>
      <c r="W1419" t="inlineStr">
        <is>
          <t>2026-Q1</t>
        </is>
      </c>
    </row>
    <row r="1420" ht="25.5" customHeight="1">
      <c r="A1420" t="inlineStr">
        <is>
          <t>Sweet mint · 超滋润三色遮瑕盘遮盖黑眼圈法令纹高光提亮一体遮瑕盘9克</t>
        </is>
      </c>
      <c r="B1420" t="inlineStr">
        <is>
          <t>recvdRkif48Jny.jpg</t>
        </is>
      </c>
      <c r="C1420" s="2" t="str">
        <f>=HYPERLINK("https://xhslink.com/m/9bxtTK5MMLs", "https://xhslink.com/m/9bxtTK5MMLs")</f>
        <v>https://xhslink.com/m/9bxtTK5MMLs</v>
      </c>
      <c r="D1420"/>
      <c r="E1420">
        <v>25000</v>
      </c>
      <c r="F1420">
        <v>32.9</v>
      </c>
      <c r="G1420">
        <v>22.9</v>
      </c>
      <c r="H1420">
        <v>200</v>
      </c>
      <c r="I1420" t="inlineStr">
        <is>
          <t>轮廓底妆</t>
        </is>
      </c>
      <c r="J1420" t="inlineStr">
        <is>
          <t>0.01</t>
        </is>
      </c>
      <c r="K1420" t="inlineStr">
        <is>
          <t>🔥低粉爆款</t>
        </is>
      </c>
      <c r="L1420" t="inlineStr">
        <is>
          <t>奈斯小八的店</t>
        </is>
      </c>
      <c r="M1420">
        <v>5037</v>
      </c>
      <c r="N1420">
        <v>4.51</v>
      </c>
      <c r="O1420">
        <v>90000</v>
      </c>
      <c r="P1420" t="inlineStr">
        <is>
          <t>68a963b111843c00019df775</t>
        </is>
      </c>
      <c r="Q1420"/>
      <c r="R1420" t="inlineStr">
        <is>
          <t>14周</t>
        </is>
      </c>
      <c r="S1420" t="inlineStr">
        <is>
          <t>4.96</t>
        </is>
      </c>
      <c r="T1420" t="inlineStr">
        <is>
          <t>美妆个护</t>
        </is>
      </c>
      <c r="U1420" t="inlineStr">
        <is>
          <t>护肤彩妆</t>
        </is>
      </c>
      <c r="V1420" s="3">
        <v>46112.78107638889</v>
      </c>
      <c r="W1420" t="inlineStr">
        <is>
          <t>2026-Q1</t>
        </is>
      </c>
    </row>
    <row r="1421" ht="25.5" customHeight="1">
      <c r="A1421" t="inlineStr">
        <is>
          <t>iPureson · 泊芮森水感身体油 滋养修护舒缓持久留香 换季护理油</t>
        </is>
      </c>
      <c r="B1421" t="inlineStr">
        <is>
          <t>recvdRkif4Urws.jpg</t>
        </is>
      </c>
      <c r="C1421" s="2" t="str">
        <f>=HYPERLINK("https://xhslink.com/m/1KnoaLzjh46", "https://xhslink.com/m/1KnoaLzjh46")</f>
        <v>https://xhslink.com/m/1KnoaLzjh46</v>
      </c>
      <c r="D1421"/>
      <c r="E1421">
        <v>4388</v>
      </c>
      <c r="F1421">
        <v>280</v>
      </c>
      <c r="G1421">
        <v>191</v>
      </c>
      <c r="H1421">
        <v>200</v>
      </c>
      <c r="I1421" t="inlineStr">
        <is>
          <t>身体护理</t>
        </is>
      </c>
      <c r="J1421" t="inlineStr">
        <is>
          <t>0.05</t>
        </is>
      </c>
      <c r="K1421"/>
      <c r="L1421" t="inlineStr">
        <is>
          <t>iPureson旗舰店</t>
        </is>
      </c>
      <c r="M1421">
        <v>22000</v>
      </c>
      <c r="N1421">
        <v>4.54</v>
      </c>
      <c r="O1421">
        <v>44000</v>
      </c>
      <c r="P1421" t="inlineStr">
        <is>
          <t>67320a3f878b3d0001ba8441</t>
        </is>
      </c>
      <c r="Q1421" t="inlineStr">
        <is>
          <t>🚫重复</t>
        </is>
      </c>
      <c r="R1421" t="inlineStr">
        <is>
          <t>14周</t>
        </is>
      </c>
      <c r="S1421" t="inlineStr">
        <is>
          <t>0.20</t>
        </is>
      </c>
      <c r="T1421" t="inlineStr">
        <is>
          <t>美妆个护</t>
        </is>
      </c>
      <c r="U1421" t="inlineStr">
        <is>
          <t>个人护理</t>
        </is>
      </c>
      <c r="V1421" s="3">
        <v>46112.78107638889</v>
      </c>
      <c r="W1421" t="inlineStr">
        <is>
          <t>2026-Q1</t>
        </is>
      </c>
    </row>
    <row r="1422" ht="25.5" customHeight="1">
      <c r="A1422" t="inlineStr">
        <is>
          <t>臻羞 · 【焕肤王炸】果酸精华液水杨酸377美白身体乳收缩毛孔淡化黑色素</t>
        </is>
      </c>
      <c r="B1422" t="inlineStr">
        <is>
          <t>recvdRkif4xA8c.jpg</t>
        </is>
      </c>
      <c r="C1422" s="2" t="str">
        <f>=HYPERLINK("https://xhslink.com/m/65qZZDlB8Z6", "https://xhslink.com/m/65qZZDlB8Z6")</f>
        <v>https://xhslink.com/m/65qZZDlB8Z6</v>
      </c>
      <c r="D1422"/>
      <c r="E1422">
        <v>39000</v>
      </c>
      <c r="F1422">
        <v>38.9</v>
      </c>
      <c r="G1422">
        <v>18.9</v>
      </c>
      <c r="H1422">
        <v>200</v>
      </c>
      <c r="I1422" t="inlineStr">
        <is>
          <t>美白</t>
        </is>
      </c>
      <c r="J1422" t="inlineStr">
        <is>
          <t>0.01</t>
        </is>
      </c>
      <c r="K1422" t="inlineStr">
        <is>
          <t>🔥低粉爆款</t>
        </is>
      </c>
      <c r="L1422" t="inlineStr">
        <is>
          <t>七七漂亮女王的店</t>
        </is>
      </c>
      <c r="M1422">
        <v>1871</v>
      </c>
      <c r="N1422">
        <v>4.44</v>
      </c>
      <c r="O1422">
        <v>59000</v>
      </c>
      <c r="P1422" t="inlineStr">
        <is>
          <t>67d97e96bd666b0001665e2b</t>
        </is>
      </c>
      <c r="Q1422"/>
      <c r="R1422" t="inlineStr">
        <is>
          <t>14周</t>
        </is>
      </c>
      <c r="S1422" t="inlineStr">
        <is>
          <t>20.84</t>
        </is>
      </c>
      <c r="T1422" t="inlineStr">
        <is>
          <t>美妆个护</t>
        </is>
      </c>
      <c r="U1422" t="inlineStr">
        <is>
          <t>护肤彩妆</t>
        </is>
      </c>
      <c r="V1422" s="3">
        <v>46112.78107638889</v>
      </c>
      <c r="W1422" t="inlineStr">
        <is>
          <t>2026-Q1</t>
        </is>
      </c>
    </row>
    <row r="1423" ht="25.5" customHeight="1">
      <c r="A1423" t="inlineStr">
        <is>
          <t>【软心奶油芭乐】低脂低卡软心红宝石芭乐番石榴现摘现发软糯口感</t>
        </is>
      </c>
      <c r="B1423" t="inlineStr">
        <is>
          <t>recvdUhmdaFChE.jpg</t>
        </is>
      </c>
      <c r="C1423" s="2" t="str">
        <f>=HYPERLINK("https://xhslink.com/m/7hvjjOgFX1G", "https://xhslink.com/m/7hvjjOgFX1G")</f>
        <v>https://xhslink.com/m/7hvjjOgFX1G</v>
      </c>
      <c r="D1423"/>
      <c r="E1423">
        <v>20000</v>
      </c>
      <c r="F1423">
        <v>29.9</v>
      </c>
      <c r="G1423">
        <v>19.9</v>
      </c>
      <c r="H1423">
        <v>200</v>
      </c>
      <c r="I1423" t="inlineStr">
        <is>
          <t>夏季水果</t>
        </is>
      </c>
      <c r="J1423" t="inlineStr">
        <is>
          <t>0.01</t>
        </is>
      </c>
      <c r="K1423" t="inlineStr">
        <is>
          <t>🔥低粉爆款</t>
        </is>
      </c>
      <c r="L1423" t="inlineStr">
        <is>
          <t>小胖妞吃不拿拿的店</t>
        </is>
      </c>
      <c r="M1423">
        <v>215</v>
      </c>
      <c r="N1423">
        <v>4.44</v>
      </c>
      <c r="O1423">
        <v>6186</v>
      </c>
      <c r="P1423" t="inlineStr">
        <is>
          <t>68f8a2d064b3b0001556f8f2</t>
        </is>
      </c>
      <c r="Q1423" t="inlineStr">
        <is>
          <t>🚫重复</t>
        </is>
      </c>
      <c r="R1423" t="inlineStr">
        <is>
          <t>14周</t>
        </is>
      </c>
      <c r="S1423" t="inlineStr">
        <is>
          <t>93.02</t>
        </is>
      </c>
      <c r="T1423" t="inlineStr">
        <is>
          <t>美食滋补</t>
        </is>
      </c>
      <c r="U1423" t="inlineStr">
        <is>
          <t>休闲零食</t>
        </is>
      </c>
      <c r="V1423" s="3">
        <v>46112.78107638889</v>
      </c>
      <c r="W1423" t="inlineStr">
        <is>
          <t>2026-Q1</t>
        </is>
      </c>
    </row>
    <row r="1424" ht="25.5" customHeight="1">
      <c r="A1424" t="inlineStr">
        <is>
          <t>【特产小米蕉】正宗广西小米蕉软糯香甜蕉现摘芭蕉现发产地包邮</t>
        </is>
      </c>
      <c r="B1424" t="inlineStr">
        <is>
          <t>recvdUhmdaHDt6.jpg</t>
        </is>
      </c>
      <c r="C1424" s="2" t="str">
        <f>=HYPERLINK("https://xhslink.com/m/79QBcVq27QT", "https://xhslink.com/m/79QBcVq27QT")</f>
        <v>https://xhslink.com/m/79QBcVq27QT</v>
      </c>
      <c r="D1424"/>
      <c r="E1424">
        <v>12000</v>
      </c>
      <c r="F1424">
        <v>20.9</v>
      </c>
      <c r="G1424">
        <v>6.8</v>
      </c>
      <c r="H1424">
        <v>200</v>
      </c>
      <c r="I1424" t="inlineStr">
        <is>
          <t>夏季水果</t>
        </is>
      </c>
      <c r="J1424" t="inlineStr">
        <is>
          <t>0.02</t>
        </is>
      </c>
      <c r="K1424" t="inlineStr">
        <is>
          <t>🔥低粉爆款</t>
        </is>
      </c>
      <c r="L1424" t="inlineStr">
        <is>
          <t>好鲜生生鲜的店</t>
        </is>
      </c>
      <c r="M1424">
        <v>190</v>
      </c>
      <c r="N1424">
        <v>3.8</v>
      </c>
      <c r="O1424">
        <v>24000</v>
      </c>
      <c r="P1424" t="inlineStr">
        <is>
          <t>69a3ecd65be6c10001d59d56</t>
        </is>
      </c>
      <c r="Q1424"/>
      <c r="R1424" t="inlineStr">
        <is>
          <t>14周</t>
        </is>
      </c>
      <c r="S1424" t="inlineStr">
        <is>
          <t>63.16</t>
        </is>
      </c>
      <c r="T1424" t="inlineStr">
        <is>
          <t>美食滋补</t>
        </is>
      </c>
      <c r="U1424" t="inlineStr">
        <is>
          <t>生鲜特产</t>
        </is>
      </c>
      <c r="V1424" s="3">
        <v>46112.78107638889</v>
      </c>
      <c r="W1424" t="inlineStr">
        <is>
          <t>2026-Q1</t>
        </is>
      </c>
    </row>
    <row r="1425" ht="25.5" customHeight="1">
      <c r="A1425" t="inlineStr">
        <is>
          <t>山东玉女黄瓜拇指脆甜爽口黄瓜清甜蔬菜孕妇水果代餐</t>
        </is>
      </c>
      <c r="B1425" t="inlineStr">
        <is>
          <t>recvdUhmdaj47Y.jpg</t>
        </is>
      </c>
      <c r="C1425" s="2" t="str">
        <f>=HYPERLINK("https://xhslink.com/m/7H9sEvSuxiH", "https://xhslink.com/m/7H9sEvSuxiH")</f>
        <v>https://xhslink.com/m/7H9sEvSuxiH</v>
      </c>
      <c r="D1425"/>
      <c r="E1425">
        <v>6519</v>
      </c>
      <c r="F1425">
        <v>23.6</v>
      </c>
      <c r="G1425">
        <v>9.8</v>
      </c>
      <c r="H1425">
        <v>200</v>
      </c>
      <c r="I1425" t="inlineStr">
        <is>
          <t>夏季水果</t>
        </is>
      </c>
      <c r="J1425" t="inlineStr">
        <is>
          <t>0.03</t>
        </is>
      </c>
      <c r="K1425" t="inlineStr">
        <is>
          <t>🔥低粉爆款</t>
        </is>
      </c>
      <c r="L1425" t="inlineStr">
        <is>
          <t>小迟爱吃水果的店</t>
        </is>
      </c>
      <c r="M1425">
        <v>438</v>
      </c>
      <c r="N1425">
        <v>4.57</v>
      </c>
      <c r="O1425">
        <v>6749</v>
      </c>
      <c r="P1425" t="inlineStr">
        <is>
          <t>691bdf27611c010001ae5e6f</t>
        </is>
      </c>
      <c r="Q1425" t="inlineStr">
        <is>
          <t>🚫重复</t>
        </is>
      </c>
      <c r="R1425" t="inlineStr">
        <is>
          <t>14周</t>
        </is>
      </c>
      <c r="S1425" t="inlineStr">
        <is>
          <t>14.88</t>
        </is>
      </c>
      <c r="T1425" t="inlineStr">
        <is>
          <t>美食滋补</t>
        </is>
      </c>
      <c r="U1425" t="inlineStr">
        <is>
          <t>休闲零食</t>
        </is>
      </c>
      <c r="V1425" s="3">
        <v>46112.78107638889</v>
      </c>
      <c r="W1425" t="inlineStr">
        <is>
          <t>2026-Q1</t>
        </is>
      </c>
    </row>
    <row r="1426" ht="25.5" customHeight="1">
      <c r="A1426" t="inlineStr">
        <is>
          <t>山东羊角蜜甜瓜（博洋72号）酥脆清爽顺丰</t>
        </is>
      </c>
      <c r="B1426" t="inlineStr">
        <is>
          <t>recvdUhmdabtXD.jpg</t>
        </is>
      </c>
      <c r="C1426" s="2" t="str">
        <f>=HYPERLINK("https://xhslink.com/m/9TeTdQNcbLe", "https://xhslink.com/m/9TeTdQNcbLe")</f>
        <v>https://xhslink.com/m/9TeTdQNcbLe</v>
      </c>
      <c r="D1426"/>
      <c r="E1426">
        <v>66000</v>
      </c>
      <c r="F1426">
        <v>46.8</v>
      </c>
      <c r="G1426">
        <v>39.8</v>
      </c>
      <c r="H1426">
        <v>200</v>
      </c>
      <c r="I1426" t="inlineStr">
        <is>
          <t>夏季水果</t>
        </is>
      </c>
      <c r="J1426" t="inlineStr">
        <is>
          <t>0.00</t>
        </is>
      </c>
      <c r="K1426"/>
      <c r="L1426" t="inlineStr">
        <is>
          <t>农妈罗萍的店</t>
        </is>
      </c>
      <c r="M1426">
        <v>60000</v>
      </c>
      <c r="N1426">
        <v>4.64</v>
      </c>
      <c r="O1426">
        <v>603000</v>
      </c>
      <c r="P1426" t="inlineStr">
        <is>
          <t>62175eaf7bfc2a00014cd925</t>
        </is>
      </c>
      <c r="Q1426" t="inlineStr">
        <is>
          <t>🚫重复</t>
        </is>
      </c>
      <c r="R1426" t="inlineStr">
        <is>
          <t>14周</t>
        </is>
      </c>
      <c r="S1426" t="inlineStr">
        <is>
          <t>1.10</t>
        </is>
      </c>
      <c r="T1426" t="inlineStr">
        <is>
          <t>美食滋补</t>
        </is>
      </c>
      <c r="U1426" t="inlineStr">
        <is>
          <t>生鲜特产</t>
        </is>
      </c>
      <c r="V1426" s="3">
        <v>46112.78107638889</v>
      </c>
      <c r="W1426" t="inlineStr">
        <is>
          <t>2026-Q1</t>
        </is>
      </c>
    </row>
    <row r="1427" ht="25.5" customHeight="1">
      <c r="A1427" t="inlineStr">
        <is>
          <t>【顺丰包邮】四川大凉山枇杷大五星枇杷甜枇杷果早钟枇杷新鲜水果</t>
        </is>
      </c>
      <c r="B1427" t="inlineStr">
        <is>
          <t>recvdUhmdaD90Y.jpg</t>
        </is>
      </c>
      <c r="C1427" s="2" t="str">
        <f>=HYPERLINK("https://xhslink.com/m/7lLH82TwvHI", "https://xhslink.com/m/7lLH82TwvHI")</f>
        <v>https://xhslink.com/m/7lLH82TwvHI</v>
      </c>
      <c r="D1427"/>
      <c r="E1427">
        <v>45000</v>
      </c>
      <c r="F1427">
        <v>24.8</v>
      </c>
      <c r="G1427">
        <v>14.8</v>
      </c>
      <c r="H1427">
        <v>200</v>
      </c>
      <c r="I1427" t="inlineStr">
        <is>
          <t>夏季水果</t>
        </is>
      </c>
      <c r="J1427" t="inlineStr">
        <is>
          <t>0.00</t>
        </is>
      </c>
      <c r="K1427"/>
      <c r="L1427" t="inlineStr">
        <is>
          <t>洋洋乡村生活~的店</t>
        </is>
      </c>
      <c r="M1427">
        <v>146000</v>
      </c>
      <c r="N1427">
        <v>4.62</v>
      </c>
      <c r="O1427">
        <v>1762000</v>
      </c>
      <c r="P1427" t="inlineStr">
        <is>
          <t>66404ac1ee1c3600011db0a0</t>
        </is>
      </c>
      <c r="Q1427" t="inlineStr">
        <is>
          <t>🚫重复</t>
        </is>
      </c>
      <c r="R1427" t="inlineStr">
        <is>
          <t>14周</t>
        </is>
      </c>
      <c r="S1427" t="inlineStr">
        <is>
          <t>0.31</t>
        </is>
      </c>
      <c r="T1427" t="inlineStr">
        <is>
          <t>美食滋补</t>
        </is>
      </c>
      <c r="U1427" t="inlineStr">
        <is>
          <t>生鲜特产</t>
        </is>
      </c>
      <c r="V1427" s="3">
        <v>46112.78107638889</v>
      </c>
      <c r="W1427" t="inlineStr">
        <is>
          <t>2026-Q1</t>
        </is>
      </c>
    </row>
    <row r="1428" ht="25.5" customHeight="1">
      <c r="A1428" t="inlineStr">
        <is>
          <t>【顺丰快递】四川明日见/甘平/春见耙耙柑自然成熟爆汁风味足</t>
        </is>
      </c>
      <c r="B1428" t="inlineStr">
        <is>
          <t>recvdUhmda38Qj.jpg</t>
        </is>
      </c>
      <c r="C1428" s="2" t="str">
        <f>=HYPERLINK("https://xhslink.com/m/230fBfWV0iG", "https://xhslink.com/m/230fBfWV0iG")</f>
        <v>https://xhslink.com/m/230fBfWV0iG</v>
      </c>
      <c r="D1428"/>
      <c r="E1428">
        <v>236000</v>
      </c>
      <c r="F1428">
        <v>28.8</v>
      </c>
      <c r="G1428"/>
      <c r="H1428">
        <v>200</v>
      </c>
      <c r="I1428" t="inlineStr">
        <is>
          <t>夏季水果</t>
        </is>
      </c>
      <c r="J1428" t="inlineStr">
        <is>
          <t>0.00</t>
        </is>
      </c>
      <c r="K1428"/>
      <c r="L1428" t="inlineStr">
        <is>
          <t>洋洋乡村生活~的店</t>
        </is>
      </c>
      <c r="M1428">
        <v>146000</v>
      </c>
      <c r="N1428">
        <v>4.62</v>
      </c>
      <c r="O1428">
        <v>1762000</v>
      </c>
      <c r="P1428" t="inlineStr">
        <is>
          <t>6959cf9eb249210001a52466</t>
        </is>
      </c>
      <c r="Q1428" t="inlineStr">
        <is>
          <t>🚫重复</t>
        </is>
      </c>
      <c r="R1428" t="inlineStr">
        <is>
          <t>14周</t>
        </is>
      </c>
      <c r="S1428" t="inlineStr">
        <is>
          <t>1.62</t>
        </is>
      </c>
      <c r="T1428" t="inlineStr">
        <is>
          <t>美食滋补</t>
        </is>
      </c>
      <c r="U1428" t="inlineStr">
        <is>
          <t>生鲜特产</t>
        </is>
      </c>
      <c r="V1428" s="3">
        <v>46112.78107638889</v>
      </c>
      <c r="W1428" t="inlineStr">
        <is>
          <t>2026-Q1</t>
        </is>
      </c>
    </row>
    <row r="1429" ht="25.5" customHeight="1">
      <c r="A1429" t="inlineStr">
        <is>
          <t>酸嘢脆甜大青芒送辣椒面酸梅粉脆爽口芒果花学生开胃吃货</t>
        </is>
      </c>
      <c r="B1429" t="inlineStr">
        <is>
          <t>recvdUhmdaszuq.jpg</t>
        </is>
      </c>
      <c r="C1429" s="2" t="str">
        <f>=HYPERLINK("https://xhslink.com/m/70nqGUZpHSl", "https://xhslink.com/m/70nqGUZpHSl")</f>
        <v>https://xhslink.com/m/70nqGUZpHSl</v>
      </c>
      <c r="D1429"/>
      <c r="E1429">
        <v>350000</v>
      </c>
      <c r="F1429">
        <v>33.6</v>
      </c>
      <c r="G1429">
        <v>19.6</v>
      </c>
      <c r="H1429">
        <v>200</v>
      </c>
      <c r="I1429" t="inlineStr">
        <is>
          <t>夏季水果</t>
        </is>
      </c>
      <c r="J1429" t="inlineStr">
        <is>
          <t>0.00</t>
        </is>
      </c>
      <c r="K1429" t="inlineStr">
        <is>
          <t>🔥低粉爆款</t>
        </is>
      </c>
      <c r="L1429" t="inlineStr">
        <is>
          <t>朱一一的水果铺的店</t>
        </is>
      </c>
      <c r="M1429">
        <v>28000</v>
      </c>
      <c r="N1429">
        <v>4.57</v>
      </c>
      <c r="O1429">
        <v>553000</v>
      </c>
      <c r="P1429" t="inlineStr">
        <is>
          <t>6757d7e4ada659000117b7e4</t>
        </is>
      </c>
      <c r="Q1429" t="inlineStr">
        <is>
          <t>🚫重复</t>
        </is>
      </c>
      <c r="R1429" t="inlineStr">
        <is>
          <t>14周</t>
        </is>
      </c>
      <c r="S1429" t="inlineStr">
        <is>
          <t>12.50</t>
        </is>
      </c>
      <c r="T1429" t="inlineStr">
        <is>
          <t>美食滋补</t>
        </is>
      </c>
      <c r="U1429" t="inlineStr">
        <is>
          <t>生鲜特产</t>
        </is>
      </c>
      <c r="V1429" s="3">
        <v>46112.78107638889</v>
      </c>
      <c r="W1429" t="inlineStr">
        <is>
          <t>2026-Q1</t>
        </is>
      </c>
    </row>
    <row r="1430" ht="25.5" customHeight="1">
      <c r="A1430" t="inlineStr">
        <is>
          <t>懒五黑全麦紫薯芋泥饼无蔗糖饱腹代餐健康零食减脂期解馋中式糕点</t>
        </is>
      </c>
      <c r="B1430" t="inlineStr">
        <is>
          <t>recvdUhmdakJlY.jpg</t>
        </is>
      </c>
      <c r="C1430" s="2" t="str">
        <f>=HYPERLINK("https://xhslink.com/m/6s7szgN3eon", "https://xhslink.com/m/6s7szgN3eon")</f>
        <v>https://xhslink.com/m/6s7szgN3eon</v>
      </c>
      <c r="D1430"/>
      <c r="E1430">
        <v>17000</v>
      </c>
      <c r="F1430">
        <v>23.8</v>
      </c>
      <c r="G1430">
        <v>13.8</v>
      </c>
      <c r="H1430">
        <v>200</v>
      </c>
      <c r="I1430" t="inlineStr">
        <is>
          <t>零食</t>
        </is>
      </c>
      <c r="J1430" t="inlineStr">
        <is>
          <t>0.01</t>
        </is>
      </c>
      <c r="K1430" t="inlineStr">
        <is>
          <t>🔥低粉爆款</t>
        </is>
      </c>
      <c r="L1430" t="inlineStr">
        <is>
          <t>幸屿Umi的店</t>
        </is>
      </c>
      <c r="M1430">
        <v>514</v>
      </c>
      <c r="N1430">
        <v>4.54</v>
      </c>
      <c r="O1430">
        <v>20000</v>
      </c>
      <c r="P1430" t="inlineStr">
        <is>
          <t>68f3c4703f37a90001a6907a</t>
        </is>
      </c>
      <c r="Q1430" t="inlineStr">
        <is>
          <t>🚫重复</t>
        </is>
      </c>
      <c r="R1430" t="inlineStr">
        <is>
          <t>14周</t>
        </is>
      </c>
      <c r="S1430" t="inlineStr">
        <is>
          <t>33.07</t>
        </is>
      </c>
      <c r="T1430" t="inlineStr">
        <is>
          <t>美食滋补</t>
        </is>
      </c>
      <c r="U1430" t="inlineStr">
        <is>
          <t>休闲零食</t>
        </is>
      </c>
      <c r="V1430" s="3">
        <v>46112.78107638889</v>
      </c>
      <c r="W1430" t="inlineStr">
        <is>
          <t>2026-Q1</t>
        </is>
      </c>
    </row>
    <row r="1431" ht="25.5" customHeight="1">
      <c r="A1431" t="inlineStr">
        <is>
          <t>低脂全麦恰巴塔面包健身代餐0蔗糖面包健康粗粮早餐三明治</t>
        </is>
      </c>
      <c r="B1431" t="inlineStr">
        <is>
          <t>recvdUhmdarrVW.jpg</t>
        </is>
      </c>
      <c r="C1431" s="2" t="str">
        <f>=HYPERLINK("https://xhslink.com/m/8QOWnJ8yD8I", "https://xhslink.com/m/8QOWnJ8yD8I")</f>
        <v>https://xhslink.com/m/8QOWnJ8yD8I</v>
      </c>
      <c r="D1431"/>
      <c r="E1431">
        <v>27000</v>
      </c>
      <c r="F1431">
        <v>33.9</v>
      </c>
      <c r="G1431">
        <v>23.9</v>
      </c>
      <c r="H1431">
        <v>200</v>
      </c>
      <c r="I1431" t="inlineStr">
        <is>
          <t>零食</t>
        </is>
      </c>
      <c r="J1431" t="inlineStr">
        <is>
          <t>0.01</t>
        </is>
      </c>
      <c r="K1431" t="inlineStr">
        <is>
          <t>🔥低粉爆款</t>
        </is>
      </c>
      <c r="L1431" t="inlineStr">
        <is>
          <t>Green轻食店的店</t>
        </is>
      </c>
      <c r="M1431">
        <v>657</v>
      </c>
      <c r="N1431">
        <v>4.47</v>
      </c>
      <c r="O1431">
        <v>31000</v>
      </c>
      <c r="P1431" t="inlineStr">
        <is>
          <t>683291830d7e3d0001425d18</t>
        </is>
      </c>
      <c r="Q1431" t="inlineStr">
        <is>
          <t>🚫重复</t>
        </is>
      </c>
      <c r="R1431" t="inlineStr">
        <is>
          <t>14周</t>
        </is>
      </c>
      <c r="S1431" t="inlineStr">
        <is>
          <t>41.10</t>
        </is>
      </c>
      <c r="T1431" t="inlineStr">
        <is>
          <t>美食滋补</t>
        </is>
      </c>
      <c r="U1431" t="inlineStr">
        <is>
          <t>休闲零食</t>
        </is>
      </c>
      <c r="V1431" s="3">
        <v>46112.78107638889</v>
      </c>
      <c r="W1431" t="inlineStr">
        <is>
          <t>2026-Q1</t>
        </is>
      </c>
    </row>
    <row r="1432" ht="25.5" customHeight="1">
      <c r="A1432" t="inlineStr">
        <is>
          <t>乍甸 · 【我妈都说划算】盲盒牛奶随机组合营养早餐学生奶云南高原牧场</t>
        </is>
      </c>
      <c r="B1432" t="inlineStr">
        <is>
          <t>recvdUhmda7XCB.jpg</t>
        </is>
      </c>
      <c r="C1432" s="2" t="str">
        <f>=HYPERLINK("https://xhslink.com/m/90LLoSz6Rj", "https://xhslink.com/m/90LLoSz6Rj")</f>
        <v>https://xhslink.com/m/90LLoSz6Rj</v>
      </c>
      <c r="D1432"/>
      <c r="E1432">
        <v>52000</v>
      </c>
      <c r="F1432">
        <v>29.9</v>
      </c>
      <c r="G1432">
        <v>9.9</v>
      </c>
      <c r="H1432">
        <v>200</v>
      </c>
      <c r="I1432" t="inlineStr">
        <is>
          <t>零食</t>
        </is>
      </c>
      <c r="J1432" t="inlineStr">
        <is>
          <t>0.00</t>
        </is>
      </c>
      <c r="K1432"/>
      <c r="L1432" t="inlineStr">
        <is>
          <t>乍甸乳业旗舰店</t>
        </is>
      </c>
      <c r="M1432">
        <v>172000</v>
      </c>
      <c r="N1432">
        <v>4.69</v>
      </c>
      <c r="O1432">
        <v>1031000</v>
      </c>
      <c r="P1432" t="inlineStr">
        <is>
          <t>689981faf827fc000188898b</t>
        </is>
      </c>
      <c r="Q1432"/>
      <c r="R1432" t="inlineStr">
        <is>
          <t>14周</t>
        </is>
      </c>
      <c r="S1432" t="inlineStr">
        <is>
          <t>0.30</t>
        </is>
      </c>
      <c r="T1432" t="inlineStr">
        <is>
          <t>美食滋补</t>
        </is>
      </c>
      <c r="U1432" t="inlineStr">
        <is>
          <t>休闲零食</t>
        </is>
      </c>
      <c r="V1432" s="3">
        <v>46112.78107638889</v>
      </c>
      <c r="W1432" t="inlineStr">
        <is>
          <t>2026-Q1</t>
        </is>
      </c>
    </row>
    <row r="1433" ht="25.5" customHeight="1">
      <c r="A1433" t="inlineStr">
        <is>
          <t>九峰牧场 · 5.0蛋白醇牛乳+自然甜牛乳+香芋奶 组合装</t>
        </is>
      </c>
      <c r="B1433" t="inlineStr">
        <is>
          <t>recvdUhmdaLbJU.jpg</t>
        </is>
      </c>
      <c r="C1433" s="2" t="str">
        <f>=HYPERLINK("https://xhslink.com/m/6WhGNluKDHR", "https://xhslink.com/m/6WhGNluKDHR")</f>
        <v>https://xhslink.com/m/6WhGNluKDHR</v>
      </c>
      <c r="D1433"/>
      <c r="E1433">
        <v>3936</v>
      </c>
      <c r="F1433">
        <v>89.8</v>
      </c>
      <c r="G1433">
        <v>87.8</v>
      </c>
      <c r="H1433">
        <v>200</v>
      </c>
      <c r="I1433" t="inlineStr">
        <is>
          <t>零食</t>
        </is>
      </c>
      <c r="J1433" t="inlineStr">
        <is>
          <t>0.05</t>
        </is>
      </c>
      <c r="K1433"/>
      <c r="L1433" t="inlineStr">
        <is>
          <t>九峰牧场旗舰店</t>
        </is>
      </c>
      <c r="M1433">
        <v>8481</v>
      </c>
      <c r="N1433">
        <v>4.51</v>
      </c>
      <c r="O1433">
        <v>67000</v>
      </c>
      <c r="P1433" t="inlineStr">
        <is>
          <t>693bcfa79373f20001b7a8c7</t>
        </is>
      </c>
      <c r="Q1433"/>
      <c r="R1433" t="inlineStr">
        <is>
          <t>14周</t>
        </is>
      </c>
      <c r="S1433" t="inlineStr">
        <is>
          <t>0.46</t>
        </is>
      </c>
      <c r="T1433" t="inlineStr">
        <is>
          <t>美食滋补</t>
        </is>
      </c>
      <c r="U1433" t="inlineStr">
        <is>
          <t>休闲零食</t>
        </is>
      </c>
      <c r="V1433" s="3">
        <v>46112.78107638889</v>
      </c>
      <c r="W1433" t="inlineStr">
        <is>
          <t>2026-Q1</t>
        </is>
      </c>
    </row>
    <row r="1434" ht="25.5" customHeight="1">
      <c r="A1434" t="inlineStr">
        <is>
          <t>冰糖红心木瓜·应季新鲜应季水果红心木瓜</t>
        </is>
      </c>
      <c r="B1434" t="inlineStr">
        <is>
          <t>recvdUhmdakwOP.jpg</t>
        </is>
      </c>
      <c r="C1434" s="2" t="str">
        <f>=HYPERLINK("https://xhslink.com/m/5EoD1bOO7TD", "https://xhslink.com/m/5EoD1bOO7TD")</f>
        <v>https://xhslink.com/m/5EoD1bOO7TD</v>
      </c>
      <c r="D1434"/>
      <c r="E1434">
        <v>4044</v>
      </c>
      <c r="F1434">
        <v>48.9</v>
      </c>
      <c r="G1434">
        <v>29.9</v>
      </c>
      <c r="H1434">
        <v>200</v>
      </c>
      <c r="I1434" t="inlineStr">
        <is>
          <t>夏季水果</t>
        </is>
      </c>
      <c r="J1434" t="inlineStr">
        <is>
          <t>0.05</t>
        </is>
      </c>
      <c r="K1434" t="inlineStr">
        <is>
          <t>🔥低粉爆款</t>
        </is>
      </c>
      <c r="L1434" t="inlineStr">
        <is>
          <t>优果私仓的店</t>
        </is>
      </c>
      <c r="M1434">
        <v>163</v>
      </c>
      <c r="N1434">
        <v>4.42</v>
      </c>
      <c r="O1434">
        <v>4024</v>
      </c>
      <c r="P1434" t="inlineStr">
        <is>
          <t>690062bf3f37a900011fdef2</t>
        </is>
      </c>
      <c r="Q1434"/>
      <c r="R1434" t="inlineStr">
        <is>
          <t>14周</t>
        </is>
      </c>
      <c r="S1434" t="inlineStr">
        <is>
          <t>24.81</t>
        </is>
      </c>
      <c r="T1434" t="inlineStr">
        <is>
          <t>美食滋补</t>
        </is>
      </c>
      <c r="U1434" t="inlineStr">
        <is>
          <t>生鲜特产</t>
        </is>
      </c>
      <c r="V1434" s="3">
        <v>46112.78107638889</v>
      </c>
      <c r="W1434" t="inlineStr">
        <is>
          <t>2026-Q1</t>
        </is>
      </c>
    </row>
    <row r="1435" ht="25.5" customHeight="1">
      <c r="A1435" t="inlineStr">
        <is>
          <t>云南新鲜无花果红皮无花果整箱装现摘孕妇水果应季无花果顺丰包邮</t>
        </is>
      </c>
      <c r="B1435" t="inlineStr">
        <is>
          <t>recvdUhmdaqkka.jpg</t>
        </is>
      </c>
      <c r="C1435" s="2" t="str">
        <f>=HYPERLINK("https://xhslink.com/m/5zL5CBzPyHi", "https://xhslink.com/m/5zL5CBzPyHi")</f>
        <v>https://xhslink.com/m/5zL5CBzPyHi</v>
      </c>
      <c r="D1435"/>
      <c r="E1435">
        <v>2697</v>
      </c>
      <c r="F1435">
        <v>29.8</v>
      </c>
      <c r="G1435">
        <v>23.8</v>
      </c>
      <c r="H1435">
        <v>200</v>
      </c>
      <c r="I1435" t="inlineStr">
        <is>
          <t>夏季水果</t>
        </is>
      </c>
      <c r="J1435" t="inlineStr">
        <is>
          <t>0.07</t>
        </is>
      </c>
      <c r="K1435" t="inlineStr">
        <is>
          <t>🔥低粉爆款</t>
        </is>
      </c>
      <c r="L1435" t="inlineStr">
        <is>
          <t>鲜果果农✨的店</t>
        </is>
      </c>
      <c r="M1435">
        <v>153</v>
      </c>
      <c r="N1435">
        <v>4.67</v>
      </c>
      <c r="O1435">
        <v>3498</v>
      </c>
      <c r="P1435" t="inlineStr">
        <is>
          <t>699d708736a3d8000171a08e</t>
        </is>
      </c>
      <c r="Q1435"/>
      <c r="R1435" t="inlineStr">
        <is>
          <t>14周</t>
        </is>
      </c>
      <c r="S1435" t="inlineStr">
        <is>
          <t>17.63</t>
        </is>
      </c>
      <c r="T1435" t="inlineStr">
        <is>
          <t>美食滋补</t>
        </is>
      </c>
      <c r="U1435" t="inlineStr">
        <is>
          <t>生鲜特产</t>
        </is>
      </c>
      <c r="V1435" s="3">
        <v>46112.78107638889</v>
      </c>
      <c r="W1435" t="inlineStr">
        <is>
          <t>2026-Q1</t>
        </is>
      </c>
    </row>
    <row r="1436" ht="25.5" customHeight="1">
      <c r="A1436" t="inlineStr">
        <is>
          <t>【现摘直发】新鲜金煌芒芒果果肉厚核薄香甜多汁应季水果自然熟</t>
        </is>
      </c>
      <c r="B1436" t="inlineStr">
        <is>
          <t>recvdUhmdauice.jpg</t>
        </is>
      </c>
      <c r="C1436" s="2" t="str">
        <f>=HYPERLINK("https://xhslink.com/m/9DtovwCXqDa", "https://xhslink.com/m/9DtovwCXqDa")</f>
        <v>https://xhslink.com/m/9DtovwCXqDa</v>
      </c>
      <c r="D1436"/>
      <c r="E1436">
        <v>2915</v>
      </c>
      <c r="F1436">
        <v>50.9</v>
      </c>
      <c r="G1436">
        <v>25.9</v>
      </c>
      <c r="H1436">
        <v>200</v>
      </c>
      <c r="I1436" t="inlineStr">
        <is>
          <t>夏季水果</t>
        </is>
      </c>
      <c r="J1436" t="inlineStr">
        <is>
          <t>0.07</t>
        </is>
      </c>
      <c r="K1436" t="inlineStr">
        <is>
          <t>🔥低粉爆款</t>
        </is>
      </c>
      <c r="L1436" t="inlineStr">
        <is>
          <t>小小羊觅食记的店</t>
        </is>
      </c>
      <c r="M1436">
        <v>69</v>
      </c>
      <c r="N1436">
        <v>4.45</v>
      </c>
      <c r="O1436">
        <v>3305</v>
      </c>
      <c r="P1436" t="inlineStr">
        <is>
          <t>69a8f55b1166fe00013e97cf</t>
        </is>
      </c>
      <c r="Q1436"/>
      <c r="R1436" t="inlineStr">
        <is>
          <t>14周</t>
        </is>
      </c>
      <c r="S1436" t="inlineStr">
        <is>
          <t>42.25</t>
        </is>
      </c>
      <c r="T1436" t="inlineStr">
        <is>
          <t>美食滋补</t>
        </is>
      </c>
      <c r="U1436" t="inlineStr">
        <is>
          <t>生鲜特产</t>
        </is>
      </c>
      <c r="V1436" s="3">
        <v>46112.78107638889</v>
      </c>
      <c r="W1436" t="inlineStr">
        <is>
          <t>2026-Q1</t>
        </is>
      </c>
    </row>
    <row r="1437" ht="25.5" customHeight="1">
      <c r="A1437" t="inlineStr">
        <is>
          <t>AZTK · 固体唇冻巨折！外管瑕疵（新日期）新旧版随机发！</t>
        </is>
      </c>
      <c r="B1437" t="inlineStr">
        <is>
          <t>recvdUN7QQ6d3A.jpg</t>
        </is>
      </c>
      <c r="C1437" s="2" t="str">
        <f>=HYPERLINK("https://xhslink.com/m/46wEwy9yLg8", "https://xhslink.com/m/46wEwy9yLg8")</f>
        <v>https://xhslink.com/m/46wEwy9yLg8</v>
      </c>
      <c r="D1437"/>
      <c r="E1437">
        <v>3809</v>
      </c>
      <c r="F1437">
        <v>9.9</v>
      </c>
      <c r="G1437">
        <v>8.71</v>
      </c>
      <c r="H1437">
        <v>200</v>
      </c>
      <c r="I1437" t="inlineStr">
        <is>
          <t>面部色彩</t>
        </is>
      </c>
      <c r="J1437" t="inlineStr">
        <is>
          <t>0.05</t>
        </is>
      </c>
      <c r="K1437"/>
      <c r="L1437" t="inlineStr">
        <is>
          <t>蜡笔甜心的店</t>
        </is>
      </c>
      <c r="M1437">
        <v>3361</v>
      </c>
      <c r="N1437">
        <v>4.44</v>
      </c>
      <c r="O1437">
        <v>16000</v>
      </c>
      <c r="P1437" t="inlineStr">
        <is>
          <t>697f14e1f0c4840001b34f86</t>
        </is>
      </c>
      <c r="Q1437"/>
      <c r="R1437" t="inlineStr">
        <is>
          <t>14周</t>
        </is>
      </c>
      <c r="S1437" t="inlineStr">
        <is>
          <t>1.13</t>
        </is>
      </c>
      <c r="T1437" t="inlineStr">
        <is>
          <t>美妆个护</t>
        </is>
      </c>
      <c r="U1437" t="inlineStr">
        <is>
          <t>护肤彩妆</t>
        </is>
      </c>
      <c r="V1437" s="3">
        <v>46112.78107638889</v>
      </c>
      <c r="W1437" t="inlineStr">
        <is>
          <t>2026-Q1</t>
        </is>
      </c>
    </row>
    <row r="1438" ht="25.5" customHeight="1">
      <c r="A1438" t="inlineStr">
        <is>
          <t>酵色 · 【春日限定】多用霜2.0唇釉腮红口红哑光不易沾杯低饱和推荐c3313</t>
        </is>
      </c>
      <c r="B1438" t="inlineStr">
        <is>
          <t>recvdUN7QQCgBO.jpg</t>
        </is>
      </c>
      <c r="C1438" s="2" t="str">
        <f>=HYPERLINK("https://xhslink.com/m/AxR5FB0FTfh", "https://xhslink.com/m/AxR5FB0FTfh")</f>
        <v>https://xhslink.com/m/AxR5FB0FTfh</v>
      </c>
      <c r="D1438"/>
      <c r="E1438">
        <v>99000</v>
      </c>
      <c r="F1438">
        <v>89</v>
      </c>
      <c r="G1438"/>
      <c r="H1438">
        <v>200</v>
      </c>
      <c r="I1438" t="inlineStr">
        <is>
          <t>面部色彩</t>
        </is>
      </c>
      <c r="J1438" t="inlineStr">
        <is>
          <t>0.00</t>
        </is>
      </c>
      <c r="K1438"/>
      <c r="L1438" t="inlineStr">
        <is>
          <t>JOOCYEE酵色旗舰店</t>
        </is>
      </c>
      <c r="M1438">
        <v>163000</v>
      </c>
      <c r="N1438">
        <v>4.75</v>
      </c>
      <c r="O1438">
        <v>825000</v>
      </c>
      <c r="P1438" t="inlineStr">
        <is>
          <t>687e24618fe3470001fca17d</t>
        </is>
      </c>
      <c r="Q1438" t="inlineStr">
        <is>
          <t>🚫重复</t>
        </is>
      </c>
      <c r="R1438" t="inlineStr">
        <is>
          <t>14周</t>
        </is>
      </c>
      <c r="S1438" t="inlineStr">
        <is>
          <t>0.61</t>
        </is>
      </c>
      <c r="T1438" t="inlineStr">
        <is>
          <t>美妆个护</t>
        </is>
      </c>
      <c r="U1438" t="inlineStr">
        <is>
          <t>护肤彩妆</t>
        </is>
      </c>
      <c r="V1438" s="3">
        <v>46112.78107638889</v>
      </c>
      <c r="W1438" t="inlineStr">
        <is>
          <t>2026-Q1</t>
        </is>
      </c>
    </row>
    <row r="1439" ht="25.5" customHeight="1">
      <c r="A1439" t="inlineStr">
        <is>
          <t>【圆领版】长袖T恤上衣春夏秋冬四季宽松慵懒感柔软舒适垂感罩衫</t>
        </is>
      </c>
      <c r="B1439" t="inlineStr">
        <is>
          <t>recvdWIhrw6qpc.jpg</t>
        </is>
      </c>
      <c r="C1439" s="2" t="str">
        <f>=HYPERLINK("https://xhslink.com/m/AmpgsBfjZOv", "https://xhslink.com/m/AmpgsBfjZOv")</f>
        <v>https://xhslink.com/m/AmpgsBfjZOv</v>
      </c>
      <c r="D1439"/>
      <c r="E1439">
        <v>20000</v>
      </c>
      <c r="F1439">
        <v>99</v>
      </c>
      <c r="G1439">
        <v>79</v>
      </c>
      <c r="H1439">
        <v>200</v>
      </c>
      <c r="I1439" t="inlineStr">
        <is>
          <t>T恤</t>
        </is>
      </c>
      <c r="J1439" t="inlineStr">
        <is>
          <t>0.01</t>
        </is>
      </c>
      <c r="K1439"/>
      <c r="L1439" t="inlineStr">
        <is>
          <t>爱马橙的店</t>
        </is>
      </c>
      <c r="M1439">
        <v>23000</v>
      </c>
      <c r="N1439">
        <v>4.73</v>
      </c>
      <c r="O1439">
        <v>162000</v>
      </c>
      <c r="P1439" t="inlineStr">
        <is>
          <t>684aa7dfe874f200015848ed</t>
        </is>
      </c>
      <c r="Q1439" t="inlineStr">
        <is>
          <t>🚫重复</t>
        </is>
      </c>
      <c r="R1439" t="inlineStr">
        <is>
          <t>14周</t>
        </is>
      </c>
      <c r="S1439" t="inlineStr">
        <is>
          <t>0.87</t>
        </is>
      </c>
      <c r="T1439" t="inlineStr">
        <is>
          <t>服饰穿搭</t>
        </is>
      </c>
      <c r="U1439" t="inlineStr">
        <is>
          <t>女装</t>
        </is>
      </c>
      <c r="V1439" s="3">
        <v>46112.78107638889</v>
      </c>
      <c r="W1439" t="inlineStr">
        <is>
          <t>2026-Q1</t>
        </is>
      </c>
    </row>
    <row r="1440" ht="25.5" customHeight="1">
      <c r="A1440" t="inlineStr">
        <is>
          <t>【韩系修身针织T】春夏百搭纯欲韩系温柔简约v领T恤女短袖上衣</t>
        </is>
      </c>
      <c r="B1440" t="inlineStr">
        <is>
          <t>recvdWIhrwef20.jpg</t>
        </is>
      </c>
      <c r="C1440" s="2" t="str">
        <f>=HYPERLINK("https://xhslink.com/m/4v2YvfNCV7A", "https://xhslink.com/m/4v2YvfNCV7A")</f>
        <v>https://xhslink.com/m/4v2YvfNCV7A</v>
      </c>
      <c r="D1440"/>
      <c r="E1440">
        <v>2403</v>
      </c>
      <c r="F1440">
        <v>94.9</v>
      </c>
      <c r="G1440">
        <v>59.9</v>
      </c>
      <c r="H1440">
        <v>200</v>
      </c>
      <c r="I1440" t="inlineStr">
        <is>
          <t>T恤</t>
        </is>
      </c>
      <c r="J1440" t="inlineStr">
        <is>
          <t>0.08</t>
        </is>
      </c>
      <c r="K1440"/>
      <c r="L1440" t="inlineStr">
        <is>
          <t>Sweety Tutu的店</t>
        </is>
      </c>
      <c r="M1440">
        <v>12000</v>
      </c>
      <c r="N1440">
        <v>4.67</v>
      </c>
      <c r="O1440">
        <v>49000</v>
      </c>
      <c r="P1440" t="inlineStr">
        <is>
          <t>686a90bbc27dbc0001b43e50</t>
        </is>
      </c>
      <c r="Q1440"/>
      <c r="R1440" t="inlineStr">
        <is>
          <t>14周</t>
        </is>
      </c>
      <c r="S1440" t="inlineStr">
        <is>
          <t>0.20</t>
        </is>
      </c>
      <c r="T1440" t="inlineStr">
        <is>
          <t>服饰穿搭</t>
        </is>
      </c>
      <c r="U1440" t="inlineStr">
        <is>
          <t>女装</t>
        </is>
      </c>
      <c r="V1440" s="3">
        <v>46112.78107638889</v>
      </c>
      <c r="W1440" t="inlineStr">
        <is>
          <t>2026-Q1</t>
        </is>
      </c>
    </row>
    <row r="1441" ht="25.5" customHeight="1">
      <c r="A1441" t="inlineStr">
        <is>
          <t>【顺丰】早餐早饭速食清明粿果饼零食糯米粿蒿子粑粑咸口青团艾草</t>
        </is>
      </c>
      <c r="B1441" t="inlineStr">
        <is>
          <t>recvdWIhrwBPFZ.jpg</t>
        </is>
      </c>
      <c r="C1441" s="2" t="str">
        <f>=HYPERLINK("https://xhslink.com/m/LJI7H4uFor", "https://xhslink.com/m/LJI7H4uFor")</f>
        <v>https://xhslink.com/m/LJI7H4uFor</v>
      </c>
      <c r="D1441"/>
      <c r="E1441">
        <v>40000</v>
      </c>
      <c r="F1441">
        <v>34.99</v>
      </c>
      <c r="G1441"/>
      <c r="H1441">
        <v>200</v>
      </c>
      <c r="I1441" t="inlineStr">
        <is>
          <t>零食</t>
        </is>
      </c>
      <c r="J1441" t="inlineStr">
        <is>
          <t>0.01</t>
        </is>
      </c>
      <c r="K1441" t="inlineStr">
        <is>
          <t>🔥低粉爆款</t>
        </is>
      </c>
      <c r="L1441" t="inlineStr">
        <is>
          <t>反正我是有钱人的店</t>
        </is>
      </c>
      <c r="M1441">
        <v>5522</v>
      </c>
      <c r="N1441">
        <v>4.65</v>
      </c>
      <c r="O1441">
        <v>52000</v>
      </c>
      <c r="P1441" t="inlineStr">
        <is>
          <t>65826744798a750001752999</t>
        </is>
      </c>
      <c r="Q1441" t="inlineStr">
        <is>
          <t>🚫重复</t>
        </is>
      </c>
      <c r="R1441" t="inlineStr">
        <is>
          <t>14周</t>
        </is>
      </c>
      <c r="S1441" t="inlineStr">
        <is>
          <t>7.24</t>
        </is>
      </c>
      <c r="T1441" t="inlineStr">
        <is>
          <t>美食滋补</t>
        </is>
      </c>
      <c r="U1441" t="inlineStr">
        <is>
          <t>休闲零食</t>
        </is>
      </c>
      <c r="V1441" s="3">
        <v>46112.78107638889</v>
      </c>
      <c r="W1441" t="inlineStr">
        <is>
          <t>2026-Q1</t>
        </is>
      </c>
    </row>
    <row r="1442" ht="25.5" customHeight="1">
      <c r="A1442" t="inlineStr">
        <is>
          <t>2025秋新款微胖大码气质休闲polo领正肩显瘦衬衫百搭洋气减龄衬衣</t>
        </is>
      </c>
      <c r="B1442" t="inlineStr">
        <is>
          <t>recvdWIhrw4I8p.jpg</t>
        </is>
      </c>
      <c r="C1442" s="2" t="str">
        <f>=HYPERLINK("https://xhslink.com/m/APZVhrQFPZY", "https://xhslink.com/m/APZVhrQFPZY")</f>
        <v>https://xhslink.com/m/APZVhrQFPZY</v>
      </c>
      <c r="D1442"/>
      <c r="E1442">
        <v>2612</v>
      </c>
      <c r="F1442">
        <v>59.9</v>
      </c>
      <c r="G1442"/>
      <c r="H1442">
        <v>200</v>
      </c>
      <c r="I1442" t="inlineStr">
        <is>
          <t>衬衫</t>
        </is>
      </c>
      <c r="J1442" t="inlineStr">
        <is>
          <t>0.08</t>
        </is>
      </c>
      <c r="K1442"/>
      <c r="L1442" t="inlineStr">
        <is>
          <t>兮兮微胖穿搭的店</t>
        </is>
      </c>
      <c r="M1442">
        <v>39000</v>
      </c>
      <c r="N1442">
        <v>4.64</v>
      </c>
      <c r="O1442">
        <v>138000</v>
      </c>
      <c r="P1442" t="inlineStr">
        <is>
          <t>68c8fefde53c100015fb7c68</t>
        </is>
      </c>
      <c r="Q1442"/>
      <c r="R1442" t="inlineStr">
        <is>
          <t>14周</t>
        </is>
      </c>
      <c r="S1442" t="inlineStr">
        <is>
          <t>0.07</t>
        </is>
      </c>
      <c r="T1442" t="inlineStr">
        <is>
          <t>服饰穿搭</t>
        </is>
      </c>
      <c r="U1442" t="inlineStr">
        <is>
          <t>女装</t>
        </is>
      </c>
      <c r="V1442" s="3">
        <v>46112.78107638889</v>
      </c>
      <c r="W1442" t="inlineStr">
        <is>
          <t>2026-Q1</t>
        </is>
      </c>
    </row>
    <row r="1443" ht="25.5" customHeight="1">
      <c r="A1443" t="inlineStr">
        <is>
          <t>复古Y2K甜美荷叶娃娃领短袖衬衫26春新款</t>
        </is>
      </c>
      <c r="B1443" t="inlineStr">
        <is>
          <t>recvdWIhrwcFeN.jpg</t>
        </is>
      </c>
      <c r="C1443" s="2" t="str">
        <f>=HYPERLINK("https://xhslink.com/m/9lBEptoryyV", "https://xhslink.com/m/9lBEptoryyV")</f>
        <v>https://xhslink.com/m/9lBEptoryyV</v>
      </c>
      <c r="D1443"/>
      <c r="E1443">
        <v>515</v>
      </c>
      <c r="F1443">
        <v>108</v>
      </c>
      <c r="G1443"/>
      <c r="H1443">
        <v>200</v>
      </c>
      <c r="I1443" t="inlineStr">
        <is>
          <t>衬衫</t>
        </is>
      </c>
      <c r="J1443" t="inlineStr">
        <is>
          <t>0.39</t>
        </is>
      </c>
      <c r="K1443"/>
      <c r="L1443" t="inlineStr">
        <is>
          <t>Z衣家的店</t>
        </is>
      </c>
      <c r="M1443">
        <v>7653</v>
      </c>
      <c r="N1443">
        <v>4.37</v>
      </c>
      <c r="O1443">
        <v>26000</v>
      </c>
      <c r="P1443" t="inlineStr">
        <is>
          <t>69a27f1f87daa00001bd6878</t>
        </is>
      </c>
      <c r="Q1443"/>
      <c r="R1443" t="inlineStr">
        <is>
          <t>14周</t>
        </is>
      </c>
      <c r="S1443" t="inlineStr">
        <is>
          <t>0.07</t>
        </is>
      </c>
      <c r="T1443" t="inlineStr">
        <is>
          <t>服饰穿搭</t>
        </is>
      </c>
      <c r="U1443" t="inlineStr">
        <is>
          <t>女装</t>
        </is>
      </c>
      <c r="V1443" s="3">
        <v>46112.78107638889</v>
      </c>
      <c r="W1443" t="inlineStr">
        <is>
          <t>2026-Q1</t>
        </is>
      </c>
    </row>
    <row r="1444" ht="25.5" customHeight="1">
      <c r="A1444" t="inlineStr">
        <is>
          <t>臻羞 · 【焕肤美bai】果酸水杨酸精华配磨砂膏嫩肤淡色素</t>
        </is>
      </c>
      <c r="B1444" t="inlineStr">
        <is>
          <t>recvdWIhrwsRK9.jpg</t>
        </is>
      </c>
      <c r="C1444" s="2" t="str">
        <f>=HYPERLINK("https://xhslink.com/m/6ZsBMjV50rM", "https://xhslink.com/m/6ZsBMjV50rM")</f>
        <v>https://xhslink.com/m/6ZsBMjV50rM</v>
      </c>
      <c r="D1444"/>
      <c r="E1444">
        <v>65000</v>
      </c>
      <c r="F1444">
        <v>48.9</v>
      </c>
      <c r="G1444">
        <v>28.9</v>
      </c>
      <c r="H1444">
        <v>200</v>
      </c>
      <c r="I1444" t="inlineStr">
        <is>
          <t>祛痘</t>
        </is>
      </c>
      <c r="J1444" t="inlineStr">
        <is>
          <t>0.00</t>
        </is>
      </c>
      <c r="K1444" t="inlineStr">
        <is>
          <t>🔥低粉爆款</t>
        </is>
      </c>
      <c r="L1444" t="inlineStr">
        <is>
          <t>科可颜的店</t>
        </is>
      </c>
      <c r="M1444">
        <v>902</v>
      </c>
      <c r="N1444">
        <v>4.32</v>
      </c>
      <c r="O1444">
        <v>103000</v>
      </c>
      <c r="P1444" t="inlineStr">
        <is>
          <t>6787477c20e47e0015e53bd1</t>
        </is>
      </c>
      <c r="Q1444"/>
      <c r="R1444" t="inlineStr">
        <is>
          <t>14周</t>
        </is>
      </c>
      <c r="S1444" t="inlineStr">
        <is>
          <t>72.06</t>
        </is>
      </c>
      <c r="T1444" t="inlineStr">
        <is>
          <t>美妆个护</t>
        </is>
      </c>
      <c r="U1444" t="inlineStr">
        <is>
          <t>护肤彩妆</t>
        </is>
      </c>
      <c r="V1444" s="3">
        <v>46112.78107638889</v>
      </c>
      <c r="W1444" t="inlineStr">
        <is>
          <t>2026-Q1</t>
        </is>
      </c>
    </row>
    <row r="1445" ht="25.5" customHeight="1">
      <c r="A1445" t="inlineStr">
        <is>
          <t>Orange mood · 【全色号】显白爆款拍三免一美甲推荐免烤快干可撕拉</t>
        </is>
      </c>
      <c r="B1445" t="inlineStr">
        <is>
          <t>recvdWIhrwV99S.jpg</t>
        </is>
      </c>
      <c r="C1445" s="2" t="str">
        <f>=HYPERLINK("https://xhslink.com/m/4M3YtI12Red", "https://xhslink.com/m/4M3YtI12Red")</f>
        <v>https://xhslink.com/m/4M3YtI12Red</v>
      </c>
      <c r="D1445"/>
      <c r="E1445">
        <v>316000</v>
      </c>
      <c r="F1445">
        <v>19.8</v>
      </c>
      <c r="G1445"/>
      <c r="H1445">
        <v>200</v>
      </c>
      <c r="I1445" t="inlineStr">
        <is>
          <t>美甲美睫</t>
        </is>
      </c>
      <c r="J1445" t="inlineStr">
        <is>
          <t>0.00</t>
        </is>
      </c>
      <c r="K1445"/>
      <c r="L1445" t="inlineStr">
        <is>
          <t>Orange Mood的店</t>
        </is>
      </c>
      <c r="M1445">
        <v>142000</v>
      </c>
      <c r="N1445">
        <v>4.76</v>
      </c>
      <c r="O1445">
        <v>636000</v>
      </c>
      <c r="P1445" t="inlineStr">
        <is>
          <t>6449f3c6273aaa00015bf7fd</t>
        </is>
      </c>
      <c r="Q1445" t="inlineStr">
        <is>
          <t>🚫重复</t>
        </is>
      </c>
      <c r="R1445" t="inlineStr">
        <is>
          <t>14周</t>
        </is>
      </c>
      <c r="S1445" t="inlineStr">
        <is>
          <t>2.23</t>
        </is>
      </c>
      <c r="T1445" t="inlineStr">
        <is>
          <t>美妆个护</t>
        </is>
      </c>
      <c r="U1445" t="inlineStr">
        <is>
          <t>护肤彩妆</t>
        </is>
      </c>
      <c r="V1445" s="3">
        <v>46112.78107638889</v>
      </c>
      <c r="W1445" t="inlineStr">
        <is>
          <t>2026-Q1</t>
        </is>
      </c>
    </row>
    <row r="1446" ht="25.5" customHeight="1">
      <c r="A1446" t="inlineStr">
        <is>
          <t>常指 · 葡萄奶冻-Grape Pudding-纯欲感裸色粉嫩百搭自然豆豆甲 10片装</t>
        </is>
      </c>
      <c r="B1446" t="inlineStr">
        <is>
          <t>recvdWIhrwpadS.jpg</t>
        </is>
      </c>
      <c r="C1446" s="2" t="str">
        <f>=HYPERLINK("https://xhslink.com/m/20RwYhlhsMT", "https://xhslink.com/m/20RwYhlhsMT")</f>
        <v>https://xhslink.com/m/20RwYhlhsMT</v>
      </c>
      <c r="D1446"/>
      <c r="E1446">
        <v>35000</v>
      </c>
      <c r="F1446">
        <v>39.9</v>
      </c>
      <c r="G1446">
        <v>8.8</v>
      </c>
      <c r="H1446">
        <v>200</v>
      </c>
      <c r="I1446" t="inlineStr">
        <is>
          <t>美甲美睫</t>
        </is>
      </c>
      <c r="J1446" t="inlineStr">
        <is>
          <t>0.01</t>
        </is>
      </c>
      <c r="K1446"/>
      <c r="L1446" t="inlineStr">
        <is>
          <t>CHANG彩妆的店</t>
        </is>
      </c>
      <c r="M1446">
        <v>332000</v>
      </c>
      <c r="N1446">
        <v>4.61</v>
      </c>
      <c r="O1446">
        <v>2510000</v>
      </c>
      <c r="P1446" t="inlineStr">
        <is>
          <t>692d1a3bb8c5080001c280a8</t>
        </is>
      </c>
      <c r="Q1446"/>
      <c r="R1446" t="inlineStr">
        <is>
          <t>14周</t>
        </is>
      </c>
      <c r="S1446" t="inlineStr">
        <is>
          <t>0.11</t>
        </is>
      </c>
      <c r="T1446" t="inlineStr">
        <is>
          <t>美妆个护</t>
        </is>
      </c>
      <c r="U1446" t="inlineStr">
        <is>
          <t>护肤彩妆</t>
        </is>
      </c>
      <c r="V1446" s="3">
        <v>46112.78107638889</v>
      </c>
      <c r="W1446" t="inlineStr">
        <is>
          <t>2026-Q1</t>
        </is>
      </c>
    </row>
    <row r="1447" ht="25.5" customHeight="1">
      <c r="A1447" t="inlineStr">
        <is>
          <t>bluenana · 【新手入门】甲油胶2025年新款懒人一步胶建构底封层胶美甲专用</t>
        </is>
      </c>
      <c r="B1447" t="inlineStr">
        <is>
          <t>recvdWIhrw3aUC.jpg</t>
        </is>
      </c>
      <c r="C1447" s="2" t="str">
        <f>=HYPERLINK("https://xhslink.com/m/jf9SvbmtA9", "https://xhslink.com/m/jf9SvbmtA9")</f>
        <v>https://xhslink.com/m/jf9SvbmtA9</v>
      </c>
      <c r="D1447"/>
      <c r="E1447">
        <v>4415</v>
      </c>
      <c r="F1447">
        <v>44.9</v>
      </c>
      <c r="G1447">
        <v>34.9</v>
      </c>
      <c r="H1447">
        <v>200</v>
      </c>
      <c r="I1447" t="inlineStr">
        <is>
          <t>美甲美睫</t>
        </is>
      </c>
      <c r="J1447" t="inlineStr">
        <is>
          <t>0.05</t>
        </is>
      </c>
      <c r="K1447"/>
      <c r="L1447" t="inlineStr">
        <is>
          <t>bluenana旗舰店</t>
        </is>
      </c>
      <c r="M1447">
        <v>3475</v>
      </c>
      <c r="N1447">
        <v>4.53</v>
      </c>
      <c r="O1447">
        <v>5574</v>
      </c>
      <c r="P1447" t="inlineStr">
        <is>
          <t>68d801cc057f570015cf5d63</t>
        </is>
      </c>
      <c r="Q1447"/>
      <c r="R1447" t="inlineStr">
        <is>
          <t>14周</t>
        </is>
      </c>
      <c r="S1447" t="inlineStr">
        <is>
          <t>1.27</t>
        </is>
      </c>
      <c r="T1447" t="inlineStr">
        <is>
          <t>美妆个护</t>
        </is>
      </c>
      <c r="U1447" t="inlineStr">
        <is>
          <t>护肤彩妆</t>
        </is>
      </c>
      <c r="V1447" s="3">
        <v>46112.78107638889</v>
      </c>
      <c r="W1447" t="inlineStr">
        <is>
          <t>2026-Q1</t>
        </is>
      </c>
    </row>
    <row r="1448" ht="25.5" customHeight="1">
      <c r="A1448" t="inlineStr">
        <is>
          <t>指集 · 10年美甲店主品牌！水性指甲油免烤味道小</t>
        </is>
      </c>
      <c r="B1448" t="inlineStr">
        <is>
          <t>recvdWIhrwYvHr.jpg</t>
        </is>
      </c>
      <c r="C1448" s="2" t="str">
        <f>=HYPERLINK("https://xhslink.com/m/57TyxrQwdGv", "https://xhslink.com/m/57TyxrQwdGv")</f>
        <v>https://xhslink.com/m/57TyxrQwdGv</v>
      </c>
      <c r="D1448"/>
      <c r="E1448">
        <v>505</v>
      </c>
      <c r="F1448">
        <v>28</v>
      </c>
      <c r="G1448">
        <v>27</v>
      </c>
      <c r="H1448">
        <v>200</v>
      </c>
      <c r="I1448" t="inlineStr">
        <is>
          <t>美甲美睫</t>
        </is>
      </c>
      <c r="J1448" t="inlineStr">
        <is>
          <t>0.40</t>
        </is>
      </c>
      <c r="K1448"/>
      <c r="L1448" t="inlineStr">
        <is>
          <t>大三家的店</t>
        </is>
      </c>
      <c r="M1448">
        <v>49000</v>
      </c>
      <c r="N1448">
        <v>4.69</v>
      </c>
      <c r="O1448">
        <v>45000</v>
      </c>
      <c r="P1448" t="inlineStr">
        <is>
          <t>698965a48c608e00016f7ded</t>
        </is>
      </c>
      <c r="Q1448"/>
      <c r="R1448" t="inlineStr">
        <is>
          <t>14周</t>
        </is>
      </c>
      <c r="S1448" t="inlineStr">
        <is>
          <t>0.01</t>
        </is>
      </c>
      <c r="T1448" t="inlineStr">
        <is>
          <t>美妆个护</t>
        </is>
      </c>
      <c r="U1448" t="inlineStr">
        <is>
          <t>护肤彩妆</t>
        </is>
      </c>
      <c r="V1448" s="3">
        <v>46112.78107638889</v>
      </c>
      <c r="W1448" t="inlineStr">
        <is>
          <t>2026-Q1</t>
        </is>
      </c>
    </row>
    <row r="1449" ht="25.5" customHeight="1">
      <c r="A1449" t="inlineStr">
        <is>
          <t>OAW · 2025新款复古工装拼色字母渔夫帽子女夏季户外徒步遮阳防晒登山帽</t>
        </is>
      </c>
      <c r="B1449" t="inlineStr">
        <is>
          <t>recve0Ccy0lK36.jpg</t>
        </is>
      </c>
      <c r="C1449" s="2" t="str">
        <f>=HYPERLINK("https://xhslink.com/m/1Y36RmgSsqk", "https://xhslink.com/m/1Y36RmgSsqk")</f>
        <v>https://xhslink.com/m/1Y36RmgSsqk</v>
      </c>
      <c r="D1449"/>
      <c r="E1449">
        <v>23000</v>
      </c>
      <c r="F1449">
        <v>35.8</v>
      </c>
      <c r="G1449"/>
      <c r="H1449">
        <v>200</v>
      </c>
      <c r="I1449" t="inlineStr">
        <is>
          <t>穿搭</t>
        </is>
      </c>
      <c r="J1449" t="inlineStr">
        <is>
          <t>0.01</t>
        </is>
      </c>
      <c r="K1449" t="inlineStr">
        <is>
          <t>🔥低粉爆款</t>
        </is>
      </c>
      <c r="L1449" t="inlineStr">
        <is>
          <t>OAW服饰配件的店</t>
        </is>
      </c>
      <c r="M1449">
        <v>87</v>
      </c>
      <c r="N1449">
        <v>4.36</v>
      </c>
      <c r="O1449">
        <v>38000</v>
      </c>
      <c r="P1449" t="inlineStr">
        <is>
          <t>682076a7beccb100150d9a79</t>
        </is>
      </c>
      <c r="Q1449" t="inlineStr">
        <is>
          <t>🚫重复</t>
        </is>
      </c>
      <c r="R1449" t="inlineStr">
        <is>
          <t>14周</t>
        </is>
      </c>
      <c r="S1449" t="inlineStr">
        <is>
          <t>264.37</t>
        </is>
      </c>
      <c r="T1449" t="inlineStr">
        <is>
          <t>服饰穿搭</t>
        </is>
      </c>
      <c r="U1449" t="inlineStr">
        <is>
          <t>配饰</t>
        </is>
      </c>
      <c r="V1449" s="3">
        <v>46112.78107638889</v>
      </c>
      <c r="W1449" t="inlineStr">
        <is>
          <t>2026-Q1</t>
        </is>
      </c>
    </row>
    <row r="1450" ht="25.5" customHeight="1">
      <c r="A1450" t="inlineStr">
        <is>
          <t>二十二块 大捡漏了！正肩短袖T恤</t>
        </is>
      </c>
      <c r="B1450" t="inlineStr">
        <is>
          <t>recve0Cd8qZGun.jpg</t>
        </is>
      </c>
      <c r="C1450" s="2" t="str">
        <f>=HYPERLINK("https://xhslink.com/m/Zjxq9GbSTT", "https://xhslink.com/m/Zjxq9GbSTT")</f>
        <v>https://xhslink.com/m/Zjxq9GbSTT</v>
      </c>
      <c r="D1450"/>
      <c r="E1450">
        <v>57000</v>
      </c>
      <c r="F1450">
        <v>22</v>
      </c>
      <c r="G1450"/>
      <c r="H1450">
        <v>200</v>
      </c>
      <c r="I1450" t="inlineStr">
        <is>
          <t>穿搭</t>
        </is>
      </c>
      <c r="J1450" t="inlineStr">
        <is>
          <t>0.00</t>
        </is>
      </c>
      <c r="K1450"/>
      <c r="L1450" t="inlineStr">
        <is>
          <t>野草银河的店</t>
        </is>
      </c>
      <c r="M1450">
        <v>203000</v>
      </c>
      <c r="N1450">
        <v>4.54</v>
      </c>
      <c r="O1450">
        <v>1847000</v>
      </c>
      <c r="P1450" t="inlineStr">
        <is>
          <t>67e0c21cbeccb100155a282b</t>
        </is>
      </c>
      <c r="Q1450" t="inlineStr">
        <is>
          <t>🚫重复</t>
        </is>
      </c>
      <c r="R1450" t="inlineStr">
        <is>
          <t>14周</t>
        </is>
      </c>
      <c r="S1450" t="inlineStr">
        <is>
          <t>0.28</t>
        </is>
      </c>
      <c r="T1450" t="inlineStr">
        <is>
          <t>服饰穿搭</t>
        </is>
      </c>
      <c r="U1450" t="inlineStr">
        <is>
          <t>女装</t>
        </is>
      </c>
      <c r="V1450" s="3">
        <v>46112.78107638889</v>
      </c>
      <c r="W1450" t="inlineStr">
        <is>
          <t>2026-Q1</t>
        </is>
      </c>
    </row>
    <row r="1451" ht="25.5" customHeight="1">
      <c r="A1451" t="inlineStr">
        <is>
          <t>（巨遮肚）夏季新款微胖正肩荷叶边短袖T恤显瘦上衣奶皮裤温柔套</t>
        </is>
      </c>
      <c r="B1451" t="inlineStr">
        <is>
          <t>recve0Cd8qI1sE.jpg</t>
        </is>
      </c>
      <c r="C1451" s="2" t="str">
        <f>=HYPERLINK("https://xhslink.com/m/5q1bWcAWZTa", "https://xhslink.com/m/5q1bWcAWZTa")</f>
        <v>https://xhslink.com/m/5q1bWcAWZTa</v>
      </c>
      <c r="D1451"/>
      <c r="E1451">
        <v>42000</v>
      </c>
      <c r="F1451">
        <v>59.9</v>
      </c>
      <c r="G1451"/>
      <c r="H1451">
        <v>200</v>
      </c>
      <c r="I1451" t="inlineStr">
        <is>
          <t>穿搭</t>
        </is>
      </c>
      <c r="J1451" t="inlineStr">
        <is>
          <t>0.00</t>
        </is>
      </c>
      <c r="K1451"/>
      <c r="L1451" t="inlineStr">
        <is>
          <t>高冷冷的店</t>
        </is>
      </c>
      <c r="M1451">
        <v>494000</v>
      </c>
      <c r="N1451">
        <v>4.57</v>
      </c>
      <c r="O1451">
        <v>354000</v>
      </c>
      <c r="P1451" t="inlineStr">
        <is>
          <t>68bafcdd9a16410001d27e0a</t>
        </is>
      </c>
      <c r="Q1451" t="inlineStr">
        <is>
          <t>🚫重复</t>
        </is>
      </c>
      <c r="R1451" t="inlineStr">
        <is>
          <t>14周</t>
        </is>
      </c>
      <c r="S1451" t="inlineStr">
        <is>
          <t>0.09</t>
        </is>
      </c>
      <c r="T1451" t="inlineStr">
        <is>
          <t>服饰穿搭</t>
        </is>
      </c>
      <c r="U1451" t="inlineStr">
        <is>
          <t>女装</t>
        </is>
      </c>
      <c r="V1451" s="3">
        <v>46112.78107638889</v>
      </c>
      <c r="W1451" t="inlineStr">
        <is>
          <t>2026-Q1</t>
        </is>
      </c>
    </row>
    <row r="1452" ht="25.5" customHeight="1">
      <c r="A1452" t="inlineStr">
        <is>
          <t>【盖个帽儿】韩系牛仔渔夫帽新款休闲盆帽百搭遮阳水桶太阳帽</t>
        </is>
      </c>
      <c r="B1452" t="inlineStr">
        <is>
          <t>recve0Cd8qoEBY.jpg</t>
        </is>
      </c>
      <c r="C1452" s="2" t="str">
        <f>=HYPERLINK("https://xhslink.com/m/2P47CIlRvqc", "https://xhslink.com/m/2P47CIlRvqc")</f>
        <v>https://xhslink.com/m/2P47CIlRvqc</v>
      </c>
      <c r="D1452"/>
      <c r="E1452">
        <v>7471</v>
      </c>
      <c r="F1452">
        <v>38.9</v>
      </c>
      <c r="G1452"/>
      <c r="H1452">
        <v>200</v>
      </c>
      <c r="I1452" t="inlineStr">
        <is>
          <t>穿搭</t>
        </is>
      </c>
      <c r="J1452" t="inlineStr">
        <is>
          <t>0.03</t>
        </is>
      </c>
      <c r="K1452"/>
      <c r="L1452" t="inlineStr">
        <is>
          <t>盖个帽儿总店铺的店</t>
        </is>
      </c>
      <c r="M1452">
        <v>150000</v>
      </c>
      <c r="N1452">
        <v>4.56</v>
      </c>
      <c r="O1452">
        <v>1586000</v>
      </c>
      <c r="P1452" t="inlineStr">
        <is>
          <t>68b6f49b24d64a0001989958</t>
        </is>
      </c>
      <c r="Q1452" t="inlineStr">
        <is>
          <t>🚫重复</t>
        </is>
      </c>
      <c r="R1452" t="inlineStr">
        <is>
          <t>14周</t>
        </is>
      </c>
      <c r="S1452" t="inlineStr">
        <is>
          <t>0.05</t>
        </is>
      </c>
      <c r="T1452" t="inlineStr">
        <is>
          <t>服饰穿搭</t>
        </is>
      </c>
      <c r="U1452" t="inlineStr">
        <is>
          <t>女装</t>
        </is>
      </c>
      <c r="V1452" s="3">
        <v>46112.78107638889</v>
      </c>
      <c r="W1452" t="inlineStr">
        <is>
          <t>2026-Q1</t>
        </is>
      </c>
    </row>
    <row r="1453" ht="25.5" customHeight="1">
      <c r="A1453" t="inlineStr">
        <is>
          <t>星之莓莓丨格纹条纹卷边渔夫帽女2025新款春夏百搭防晒遮太阳帽子</t>
        </is>
      </c>
      <c r="B1453" t="inlineStr">
        <is>
          <t>recve0Cd8q8If7.jpg</t>
        </is>
      </c>
      <c r="C1453" s="2" t="str">
        <f>=HYPERLINK("https://xhslink.com/m/7n6Jc2FymCm", "https://xhslink.com/m/7n6Jc2FymCm")</f>
        <v>https://xhslink.com/m/7n6Jc2FymCm</v>
      </c>
      <c r="D1453"/>
      <c r="E1453">
        <v>913</v>
      </c>
      <c r="F1453">
        <v>32.8</v>
      </c>
      <c r="G1453"/>
      <c r="H1453">
        <v>200</v>
      </c>
      <c r="I1453" t="inlineStr">
        <is>
          <t>穿搭</t>
        </is>
      </c>
      <c r="J1453" t="inlineStr">
        <is>
          <t>0.22</t>
        </is>
      </c>
      <c r="K1453"/>
      <c r="L1453" t="inlineStr">
        <is>
          <t>星之莓莓Cake的店</t>
        </is>
      </c>
      <c r="M1453">
        <v>20000</v>
      </c>
      <c r="N1453">
        <v>4.44</v>
      </c>
      <c r="O1453">
        <v>53000</v>
      </c>
      <c r="P1453" t="inlineStr">
        <is>
          <t>684d3c55e874f200016bf244</t>
        </is>
      </c>
      <c r="Q1453"/>
      <c r="R1453" t="inlineStr">
        <is>
          <t>14周</t>
        </is>
      </c>
      <c r="S1453" t="inlineStr">
        <is>
          <t>0.05</t>
        </is>
      </c>
      <c r="T1453" t="inlineStr">
        <is>
          <t>服饰穿搭</t>
        </is>
      </c>
      <c r="U1453" t="inlineStr">
        <is>
          <t>配饰</t>
        </is>
      </c>
      <c r="V1453" s="3">
        <v>46112.78107638889</v>
      </c>
      <c r="W1453" t="inlineStr">
        <is>
          <t>2026-Q1</t>
        </is>
      </c>
    </row>
    <row r="1454" ht="25.5" customHeight="1">
      <c r="A1454" t="inlineStr">
        <is>
          <t>提拉多 /telado · 微缩场景合集本8.0造景贴纸场景卡通小屋女孩儿童玩具贴画</t>
        </is>
      </c>
      <c r="B1454" t="inlineStr">
        <is>
          <t>recve0Cd8qxroJ.jpg</t>
        </is>
      </c>
      <c r="C1454" s="2" t="str">
        <f>=HYPERLINK("https://xhslink.com/m/4fU7f23Jeuf", "https://xhslink.com/m/4fU7f23Jeuf")</f>
        <v>https://xhslink.com/m/4fU7f23Jeuf</v>
      </c>
      <c r="D1454"/>
      <c r="E1454">
        <v>22000</v>
      </c>
      <c r="F1454">
        <v>16.8</v>
      </c>
      <c r="G1454"/>
      <c r="H1454">
        <v>200</v>
      </c>
      <c r="I1454" t="inlineStr">
        <is>
          <t>亲子</t>
        </is>
      </c>
      <c r="J1454" t="inlineStr">
        <is>
          <t>0.01</t>
        </is>
      </c>
      <c r="K1454"/>
      <c r="L1454" t="inlineStr">
        <is>
          <t>提拉多telado的店</t>
        </is>
      </c>
      <c r="M1454">
        <v>257000</v>
      </c>
      <c r="N1454">
        <v>4.68</v>
      </c>
      <c r="O1454">
        <v>62000</v>
      </c>
      <c r="P1454" t="inlineStr">
        <is>
          <t>690dc08e4272610001207137</t>
        </is>
      </c>
      <c r="Q1454" t="inlineStr">
        <is>
          <t>🚫重复</t>
        </is>
      </c>
      <c r="R1454" t="inlineStr">
        <is>
          <t>14周</t>
        </is>
      </c>
      <c r="S1454" t="inlineStr">
        <is>
          <t>0.09</t>
        </is>
      </c>
      <c r="T1454" t="inlineStr">
        <is>
          <t>母婴亲子</t>
        </is>
      </c>
      <c r="U1454" t="inlineStr">
        <is>
          <t>童装童鞋</t>
        </is>
      </c>
      <c r="V1454" s="3">
        <v>46112.78107638889</v>
      </c>
      <c r="W1454" t="inlineStr">
        <is>
          <t>2026-Q1</t>
        </is>
      </c>
    </row>
    <row r="1455" ht="25.5" customHeight="1">
      <c r="A1455" t="inlineStr">
        <is>
          <t>唐熙 · 微瑕疵瑜伽垫加厚加宽长防滑健身垫舞蹈跳操隔音减震垫子地垫家用</t>
        </is>
      </c>
      <c r="B1455" t="inlineStr">
        <is>
          <t>recve0Cd8qS5Mi.jpg</t>
        </is>
      </c>
      <c r="C1455" s="2" t="str">
        <f>=HYPERLINK("https://xhslink.com/m/8l7y9M9tNIB", "https://xhslink.com/m/8l7y9M9tNIB")</f>
        <v>https://xhslink.com/m/8l7y9M9tNIB</v>
      </c>
      <c r="D1455"/>
      <c r="E1455">
        <v>16000</v>
      </c>
      <c r="F1455">
        <v>15.8</v>
      </c>
      <c r="G1455"/>
      <c r="H1455">
        <v>200</v>
      </c>
      <c r="I1455" t="inlineStr">
        <is>
          <t>运动</t>
        </is>
      </c>
      <c r="J1455" t="inlineStr">
        <is>
          <t>0.01</t>
        </is>
      </c>
      <c r="K1455" t="inlineStr">
        <is>
          <t>🔥低粉爆款</t>
        </is>
      </c>
      <c r="L1455" t="inlineStr">
        <is>
          <t>唐熙体育用品折扣的店</t>
        </is>
      </c>
      <c r="M1455">
        <v>1986</v>
      </c>
      <c r="N1455">
        <v>4.45</v>
      </c>
      <c r="O1455">
        <v>41000</v>
      </c>
      <c r="P1455" t="inlineStr">
        <is>
          <t>662676ae44bdbd0001558725</t>
        </is>
      </c>
      <c r="Q1455" t="inlineStr">
        <is>
          <t>🚫重复</t>
        </is>
      </c>
      <c r="R1455" t="inlineStr">
        <is>
          <t>14周</t>
        </is>
      </c>
      <c r="S1455" t="inlineStr">
        <is>
          <t>8.06</t>
        </is>
      </c>
      <c r="T1455" t="inlineStr">
        <is>
          <t>运动潮玩</t>
        </is>
      </c>
      <c r="U1455" t="inlineStr">
        <is>
          <t>运动户外装备</t>
        </is>
      </c>
      <c r="V1455" s="3">
        <v>46112.78107638889</v>
      </c>
      <c r="W1455" t="inlineStr">
        <is>
          <t>2026-Q1</t>
        </is>
      </c>
    </row>
    <row r="1456" ht="25.5" customHeight="1">
      <c r="A1456" t="inlineStr">
        <is>
          <t>Guguan古馆 · 户外新款工装裤徒步登山微喇软壳冲锋裤加绒防水速干直筒小个子女</t>
        </is>
      </c>
      <c r="B1456" t="inlineStr">
        <is>
          <t>recve0Cd8qnWiV.jpg</t>
        </is>
      </c>
      <c r="C1456" s="2" t="str">
        <f>=HYPERLINK("https://xhslink.com/m/18DQrIBcwoD", "https://xhslink.com/m/18DQrIBcwoD")</f>
        <v>https://xhslink.com/m/18DQrIBcwoD</v>
      </c>
      <c r="D1456"/>
      <c r="E1456">
        <v>23000</v>
      </c>
      <c r="F1456">
        <v>129</v>
      </c>
      <c r="G1456">
        <v>126</v>
      </c>
      <c r="H1456">
        <v>200</v>
      </c>
      <c r="I1456" t="inlineStr">
        <is>
          <t>运动</t>
        </is>
      </c>
      <c r="J1456" t="inlineStr">
        <is>
          <t>0.01</t>
        </is>
      </c>
      <c r="K1456"/>
      <c r="L1456" t="inlineStr">
        <is>
          <t>古馆旗舰店</t>
        </is>
      </c>
      <c r="M1456">
        <v>9438</v>
      </c>
      <c r="N1456">
        <v>4.69</v>
      </c>
      <c r="O1456">
        <v>114000</v>
      </c>
      <c r="P1456" t="inlineStr">
        <is>
          <t>6821ad5415cfd20001226887</t>
        </is>
      </c>
      <c r="Q1456"/>
      <c r="R1456" t="inlineStr">
        <is>
          <t>14周</t>
        </is>
      </c>
      <c r="S1456" t="inlineStr">
        <is>
          <t>2.44</t>
        </is>
      </c>
      <c r="T1456" t="inlineStr">
        <is>
          <t>运动潮玩</t>
        </is>
      </c>
      <c r="U1456" t="inlineStr">
        <is>
          <t>运动户外装备</t>
        </is>
      </c>
      <c r="V1456" s="3">
        <v>46112.78107638889</v>
      </c>
      <c r="W1456" t="inlineStr">
        <is>
          <t>2026-Q1</t>
        </is>
      </c>
    </row>
    <row r="1457" ht="25.5" customHeight="1">
      <c r="A1457" t="inlineStr">
        <is>
          <t>小绵羊绵羊毛高品外套戴帽</t>
        </is>
      </c>
      <c r="B1457" t="inlineStr">
        <is>
          <t>recve0Cd8qPDng.jpg</t>
        </is>
      </c>
      <c r="C1457" s="2" t="str">
        <f>=HYPERLINK("https://xhslink.com/m/AhBekBasUWZ", "https://xhslink.com/m/AhBekBasUWZ")</f>
        <v>https://xhslink.com/m/AhBekBasUWZ</v>
      </c>
      <c r="D1457"/>
      <c r="E1457">
        <v>1292</v>
      </c>
      <c r="F1457">
        <v>329</v>
      </c>
      <c r="G1457"/>
      <c r="H1457">
        <v>200</v>
      </c>
      <c r="I1457" t="inlineStr">
        <is>
          <t>外套</t>
        </is>
      </c>
      <c r="J1457" t="inlineStr">
        <is>
          <t>0.15</t>
        </is>
      </c>
      <c r="K1457"/>
      <c r="L1457" t="inlineStr">
        <is>
          <t>yiyi 呀的店</t>
        </is>
      </c>
      <c r="M1457">
        <v>3239</v>
      </c>
      <c r="N1457">
        <v>4.66</v>
      </c>
      <c r="O1457">
        <v>15000</v>
      </c>
      <c r="P1457" t="inlineStr">
        <is>
          <t>6938f58a7a38a60001b747f7</t>
        </is>
      </c>
      <c r="Q1457"/>
      <c r="R1457" t="inlineStr">
        <is>
          <t>14周</t>
        </is>
      </c>
      <c r="S1457" t="inlineStr">
        <is>
          <t>0.40</t>
        </is>
      </c>
      <c r="T1457" t="inlineStr">
        <is>
          <t>服饰穿搭</t>
        </is>
      </c>
      <c r="U1457" t="inlineStr">
        <is>
          <t>女装</t>
        </is>
      </c>
      <c r="V1457" s="3">
        <v>46112.78107638889</v>
      </c>
      <c r="W1457" t="inlineStr">
        <is>
          <t>2026-Q1</t>
        </is>
      </c>
    </row>
    <row r="1458" ht="25.5" customHeight="1">
      <c r="A1458" t="inlineStr">
        <is>
          <t>复古白色拼色卫衣三条杠蓝色外套韩系夹克棒球服运动穿搭上衣女</t>
        </is>
      </c>
      <c r="B1458" t="inlineStr">
        <is>
          <t>recve0Cd8qC5S4.jpg</t>
        </is>
      </c>
      <c r="C1458" s="2" t="str">
        <f>=HYPERLINK("https://xhslink.com/m/6vzkvR8exge", "https://xhslink.com/m/6vzkvR8exge")</f>
        <v>https://xhslink.com/m/6vzkvR8exge</v>
      </c>
      <c r="D1458"/>
      <c r="E1458">
        <v>971</v>
      </c>
      <c r="F1458">
        <v>79.9</v>
      </c>
      <c r="G1458"/>
      <c r="H1458">
        <v>200</v>
      </c>
      <c r="I1458" t="inlineStr">
        <is>
          <t>外套</t>
        </is>
      </c>
      <c r="J1458" t="inlineStr">
        <is>
          <t>0.21</t>
        </is>
      </c>
      <c r="K1458"/>
      <c r="L1458" t="inlineStr">
        <is>
          <t>白格BG的店</t>
        </is>
      </c>
      <c r="M1458">
        <v>16000</v>
      </c>
      <c r="N1458">
        <v>4.57</v>
      </c>
      <c r="O1458">
        <v>156000</v>
      </c>
      <c r="P1458" t="inlineStr">
        <is>
          <t>69a798f9d2bf800001c2a35f</t>
        </is>
      </c>
      <c r="Q1458" t="inlineStr">
        <is>
          <t>🚫重复</t>
        </is>
      </c>
      <c r="R1458" t="inlineStr">
        <is>
          <t>14周</t>
        </is>
      </c>
      <c r="S1458" t="inlineStr">
        <is>
          <t>0.06</t>
        </is>
      </c>
      <c r="T1458" t="inlineStr">
        <is>
          <t>服饰穿搭</t>
        </is>
      </c>
      <c r="U1458" t="inlineStr">
        <is>
          <t>女装</t>
        </is>
      </c>
      <c r="V1458" s="3">
        <v>46112.78107638889</v>
      </c>
      <c r="W1458" t="inlineStr">
        <is>
          <t>2026-Q1</t>
        </is>
      </c>
    </row>
    <row r="1459" ht="25.5" customHeight="1">
      <c r="A1459" t="inlineStr">
        <is>
          <t>EAR PARTNER · 925银针星星耳环女小众设计复古风不对称耳圈耳扣耳骨环耳钉耳饰</t>
        </is>
      </c>
      <c r="B1459" t="inlineStr">
        <is>
          <t>recve60dL6YcGC.jpg</t>
        </is>
      </c>
      <c r="C1459" s="2" t="str">
        <f>=HYPERLINK("https://xhslink.com/m/KzTzz1vEHM", "https://xhslink.com/m/KzTzz1vEHM")</f>
        <v>https://xhslink.com/m/KzTzz1vEHM</v>
      </c>
      <c r="D1459"/>
      <c r="E1459">
        <v>6499</v>
      </c>
      <c r="F1459">
        <v>32</v>
      </c>
      <c r="G1459"/>
      <c r="H1459">
        <v>200</v>
      </c>
      <c r="I1459" t="inlineStr">
        <is>
          <t>饰品</t>
        </is>
      </c>
      <c r="J1459" t="inlineStr">
        <is>
          <t>0.03</t>
        </is>
      </c>
      <c r="K1459"/>
      <c r="L1459" t="inlineStr">
        <is>
          <t>EAR PARTNER旗舰店</t>
        </is>
      </c>
      <c r="M1459">
        <v>119000</v>
      </c>
      <c r="N1459">
        <v>4.65</v>
      </c>
      <c r="O1459">
        <v>879000</v>
      </c>
      <c r="P1459" t="inlineStr">
        <is>
          <t>69439e7fe935e90001184213</t>
        </is>
      </c>
      <c r="Q1459"/>
      <c r="R1459" t="inlineStr">
        <is>
          <t>14周</t>
        </is>
      </c>
      <c r="S1459" t="inlineStr">
        <is>
          <t>0.05</t>
        </is>
      </c>
      <c r="T1459" t="inlineStr">
        <is>
          <t>服饰穿搭</t>
        </is>
      </c>
      <c r="U1459" t="inlineStr">
        <is>
          <t>配饰</t>
        </is>
      </c>
      <c r="V1459" s="3">
        <v>46112.78107638889</v>
      </c>
      <c r="W1459" t="inlineStr">
        <is>
          <t>2026-Q1</t>
        </is>
      </c>
    </row>
    <row r="1460" ht="25.5" customHeight="1">
      <c r="A1460" t="inlineStr">
        <is>
          <t>Niko｜原创捷克复古串珠项链（非七天无理由）</t>
        </is>
      </c>
      <c r="B1460" t="inlineStr">
        <is>
          <t>recve60dL6a1aN.jpg</t>
        </is>
      </c>
      <c r="C1460" s="2" t="str">
        <f>=HYPERLINK("https://xhslink.com/m/6HrcMb8axw7", "https://xhslink.com/m/6HrcMb8axw7")</f>
        <v>https://xhslink.com/m/6HrcMb8axw7</v>
      </c>
      <c r="D1460"/>
      <c r="E1460">
        <v>1304</v>
      </c>
      <c r="F1460">
        <v>72</v>
      </c>
      <c r="G1460">
        <v>69</v>
      </c>
      <c r="H1460">
        <v>200</v>
      </c>
      <c r="I1460" t="inlineStr">
        <is>
          <t>饰品</t>
        </is>
      </c>
      <c r="J1460" t="inlineStr">
        <is>
          <t>0.15</t>
        </is>
      </c>
      <c r="K1460"/>
      <c r="L1460" t="inlineStr">
        <is>
          <t>Niko的店</t>
        </is>
      </c>
      <c r="M1460">
        <v>4288</v>
      </c>
      <c r="N1460">
        <v>4.71</v>
      </c>
      <c r="O1460">
        <v>2055</v>
      </c>
      <c r="P1460" t="inlineStr">
        <is>
          <t>69a847a7dd2f440001aa3534</t>
        </is>
      </c>
      <c r="Q1460" t="inlineStr">
        <is>
          <t>🚫重复</t>
        </is>
      </c>
      <c r="R1460" t="inlineStr">
        <is>
          <t>14周</t>
        </is>
      </c>
      <c r="S1460" t="inlineStr">
        <is>
          <t>0.30</t>
        </is>
      </c>
      <c r="T1460" t="inlineStr">
        <is>
          <t>服饰穿搭</t>
        </is>
      </c>
      <c r="U1460" t="inlineStr">
        <is>
          <t>配饰</t>
        </is>
      </c>
      <c r="V1460" s="3">
        <v>46112.78107638889</v>
      </c>
      <c r="W1460" t="inlineStr">
        <is>
          <t>2026-Q1</t>
        </is>
      </c>
    </row>
    <row r="1461" ht="25.5" customHeight="1">
      <c r="A1461" t="inlineStr">
        <is>
          <t>豚馒「谷好贩」原创文字登山扣亚克力挂件组合</t>
        </is>
      </c>
      <c r="B1461" t="inlineStr">
        <is>
          <t>recve60dL6U9WX.jpg</t>
        </is>
      </c>
      <c r="C1461" s="2" t="str">
        <f>=HYPERLINK("https://xhslink.com/m/2n4ZcLhLuTy", "https://xhslink.com/m/2n4ZcLhLuTy")</f>
        <v>https://xhslink.com/m/2n4ZcLhLuTy</v>
      </c>
      <c r="D1461"/>
      <c r="E1461">
        <v>1042</v>
      </c>
      <c r="F1461">
        <v>10.9</v>
      </c>
      <c r="G1461">
        <v>8.9</v>
      </c>
      <c r="H1461">
        <v>200</v>
      </c>
      <c r="I1461" t="inlineStr">
        <is>
          <t>饰品</t>
        </is>
      </c>
      <c r="J1461" t="inlineStr">
        <is>
          <t>0.19</t>
        </is>
      </c>
      <c r="K1461"/>
      <c r="L1461" t="inlineStr">
        <is>
          <t>谷好贩goodsXfans的店</t>
        </is>
      </c>
      <c r="M1461">
        <v>21000</v>
      </c>
      <c r="N1461">
        <v>4.88</v>
      </c>
      <c r="O1461">
        <v>75000</v>
      </c>
      <c r="P1461" t="inlineStr">
        <is>
          <t>69abcac01166fe0001908615</t>
        </is>
      </c>
      <c r="Q1461"/>
      <c r="R1461" t="inlineStr">
        <is>
          <t>14周</t>
        </is>
      </c>
      <c r="S1461" t="inlineStr">
        <is>
          <t>0.05</t>
        </is>
      </c>
      <c r="T1461" t="inlineStr">
        <is>
          <t>运动潮玩</t>
        </is>
      </c>
      <c r="U1461" t="inlineStr">
        <is>
          <t>运动户外装备</t>
        </is>
      </c>
      <c r="V1461" s="3">
        <v>46112.78107638889</v>
      </c>
      <c r="W1461" t="inlineStr">
        <is>
          <t>2026-Q1</t>
        </is>
      </c>
    </row>
    <row r="1462" ht="25.5" customHeight="1">
      <c r="A1462" t="inlineStr">
        <is>
          <t>宇宙商店x月亮商店 上班不快乐系列10cm毛绒挂件玩偶玩具上班搭子</t>
        </is>
      </c>
      <c r="B1462" t="inlineStr">
        <is>
          <t>recve60dL6FGsZ.jpg</t>
        </is>
      </c>
      <c r="C1462" s="2" t="str">
        <f>=HYPERLINK("https://xhslink.com/m/4XlFJG7MfNI", "https://xhslink.com/m/4XlFJG7MfNI")</f>
        <v>https://xhslink.com/m/4XlFJG7MfNI</v>
      </c>
      <c r="D1462"/>
      <c r="E1462">
        <v>1459</v>
      </c>
      <c r="F1462">
        <v>29.9</v>
      </c>
      <c r="G1462"/>
      <c r="H1462">
        <v>200</v>
      </c>
      <c r="I1462" t="inlineStr">
        <is>
          <t>饰品</t>
        </is>
      </c>
      <c r="J1462" t="inlineStr">
        <is>
          <t>0.14</t>
        </is>
      </c>
      <c r="K1462"/>
      <c r="L1462" t="inlineStr">
        <is>
          <t>宇宙商店Uchuuu Store的店</t>
        </is>
      </c>
      <c r="M1462">
        <v>108000</v>
      </c>
      <c r="N1462">
        <v>4.62</v>
      </c>
      <c r="O1462">
        <v>86000</v>
      </c>
      <c r="P1462" t="inlineStr">
        <is>
          <t>6960aa67aae2940001ecd1dd</t>
        </is>
      </c>
      <c r="Q1462" t="inlineStr">
        <is>
          <t>🚫重复</t>
        </is>
      </c>
      <c r="R1462" t="inlineStr">
        <is>
          <t>14周</t>
        </is>
      </c>
      <c r="S1462" t="inlineStr">
        <is>
          <t>0.01</t>
        </is>
      </c>
      <c r="T1462" t="inlineStr">
        <is>
          <t>母婴亲子</t>
        </is>
      </c>
      <c r="U1462" t="inlineStr">
        <is>
          <t>玩具早教</t>
        </is>
      </c>
      <c r="V1462" s="3">
        <v>46112.78107638889</v>
      </c>
      <c r="W1462" t="inlineStr">
        <is>
          <t>2026-Q1</t>
        </is>
      </c>
    </row>
    <row r="1463" ht="25.5" customHeight="1">
      <c r="A1463" t="inlineStr">
        <is>
          <t>【炸虾虾盲盒】毛绒挂件盲盒包包挂件钥匙扣挂件搪胶挂件礼物推荐</t>
        </is>
      </c>
      <c r="B1463" t="inlineStr">
        <is>
          <t>recve60dL6UUjF.jpg</t>
        </is>
      </c>
      <c r="C1463" s="2" t="str">
        <f>=HYPERLINK("https://xhslink.com/m/5TmscqTSkLY", "https://xhslink.com/m/5TmscqTSkLY")</f>
        <v>https://xhslink.com/m/5TmscqTSkLY</v>
      </c>
      <c r="D1463"/>
      <c r="E1463">
        <v>972</v>
      </c>
      <c r="F1463">
        <v>299.9</v>
      </c>
      <c r="G1463">
        <v>204.9</v>
      </c>
      <c r="H1463">
        <v>200</v>
      </c>
      <c r="I1463" t="inlineStr">
        <is>
          <t>饰品</t>
        </is>
      </c>
      <c r="J1463" t="inlineStr">
        <is>
          <t>0.21</t>
        </is>
      </c>
      <c r="K1463"/>
      <c r="L1463" t="inlineStr">
        <is>
          <t>玩具箱物语的店</t>
        </is>
      </c>
      <c r="M1463">
        <v>1665</v>
      </c>
      <c r="N1463">
        <v>4.55</v>
      </c>
      <c r="O1463">
        <v>49000</v>
      </c>
      <c r="P1463" t="inlineStr">
        <is>
          <t>68f874f3e3794300015fbd56</t>
        </is>
      </c>
      <c r="Q1463" t="inlineStr">
        <is>
          <t>🚫重复</t>
        </is>
      </c>
      <c r="R1463" t="inlineStr">
        <is>
          <t>14周</t>
        </is>
      </c>
      <c r="S1463" t="inlineStr">
        <is>
          <t>0.58</t>
        </is>
      </c>
      <c r="T1463" t="inlineStr">
        <is>
          <t>服饰穿搭</t>
        </is>
      </c>
      <c r="U1463" t="inlineStr">
        <is>
          <t>鞋靴箱包</t>
        </is>
      </c>
      <c r="V1463" s="3">
        <v>46112.78107638889</v>
      </c>
      <c r="W1463" t="inlineStr">
        <is>
          <t>2026-Q1</t>
        </is>
      </c>
    </row>
    <row r="1464" ht="25.5" customHeight="1">
      <c r="A1464" t="inlineStr">
        <is>
          <t>真液态玻璃，巨硬，慢慢拉， 肌无力慎拍！按克重卖盒子装不满哦</t>
        </is>
      </c>
      <c r="B1464" t="inlineStr">
        <is>
          <t>recve60dL6mtUb.jpg</t>
        </is>
      </c>
      <c r="C1464" s="2" t="str">
        <f>=HYPERLINK("https://xhslink.com/m/4diz7152FZJ", "https://xhslink.com/m/4diz7152FZJ")</f>
        <v>https://xhslink.com/m/4diz7152FZJ</v>
      </c>
      <c r="D1464"/>
      <c r="E1464">
        <v>4891</v>
      </c>
      <c r="F1464">
        <v>32.8</v>
      </c>
      <c r="G1464"/>
      <c r="H1464">
        <v>200</v>
      </c>
      <c r="I1464" t="inlineStr">
        <is>
          <t>饰品</t>
        </is>
      </c>
      <c r="J1464" t="inlineStr">
        <is>
          <t>0.04</t>
        </is>
      </c>
      <c r="K1464"/>
      <c r="L1464" t="inlineStr">
        <is>
          <t>你的甜酒酒的店</t>
        </is>
      </c>
      <c r="M1464">
        <v>48000</v>
      </c>
      <c r="N1464">
        <v>4.37</v>
      </c>
      <c r="O1464">
        <v>9613</v>
      </c>
      <c r="P1464" t="inlineStr">
        <is>
          <t>68c1436c977bcb0001578e57</t>
        </is>
      </c>
      <c r="Q1464" t="inlineStr">
        <is>
          <t>🚫重复</t>
        </is>
      </c>
      <c r="R1464" t="inlineStr">
        <is>
          <t>14周</t>
        </is>
      </c>
      <c r="S1464" t="inlineStr">
        <is>
          <t>0.10</t>
        </is>
      </c>
      <c r="T1464" t="inlineStr">
        <is>
          <t>服饰穿搭</t>
        </is>
      </c>
      <c r="U1464" t="inlineStr">
        <is>
          <t>配饰</t>
        </is>
      </c>
      <c r="V1464" s="3">
        <v>46112.78107638889</v>
      </c>
      <c r="W1464" t="inlineStr">
        <is>
          <t>2026-Q1</t>
        </is>
      </c>
    </row>
    <row r="1465" ht="25.5" customHeight="1">
      <c r="A1465" t="inlineStr">
        <is>
          <t>Tangle · 金属系列扭扭乐ADHD专注力手指训练神器解压小玩具</t>
        </is>
      </c>
      <c r="B1465" t="inlineStr">
        <is>
          <t>recve60dL6wqlS.jpg</t>
        </is>
      </c>
      <c r="C1465" s="2" t="str">
        <f>=HYPERLINK("https://xhslink.com/m/1OSHNJIztjk", "https://xhslink.com/m/1OSHNJIztjk")</f>
        <v>https://xhslink.com/m/1OSHNJIztjk</v>
      </c>
      <c r="D1465"/>
      <c r="E1465">
        <v>5807</v>
      </c>
      <c r="F1465">
        <v>50</v>
      </c>
      <c r="G1465">
        <v>47</v>
      </c>
      <c r="H1465">
        <v>200</v>
      </c>
      <c r="I1465" t="inlineStr">
        <is>
          <t>饰品</t>
        </is>
      </c>
      <c r="J1465" t="inlineStr">
        <is>
          <t>0.03</t>
        </is>
      </c>
      <c r="K1465"/>
      <c r="L1465" t="inlineStr">
        <is>
          <t>Tangle旗舰店</t>
        </is>
      </c>
      <c r="M1465">
        <v>81000</v>
      </c>
      <c r="N1465">
        <v>4.5</v>
      </c>
      <c r="O1465">
        <v>138000</v>
      </c>
      <c r="P1465" t="inlineStr">
        <is>
          <t>69057aa016054d001538c557</t>
        </is>
      </c>
      <c r="Q1465" t="inlineStr">
        <is>
          <t>🚫重复</t>
        </is>
      </c>
      <c r="R1465" t="inlineStr">
        <is>
          <t>14周</t>
        </is>
      </c>
      <c r="S1465" t="inlineStr">
        <is>
          <t>0.07</t>
        </is>
      </c>
      <c r="T1465" t="inlineStr">
        <is>
          <t>母婴亲子</t>
        </is>
      </c>
      <c r="U1465" t="inlineStr">
        <is>
          <t>玩具早教</t>
        </is>
      </c>
      <c r="V1465" s="3">
        <v>46112.78107638889</v>
      </c>
      <c r="W1465" t="inlineStr">
        <is>
          <t>2026-Q1</t>
        </is>
      </c>
    </row>
    <row r="1466" ht="25.5" customHeight="1">
      <c r="A1466" t="inlineStr">
        <is>
          <t>超轻薄磨砂裸感软壳适用小米/华为/苹果手机壳防指纹手汗独立按键</t>
        </is>
      </c>
      <c r="B1466" t="inlineStr">
        <is>
          <t>recve60dL6erm0.jpg</t>
        </is>
      </c>
      <c r="C1466" s="2" t="str">
        <f>=HYPERLINK("https://xhslink.com/m/34JmUcI0j2n", "https://xhslink.com/m/34JmUcI0j2n")</f>
        <v>https://xhslink.com/m/34JmUcI0j2n</v>
      </c>
      <c r="D1466"/>
      <c r="E1466">
        <v>28000</v>
      </c>
      <c r="F1466">
        <v>15.8</v>
      </c>
      <c r="G1466">
        <v>12.8</v>
      </c>
      <c r="H1466">
        <v>200</v>
      </c>
      <c r="I1466" t="inlineStr">
        <is>
          <t>手机壳</t>
        </is>
      </c>
      <c r="J1466" t="inlineStr">
        <is>
          <t>0.01</t>
        </is>
      </c>
      <c r="K1466" t="inlineStr">
        <is>
          <t>🔥低粉爆款</t>
        </is>
      </c>
      <c r="L1466" t="inlineStr">
        <is>
          <t>壳持续的店</t>
        </is>
      </c>
      <c r="M1466">
        <v>5371</v>
      </c>
      <c r="N1466">
        <v>4.43</v>
      </c>
      <c r="O1466">
        <v>99000</v>
      </c>
      <c r="P1466" t="inlineStr">
        <is>
          <t>682b2c36f20b4000010afff1</t>
        </is>
      </c>
      <c r="Q1466" t="inlineStr">
        <is>
          <t>🚫重复</t>
        </is>
      </c>
      <c r="R1466" t="inlineStr">
        <is>
          <t>14周</t>
        </is>
      </c>
      <c r="S1466" t="inlineStr">
        <is>
          <t>5.21</t>
        </is>
      </c>
      <c r="T1466" t="inlineStr">
        <is>
          <t>数码家电</t>
        </is>
      </c>
      <c r="U1466" t="inlineStr">
        <is>
          <t>数码配件</t>
        </is>
      </c>
      <c r="V1466" s="3">
        <v>46112.78107638889</v>
      </c>
      <c r="W1466" t="inlineStr">
        <is>
          <t>2026-Q1</t>
        </is>
      </c>
    </row>
    <row r="1467" ht="25.5" customHeight="1">
      <c r="A1467" t="inlineStr">
        <is>
          <t>F1车手周边磁吸手机支架</t>
        </is>
      </c>
      <c r="B1467" t="inlineStr">
        <is>
          <t>recve60dL6vHhe.jpg</t>
        </is>
      </c>
      <c r="C1467" s="2" t="str">
        <f>=HYPERLINK("https://xhslink.com/m/o0zJiWO7fk", "https://xhslink.com/m/o0zJiWO7fk")</f>
        <v>https://xhslink.com/m/o0zJiWO7fk</v>
      </c>
      <c r="D1467"/>
      <c r="E1467">
        <v>1753</v>
      </c>
      <c r="F1467">
        <v>20</v>
      </c>
      <c r="G1467">
        <v>18</v>
      </c>
      <c r="H1467">
        <v>200</v>
      </c>
      <c r="I1467" t="inlineStr">
        <is>
          <t>手机支架</t>
        </is>
      </c>
      <c r="J1467" t="inlineStr">
        <is>
          <t>0.11</t>
        </is>
      </c>
      <c r="K1467"/>
      <c r="L1467" t="inlineStr">
        <is>
          <t>F1 Paddock Shop的店</t>
        </is>
      </c>
      <c r="M1467">
        <v>883</v>
      </c>
      <c r="N1467">
        <v>4.66</v>
      </c>
      <c r="O1467">
        <v>4125</v>
      </c>
      <c r="P1467" t="inlineStr">
        <is>
          <t>695bffa9bd92f50001dbee86</t>
        </is>
      </c>
      <c r="Q1467"/>
      <c r="R1467" t="inlineStr">
        <is>
          <t>14周</t>
        </is>
      </c>
      <c r="S1467" t="inlineStr">
        <is>
          <t>1.99</t>
        </is>
      </c>
      <c r="T1467" t="inlineStr">
        <is>
          <t>数码家电</t>
        </is>
      </c>
      <c r="U1467" t="inlineStr">
        <is>
          <t>数码配件</t>
        </is>
      </c>
      <c r="V1467" s="3">
        <v>46112.78107638889</v>
      </c>
      <c r="W1467" t="inlineStr">
        <is>
          <t>2026-Q1</t>
        </is>
      </c>
    </row>
    <row r="1468" ht="25.5" customHeight="1">
      <c r="A1468" t="inlineStr">
        <is>
          <t>【限时特价】升级版铝合金演唱会便携手机支架旅行小型支架</t>
        </is>
      </c>
      <c r="B1468" t="inlineStr">
        <is>
          <t>recve60dL6tlCG.jpg</t>
        </is>
      </c>
      <c r="C1468" s="2" t="str">
        <f>=HYPERLINK("https://xhslink.com/m/4fyDnnOF49U", "https://xhslink.com/m/4fyDnnOF49U")</f>
        <v>https://xhslink.com/m/4fyDnnOF49U</v>
      </c>
      <c r="D1468"/>
      <c r="E1468">
        <v>5084</v>
      </c>
      <c r="F1468">
        <v>31.9</v>
      </c>
      <c r="G1468">
        <v>17.9</v>
      </c>
      <c r="H1468">
        <v>200</v>
      </c>
      <c r="I1468" t="inlineStr">
        <is>
          <t>手机支架</t>
        </is>
      </c>
      <c r="J1468" t="inlineStr">
        <is>
          <t>0.04</t>
        </is>
      </c>
      <c r="K1468" t="inlineStr">
        <is>
          <t>🔥低粉爆款</t>
        </is>
      </c>
      <c r="L1468" t="inlineStr">
        <is>
          <t>认真的小维c的店</t>
        </is>
      </c>
      <c r="M1468">
        <v>145</v>
      </c>
      <c r="N1468">
        <v>4.71</v>
      </c>
      <c r="O1468">
        <v>5322</v>
      </c>
      <c r="P1468" t="inlineStr">
        <is>
          <t>69300cc7a2a4380015df3670</t>
        </is>
      </c>
      <c r="Q1468"/>
      <c r="R1468" t="inlineStr">
        <is>
          <t>14周</t>
        </is>
      </c>
      <c r="S1468" t="inlineStr">
        <is>
          <t>35.06</t>
        </is>
      </c>
      <c r="T1468" t="inlineStr">
        <is>
          <t>数码家电</t>
        </is>
      </c>
      <c r="U1468" t="inlineStr">
        <is>
          <t>数码配件</t>
        </is>
      </c>
      <c r="V1468" s="3">
        <v>46112.78107638889</v>
      </c>
      <c r="W1468" t="inlineStr">
        <is>
          <t>2026-Q1</t>
        </is>
      </c>
    </row>
    <row r="1469" ht="25.5" customHeight="1">
      <c r="A1469" t="inlineStr">
        <is>
          <t>磁吸挂脖手机支架第一人称视角拍摄设备运动相机骑行直播</t>
        </is>
      </c>
      <c r="B1469" t="inlineStr">
        <is>
          <t>recve60dL6vgga.jpg</t>
        </is>
      </c>
      <c r="C1469" s="2" t="str">
        <f>=HYPERLINK("https://xhslink.com/m/74IYXxzdOL2", "https://xhslink.com/m/74IYXxzdOL2")</f>
        <v>https://xhslink.com/m/74IYXxzdOL2</v>
      </c>
      <c r="D1469"/>
      <c r="E1469">
        <v>5004</v>
      </c>
      <c r="F1469">
        <v>128</v>
      </c>
      <c r="G1469">
        <v>102</v>
      </c>
      <c r="H1469">
        <v>200</v>
      </c>
      <c r="I1469" t="inlineStr">
        <is>
          <t>手机支架</t>
        </is>
      </c>
      <c r="J1469" t="inlineStr">
        <is>
          <t>0.04</t>
        </is>
      </c>
      <c r="K1469" t="inlineStr">
        <is>
          <t>🔥低粉爆款</t>
        </is>
      </c>
      <c r="L1469" t="inlineStr">
        <is>
          <t>Fleursvlog的店</t>
        </is>
      </c>
      <c r="M1469">
        <v>456</v>
      </c>
      <c r="N1469">
        <v>4.59</v>
      </c>
      <c r="O1469">
        <v>6844</v>
      </c>
      <c r="P1469" t="inlineStr">
        <is>
          <t>690c663a84cf4200019b7d34</t>
        </is>
      </c>
      <c r="Q1469" t="inlineStr">
        <is>
          <t>🚫重复</t>
        </is>
      </c>
      <c r="R1469" t="inlineStr">
        <is>
          <t>14周</t>
        </is>
      </c>
      <c r="S1469" t="inlineStr">
        <is>
          <t>10.97</t>
        </is>
      </c>
      <c r="T1469" t="inlineStr">
        <is>
          <t>数码家电</t>
        </is>
      </c>
      <c r="U1469" t="inlineStr">
        <is>
          <t>数码配件</t>
        </is>
      </c>
      <c r="V1469" s="3">
        <v>46112.78107638889</v>
      </c>
      <c r="W1469" t="inlineStr">
        <is>
          <t>2026-Q1</t>
        </is>
      </c>
    </row>
    <row r="1470" ht="25.5" customHeight="1">
      <c r="A1470" t="inlineStr">
        <is>
          <t>倾曼雅 · 美式春夏慵懒风垂感裤 针织休闲裤 宽松直筒显瘦拖地裤</t>
        </is>
      </c>
      <c r="B1470" t="inlineStr">
        <is>
          <t>recveckoIENWif.jpg</t>
        </is>
      </c>
      <c r="C1470" s="2" t="str">
        <f>=HYPERLINK("https://xhslink.com/m/3VMEE7KGqMe", "https://xhslink.com/m/3VMEE7KGqMe")</f>
        <v>https://xhslink.com/m/3VMEE7KGqMe</v>
      </c>
      <c r="D1470"/>
      <c r="E1470">
        <v>371000</v>
      </c>
      <c r="F1470">
        <v>79.9</v>
      </c>
      <c r="G1470"/>
      <c r="H1470">
        <v>200</v>
      </c>
      <c r="I1470" t="inlineStr">
        <is>
          <t>女裤</t>
        </is>
      </c>
      <c r="J1470" t="inlineStr">
        <is>
          <t>0.00</t>
        </is>
      </c>
      <c r="K1470"/>
      <c r="L1470" t="inlineStr">
        <is>
          <t>小鹅学姐穿搭的店的店</t>
        </is>
      </c>
      <c r="M1470">
        <v>229000</v>
      </c>
      <c r="N1470">
        <v>4.38</v>
      </c>
      <c r="O1470">
        <v>1478000</v>
      </c>
      <c r="P1470" t="inlineStr">
        <is>
          <t>66fe434775e23c00013eec82</t>
        </is>
      </c>
      <c r="Q1470" t="inlineStr">
        <is>
          <t>🚫重复</t>
        </is>
      </c>
      <c r="R1470" t="inlineStr">
        <is>
          <t>14周</t>
        </is>
      </c>
      <c r="S1470" t="inlineStr">
        <is>
          <t>1.62</t>
        </is>
      </c>
      <c r="T1470" t="inlineStr">
        <is>
          <t>服饰穿搭</t>
        </is>
      </c>
      <c r="U1470" t="inlineStr">
        <is>
          <t>女装</t>
        </is>
      </c>
      <c r="V1470" s="3">
        <v>46112.78107638889</v>
      </c>
      <c r="W1470" t="inlineStr">
        <is>
          <t>2026-Q1</t>
        </is>
      </c>
    </row>
    <row r="1471" ht="25.5" customHeight="1">
      <c r="A1471" t="inlineStr">
        <is>
          <t>金煌芒当季新鲜水果果肉饱满好剥皮不涩口现摘农家自种产地直发</t>
        </is>
      </c>
      <c r="B1471" t="inlineStr">
        <is>
          <t>recveckoIE7LVX.jpg</t>
        </is>
      </c>
      <c r="C1471" s="2" t="str">
        <f>=HYPERLINK("https://xhslink.com/m/7ZeBqWA4KrI", "https://xhslink.com/m/7ZeBqWA4KrI")</f>
        <v>https://xhslink.com/m/7ZeBqWA4KrI</v>
      </c>
      <c r="D1471"/>
      <c r="E1471">
        <v>12000</v>
      </c>
      <c r="F1471">
        <v>20.6</v>
      </c>
      <c r="G1471">
        <v>8.6</v>
      </c>
      <c r="H1471">
        <v>200</v>
      </c>
      <c r="I1471" t="inlineStr">
        <is>
          <t>水果</t>
        </is>
      </c>
      <c r="J1471" t="inlineStr">
        <is>
          <t>0.02</t>
        </is>
      </c>
      <c r="K1471" t="inlineStr">
        <is>
          <t>🔥低粉爆款</t>
        </is>
      </c>
      <c r="L1471" t="inlineStr">
        <is>
          <t>芒芒酱的店</t>
        </is>
      </c>
      <c r="M1471">
        <v>110</v>
      </c>
      <c r="N1471">
        <v>4.63</v>
      </c>
      <c r="O1471">
        <v>3768</v>
      </c>
      <c r="P1471" t="inlineStr">
        <is>
          <t>699fb8916b5a83000150c365</t>
        </is>
      </c>
      <c r="Q1471" t="inlineStr">
        <is>
          <t>🚫重复</t>
        </is>
      </c>
      <c r="R1471" t="inlineStr">
        <is>
          <t>14周</t>
        </is>
      </c>
      <c r="S1471" t="inlineStr">
        <is>
          <t>109.09</t>
        </is>
      </c>
      <c r="T1471" t="inlineStr">
        <is>
          <t>美食滋补</t>
        </is>
      </c>
      <c r="U1471" t="inlineStr">
        <is>
          <t>生鲜特产</t>
        </is>
      </c>
      <c r="V1471" s="3">
        <v>46112.78107638889</v>
      </c>
      <c r="W1471" t="inlineStr">
        <is>
          <t>2026-Q1</t>
        </is>
      </c>
    </row>
    <row r="1472" ht="25.5" customHeight="1">
      <c r="A1472" t="inlineStr">
        <is>
          <t>中国生灵动物追踪手链•国风礼物</t>
        </is>
      </c>
      <c r="B1472" t="inlineStr">
        <is>
          <t>recveckoIECKFR.jpg</t>
        </is>
      </c>
      <c r="C1472" s="2" t="str">
        <f>=HYPERLINK("https://xhslink.com/m/5oReyxDljdn", "https://xhslink.com/m/5oReyxDljdn")</f>
        <v>https://xhslink.com/m/5oReyxDljdn</v>
      </c>
      <c r="D1472"/>
      <c r="E1472">
        <v>49000</v>
      </c>
      <c r="F1472">
        <v>159</v>
      </c>
      <c r="G1472"/>
      <c r="H1472">
        <v>200</v>
      </c>
      <c r="I1472" t="inlineStr">
        <is>
          <t>配饰</t>
        </is>
      </c>
      <c r="J1472" t="inlineStr">
        <is>
          <t>0.00</t>
        </is>
      </c>
      <c r="K1472"/>
      <c r="L1472" t="inlineStr">
        <is>
          <t>中国生灵动物追踪的店</t>
        </is>
      </c>
      <c r="M1472">
        <v>160000</v>
      </c>
      <c r="N1472">
        <v>4.66</v>
      </c>
      <c r="O1472">
        <v>55000</v>
      </c>
      <c r="P1472" t="inlineStr">
        <is>
          <t>6613fdffeb324400016b2eda</t>
        </is>
      </c>
      <c r="Q1472" t="inlineStr">
        <is>
          <t>🚫重复</t>
        </is>
      </c>
      <c r="R1472" t="inlineStr">
        <is>
          <t>14周</t>
        </is>
      </c>
      <c r="S1472" t="inlineStr">
        <is>
          <t>0.31</t>
        </is>
      </c>
      <c r="T1472" t="inlineStr">
        <is>
          <t>服饰穿搭</t>
        </is>
      </c>
      <c r="U1472" t="inlineStr">
        <is>
          <t>配饰</t>
        </is>
      </c>
      <c r="V1472" s="3">
        <v>46112.78107638889</v>
      </c>
      <c r="W1472" t="inlineStr">
        <is>
          <t>2026-Q1</t>
        </is>
      </c>
    </row>
    <row r="1473" ht="25.5" customHeight="1">
      <c r="A1473" t="inlineStr">
        <is>
          <t>运动短袖T恤女瑜伽服跑步健身t修身显瘦2026四季可穿普拉提上衣女</t>
        </is>
      </c>
      <c r="B1473" t="inlineStr">
        <is>
          <t>recved8o2DhkaV.jpg</t>
        </is>
      </c>
      <c r="C1473" s="2" t="str">
        <f>=HYPERLINK("https://xhslink.com/m/36tbWQXFLym", "https://xhslink.com/m/36tbWQXFLym")</f>
        <v>https://xhslink.com/m/36tbWQXFLym</v>
      </c>
      <c r="D1473"/>
      <c r="E1473">
        <v>10000</v>
      </c>
      <c r="F1473">
        <v>33.5</v>
      </c>
      <c r="G1473">
        <v>26.8</v>
      </c>
      <c r="H1473">
        <v>200</v>
      </c>
      <c r="I1473" t="inlineStr">
        <is>
          <t>T恤</t>
        </is>
      </c>
      <c r="J1473" t="inlineStr">
        <is>
          <t>0.02</t>
        </is>
      </c>
      <c r="K1473"/>
      <c r="L1473" t="inlineStr">
        <is>
          <t>云感Yoga瑜伽的店</t>
        </is>
      </c>
      <c r="M1473">
        <v>24000</v>
      </c>
      <c r="N1473">
        <v>4.61</v>
      </c>
      <c r="O1473">
        <v>285000</v>
      </c>
      <c r="P1473" t="inlineStr">
        <is>
          <t>67fee8f481dea70001cb90e8</t>
        </is>
      </c>
      <c r="Q1473" t="inlineStr">
        <is>
          <t>🚫重复</t>
        </is>
      </c>
      <c r="R1473" t="inlineStr">
        <is>
          <t>14周</t>
        </is>
      </c>
      <c r="S1473" t="inlineStr">
        <is>
          <t>0.42</t>
        </is>
      </c>
      <c r="T1473" t="inlineStr">
        <is>
          <t>运动潮玩</t>
        </is>
      </c>
      <c r="U1473" t="inlineStr">
        <is>
          <t>运动户外装备</t>
        </is>
      </c>
      <c r="V1473" s="3">
        <v>46112.78107638889</v>
      </c>
      <c r="W1473" t="inlineStr">
        <is>
          <t>2026-Q1</t>
        </is>
      </c>
    </row>
    <row r="1474" ht="25.5" customHeight="1">
      <c r="A1474" t="inlineStr">
        <is>
          <t>基础款圆领正肩短袖t恤纯棉打底体恤显瘦修身气质大码上衣女</t>
        </is>
      </c>
      <c r="B1474" t="inlineStr">
        <is>
          <t>recved8o2D6Y3X.jpg</t>
        </is>
      </c>
      <c r="C1474" s="2" t="str">
        <f>=HYPERLINK("https://xhslink.com/m/986oTCQp5Ms", "https://xhslink.com/m/986oTCQp5Ms")</f>
        <v>https://xhslink.com/m/986oTCQp5Ms</v>
      </c>
      <c r="D1474"/>
      <c r="E1474">
        <v>116000</v>
      </c>
      <c r="F1474">
        <v>69</v>
      </c>
      <c r="G1474"/>
      <c r="H1474">
        <v>200</v>
      </c>
      <c r="I1474" t="inlineStr">
        <is>
          <t>T恤</t>
        </is>
      </c>
      <c r="J1474" t="inlineStr">
        <is>
          <t>0.00</t>
        </is>
      </c>
      <c r="K1474"/>
      <c r="L1474" t="inlineStr">
        <is>
          <t>夕文的店</t>
        </is>
      </c>
      <c r="M1474">
        <v>55000</v>
      </c>
      <c r="N1474">
        <v>4.61</v>
      </c>
      <c r="O1474">
        <v>264000</v>
      </c>
      <c r="P1474" t="inlineStr">
        <is>
          <t>65f31b855563ee000117cc15</t>
        </is>
      </c>
      <c r="Q1474" t="inlineStr">
        <is>
          <t>🚫重复</t>
        </is>
      </c>
      <c r="R1474" t="inlineStr">
        <is>
          <t>14周</t>
        </is>
      </c>
      <c r="S1474" t="inlineStr">
        <is>
          <t>2.11</t>
        </is>
      </c>
      <c r="T1474" t="inlineStr">
        <is>
          <t>服饰穿搭</t>
        </is>
      </c>
      <c r="U1474" t="inlineStr">
        <is>
          <t>女装</t>
        </is>
      </c>
      <c r="V1474" s="3">
        <v>46112.78107638889</v>
      </c>
      <c r="W1474" t="inlineStr">
        <is>
          <t>2026-Q1</t>
        </is>
      </c>
    </row>
    <row r="1475" ht="25.5" customHeight="1">
      <c r="A1475" t="inlineStr">
        <is>
          <t>李琴琴Lily·棉质U领正肩掐腰修身显瘦短袖T</t>
        </is>
      </c>
      <c r="B1475" t="inlineStr">
        <is>
          <t>recved8o2D4UJ0.jpg</t>
        </is>
      </c>
      <c r="C1475" s="2" t="str">
        <f>=HYPERLINK("https://xhslink.com/m/7uEZf8rZkfh", "https://xhslink.com/m/7uEZf8rZkfh")</f>
        <v>https://xhslink.com/m/7uEZf8rZkfh</v>
      </c>
      <c r="D1475"/>
      <c r="E1475">
        <v>41000</v>
      </c>
      <c r="F1475">
        <v>109</v>
      </c>
      <c r="G1475">
        <v>69</v>
      </c>
      <c r="H1475">
        <v>200</v>
      </c>
      <c r="I1475" t="inlineStr">
        <is>
          <t>T恤</t>
        </is>
      </c>
      <c r="J1475" t="inlineStr">
        <is>
          <t>0.00</t>
        </is>
      </c>
      <c r="K1475"/>
      <c r="L1475" t="inlineStr">
        <is>
          <t>李琴琴Lily的店</t>
        </is>
      </c>
      <c r="M1475">
        <v>36000</v>
      </c>
      <c r="N1475">
        <v>4.67</v>
      </c>
      <c r="O1475">
        <v>376000</v>
      </c>
      <c r="P1475" t="inlineStr">
        <is>
          <t>67b597679759260001b213df</t>
        </is>
      </c>
      <c r="Q1475" t="inlineStr">
        <is>
          <t>🚫重复</t>
        </is>
      </c>
      <c r="R1475" t="inlineStr">
        <is>
          <t>14周</t>
        </is>
      </c>
      <c r="S1475" t="inlineStr">
        <is>
          <t>1.14</t>
        </is>
      </c>
      <c r="T1475" t="inlineStr">
        <is>
          <t>服饰穿搭</t>
        </is>
      </c>
      <c r="U1475" t="inlineStr">
        <is>
          <t>女装</t>
        </is>
      </c>
      <c r="V1475" s="3">
        <v>46112.78107638889</v>
      </c>
      <c r="W1475" t="inlineStr">
        <is>
          <t>2026-Q1</t>
        </is>
      </c>
    </row>
    <row r="1476" ht="25.5" customHeight="1">
      <c r="A1476" t="inlineStr">
        <is>
          <t>100%新疆长绒纯棉夏季冰凉感高支液氨抗皱丝光双面大牌简约U领T恤</t>
        </is>
      </c>
      <c r="B1476" t="inlineStr">
        <is>
          <t>recved8o2DKK7H.jpg</t>
        </is>
      </c>
      <c r="C1476" s="2" t="str">
        <f>=HYPERLINK("https://xhslink.com/m/4YD69TOxdaL", "https://xhslink.com/m/4YD69TOxdaL")</f>
        <v>https://xhslink.com/m/4YD69TOxdaL</v>
      </c>
      <c r="D1476"/>
      <c r="E1476">
        <v>7957</v>
      </c>
      <c r="F1476">
        <v>178</v>
      </c>
      <c r="G1476">
        <v>89</v>
      </c>
      <c r="H1476">
        <v>200</v>
      </c>
      <c r="I1476" t="inlineStr">
        <is>
          <t>T恤</t>
        </is>
      </c>
      <c r="J1476" t="inlineStr">
        <is>
          <t>0.03</t>
        </is>
      </c>
      <c r="K1476"/>
      <c r="L1476" t="inlineStr">
        <is>
          <t>一只只是我的店</t>
        </is>
      </c>
      <c r="M1476">
        <v>17000</v>
      </c>
      <c r="N1476">
        <v>4.71</v>
      </c>
      <c r="O1476">
        <v>108000</v>
      </c>
      <c r="P1476" t="inlineStr">
        <is>
          <t>680901f113746700010daa20</t>
        </is>
      </c>
      <c r="Q1476" t="inlineStr">
        <is>
          <t>🚫重复</t>
        </is>
      </c>
      <c r="R1476" t="inlineStr">
        <is>
          <t>14周</t>
        </is>
      </c>
      <c r="S1476" t="inlineStr">
        <is>
          <t>0.47</t>
        </is>
      </c>
      <c r="T1476" t="inlineStr">
        <is>
          <t>服饰穿搭</t>
        </is>
      </c>
      <c r="U1476" t="inlineStr">
        <is>
          <t>女装</t>
        </is>
      </c>
      <c r="V1476" s="3">
        <v>46112.78107638889</v>
      </c>
      <c r="W1476" t="inlineStr">
        <is>
          <t>2026-Q1</t>
        </is>
      </c>
    </row>
    <row r="1477" ht="25.5" customHeight="1">
      <c r="A1477" t="inlineStr">
        <is>
          <t>【一字肩】辣妹上衣一字肩收腰T恤百搭显瘦针织巨显腰臀比</t>
        </is>
      </c>
      <c r="B1477" t="inlineStr">
        <is>
          <t>recved8o2D8FwM.jpg</t>
        </is>
      </c>
      <c r="C1477" s="2" t="str">
        <f>=HYPERLINK("https://xhslink.com/m/KFivkZbe7e", "https://xhslink.com/m/KFivkZbe7e")</f>
        <v>https://xhslink.com/m/KFivkZbe7e</v>
      </c>
      <c r="D1477"/>
      <c r="E1477">
        <v>1974</v>
      </c>
      <c r="F1477">
        <v>49.9</v>
      </c>
      <c r="G1477"/>
      <c r="H1477">
        <v>200</v>
      </c>
      <c r="I1477" t="inlineStr">
        <is>
          <t>T恤</t>
        </is>
      </c>
      <c r="J1477" t="inlineStr">
        <is>
          <t>0.10</t>
        </is>
      </c>
      <c r="K1477"/>
      <c r="L1477" t="inlineStr">
        <is>
          <t>ZHUTT的店</t>
        </is>
      </c>
      <c r="M1477">
        <v>30000</v>
      </c>
      <c r="N1477">
        <v>4.48</v>
      </c>
      <c r="O1477">
        <v>189000</v>
      </c>
      <c r="P1477" t="inlineStr">
        <is>
          <t>67a80736f4fe14000177bb5a</t>
        </is>
      </c>
      <c r="Q1477" t="inlineStr">
        <is>
          <t>🚫重复</t>
        </is>
      </c>
      <c r="R1477" t="inlineStr">
        <is>
          <t>14周</t>
        </is>
      </c>
      <c r="S1477" t="inlineStr">
        <is>
          <t>0.07</t>
        </is>
      </c>
      <c r="T1477" t="inlineStr">
        <is>
          <t>服饰穿搭</t>
        </is>
      </c>
      <c r="U1477" t="inlineStr">
        <is>
          <t>女装</t>
        </is>
      </c>
      <c r="V1477" s="3">
        <v>46112.78107638889</v>
      </c>
      <c r="W1477" t="inlineStr">
        <is>
          <t>2026-Q1</t>
        </is>
      </c>
    </row>
    <row r="1478" ht="25.5" customHeight="1">
      <c r="A1478" t="inlineStr">
        <is>
          <t>加长款！云朵感！正肩短袖显瘦大领口百搭纯色T恤</t>
        </is>
      </c>
      <c r="B1478" t="inlineStr">
        <is>
          <t>recved8o2Da761.jpg</t>
        </is>
      </c>
      <c r="C1478" s="2" t="str">
        <f>=HYPERLINK("https://xhslink.com/m/6Rr6zsNBDd8", "https://xhslink.com/m/6Rr6zsNBDd8")</f>
        <v>https://xhslink.com/m/6Rr6zsNBDd8</v>
      </c>
      <c r="D1478"/>
      <c r="E1478">
        <v>2711</v>
      </c>
      <c r="F1478">
        <v>43.8</v>
      </c>
      <c r="G1478"/>
      <c r="H1478">
        <v>200</v>
      </c>
      <c r="I1478" t="inlineStr">
        <is>
          <t>T恤</t>
        </is>
      </c>
      <c r="J1478" t="inlineStr">
        <is>
          <t>0.07</t>
        </is>
      </c>
      <c r="K1478"/>
      <c r="L1478" t="inlineStr">
        <is>
          <t>ootxjsh的店</t>
        </is>
      </c>
      <c r="M1478">
        <v>7675</v>
      </c>
      <c r="N1478">
        <v>4.55</v>
      </c>
      <c r="O1478">
        <v>42000</v>
      </c>
      <c r="P1478" t="inlineStr">
        <is>
          <t>680b965db5ecfc0001718166</t>
        </is>
      </c>
      <c r="Q1478" t="inlineStr">
        <is>
          <t>🚫重复</t>
        </is>
      </c>
      <c r="R1478" t="inlineStr">
        <is>
          <t>14周</t>
        </is>
      </c>
      <c r="S1478" t="inlineStr">
        <is>
          <t>0.35</t>
        </is>
      </c>
      <c r="T1478" t="inlineStr">
        <is>
          <t>服饰穿搭</t>
        </is>
      </c>
      <c r="U1478" t="inlineStr">
        <is>
          <t>女装</t>
        </is>
      </c>
      <c r="V1478" s="3">
        <v>46112.78107638889</v>
      </c>
      <c r="W1478" t="inlineStr">
        <is>
          <t>2026-Q1</t>
        </is>
      </c>
    </row>
    <row r="1479" ht="25.5" customHeight="1">
      <c r="A1479" t="inlineStr">
        <is>
          <t>猫meme硬拉全民健身起猛了在做卧推波点印花男女短袖宽松凉感T恤</t>
        </is>
      </c>
      <c r="B1479" t="inlineStr">
        <is>
          <t>recved8o2DJ3yb.jpg</t>
        </is>
      </c>
      <c r="C1479" s="2" t="str">
        <f>=HYPERLINK("https://xhslink.com/m/3DmHsesAhQU", "https://xhslink.com/m/3DmHsesAhQU")</f>
        <v>https://xhslink.com/m/3DmHsesAhQU</v>
      </c>
      <c r="D1479"/>
      <c r="E1479">
        <v>942</v>
      </c>
      <c r="F1479">
        <v>99</v>
      </c>
      <c r="G1479">
        <v>69</v>
      </c>
      <c r="H1479">
        <v>200</v>
      </c>
      <c r="I1479" t="inlineStr">
        <is>
          <t>T恤</t>
        </is>
      </c>
      <c r="J1479" t="inlineStr">
        <is>
          <t>0.21</t>
        </is>
      </c>
      <c r="K1479"/>
      <c r="L1479" t="inlineStr">
        <is>
          <t>CreaWear线上店的店</t>
        </is>
      </c>
      <c r="M1479">
        <v>2211</v>
      </c>
      <c r="N1479">
        <v>4.65</v>
      </c>
      <c r="O1479">
        <v>9301</v>
      </c>
      <c r="P1479" t="inlineStr">
        <is>
          <t>688f4cacb1b9df00015205ce</t>
        </is>
      </c>
      <c r="Q1479" t="inlineStr">
        <is>
          <t>🚫重复</t>
        </is>
      </c>
      <c r="R1479" t="inlineStr">
        <is>
          <t>14周</t>
        </is>
      </c>
      <c r="S1479" t="inlineStr">
        <is>
          <t>0.43</t>
        </is>
      </c>
      <c r="T1479" t="inlineStr">
        <is>
          <t>服饰穿搭</t>
        </is>
      </c>
      <c r="U1479" t="inlineStr">
        <is>
          <t>女装</t>
        </is>
      </c>
      <c r="V1479" s="3">
        <v>46112.78107638889</v>
      </c>
      <c r="W1479" t="inlineStr">
        <is>
          <t>2026-Q1</t>
        </is>
      </c>
    </row>
    <row r="1480" ht="25.5" customHeight="1">
      <c r="A1480" t="inlineStr">
        <is>
          <t>她奢 · 高品质 天丝亚麻混纺 14支 环保进K染料春夏凉感亲肤长袖/短袖T恤</t>
        </is>
      </c>
      <c r="B1480" t="inlineStr">
        <is>
          <t>recved8o2DjndT.jpg</t>
        </is>
      </c>
      <c r="C1480" s="2" t="str">
        <f>=HYPERLINK("https://xhslink.com/m/118rsiUMcB", "https://xhslink.com/m/118rsiUMcB")</f>
        <v>https://xhslink.com/m/118rsiUMcB</v>
      </c>
      <c r="D1480"/>
      <c r="E1480">
        <v>818</v>
      </c>
      <c r="F1480">
        <v>95</v>
      </c>
      <c r="G1480">
        <v>79.99</v>
      </c>
      <c r="H1480">
        <v>200</v>
      </c>
      <c r="I1480" t="inlineStr">
        <is>
          <t>T恤</t>
        </is>
      </c>
      <c r="J1480" t="inlineStr">
        <is>
          <t>0.24</t>
        </is>
      </c>
      <c r="K1480"/>
      <c r="L1480" t="inlineStr">
        <is>
          <t>她奢的店</t>
        </is>
      </c>
      <c r="M1480">
        <v>528000</v>
      </c>
      <c r="N1480">
        <v>4.52</v>
      </c>
      <c r="O1480">
        <v>4305000</v>
      </c>
      <c r="P1480" t="inlineStr">
        <is>
          <t>69ae3526f1fe0f001576ba99</t>
        </is>
      </c>
      <c r="Q1480" t="inlineStr">
        <is>
          <t>🚫重复</t>
        </is>
      </c>
      <c r="R1480" t="inlineStr">
        <is>
          <t>14周</t>
        </is>
      </c>
      <c r="S1480" t="inlineStr">
        <is>
          <t>0.00</t>
        </is>
      </c>
      <c r="T1480" t="inlineStr">
        <is>
          <t>服饰穿搭</t>
        </is>
      </c>
      <c r="U1480" t="inlineStr">
        <is>
          <t>女装</t>
        </is>
      </c>
      <c r="V1480" s="3">
        <v>46112.78107638889</v>
      </c>
      <c r="W1480" t="inlineStr">
        <is>
          <t>2026-Q1</t>
        </is>
      </c>
    </row>
    <row r="1481" ht="25.5" customHeight="1">
      <c r="A1481" t="inlineStr">
        <is>
          <t>【多巴胺】晨总自制夏季外穿修身显瘦短款百搭纯色美背背心女</t>
        </is>
      </c>
      <c r="B1481" t="inlineStr">
        <is>
          <t>recved8o2D4eQn.jpg</t>
        </is>
      </c>
      <c r="C1481" s="2" t="str">
        <f>=HYPERLINK("https://xhslink.com/m/Awc4nkSl7cu", "https://xhslink.com/m/Awc4nkSl7cu")</f>
        <v>https://xhslink.com/m/Awc4nkSl7cu</v>
      </c>
      <c r="D1481"/>
      <c r="E1481">
        <v>42000</v>
      </c>
      <c r="F1481">
        <v>49</v>
      </c>
      <c r="G1481">
        <v>44</v>
      </c>
      <c r="H1481">
        <v>200</v>
      </c>
      <c r="I1481" t="inlineStr">
        <is>
          <t>吊带内搭</t>
        </is>
      </c>
      <c r="J1481" t="inlineStr">
        <is>
          <t>0.00</t>
        </is>
      </c>
      <c r="K1481"/>
      <c r="L1481" t="inlineStr">
        <is>
          <t>晨总家的店</t>
        </is>
      </c>
      <c r="M1481">
        <v>33000</v>
      </c>
      <c r="N1481">
        <v>4.59</v>
      </c>
      <c r="O1481">
        <v>128000</v>
      </c>
      <c r="P1481" t="inlineStr">
        <is>
          <t>681d71d5927b0e0001ffa17f</t>
        </is>
      </c>
      <c r="Q1481" t="inlineStr">
        <is>
          <t>🚫重复</t>
        </is>
      </c>
      <c r="R1481" t="inlineStr">
        <is>
          <t>14周</t>
        </is>
      </c>
      <c r="S1481" t="inlineStr">
        <is>
          <t>1.27</t>
        </is>
      </c>
      <c r="T1481" t="inlineStr">
        <is>
          <t>服饰穿搭</t>
        </is>
      </c>
      <c r="U1481" t="inlineStr">
        <is>
          <t>女装</t>
        </is>
      </c>
      <c r="V1481" s="3">
        <v>46112.78107638889</v>
      </c>
      <c r="W1481" t="inlineStr">
        <is>
          <t>2026-Q1</t>
        </is>
      </c>
    </row>
    <row r="1482" ht="25.5" customHeight="1">
      <c r="A1482" t="inlineStr">
        <is>
          <t>【顺丰空运】攀枝花 花香蓝莓25号浆果之王又脆又甜</t>
        </is>
      </c>
      <c r="B1482" t="inlineStr">
        <is>
          <t>recvei9USZGg6b.jpg</t>
        </is>
      </c>
      <c r="C1482" s="2" t="str">
        <f>=HYPERLINK("https://xhslink.com/m/5r4tYih9Z7W", "https://xhslink.com/m/5r4tYih9Z7W")</f>
        <v>https://xhslink.com/m/5r4tYih9Z7W</v>
      </c>
      <c r="D1482"/>
      <c r="E1482">
        <v>96000</v>
      </c>
      <c r="F1482">
        <v>138.9</v>
      </c>
      <c r="G1482">
        <v>128.9</v>
      </c>
      <c r="H1482">
        <v>200</v>
      </c>
      <c r="I1482" t="inlineStr">
        <is>
          <t>水果</t>
        </is>
      </c>
      <c r="J1482" t="inlineStr">
        <is>
          <t>0.00</t>
        </is>
      </c>
      <c r="K1482"/>
      <c r="L1482" t="inlineStr">
        <is>
          <t>李丹丹DDD的店</t>
        </is>
      </c>
      <c r="M1482">
        <v>76000</v>
      </c>
      <c r="N1482">
        <v>4.49</v>
      </c>
      <c r="O1482">
        <v>953000</v>
      </c>
      <c r="P1482" t="inlineStr">
        <is>
          <t>6901c161c8f8b80001cf2edd</t>
        </is>
      </c>
      <c r="Q1482" t="inlineStr">
        <is>
          <t>🚫重复</t>
        </is>
      </c>
      <c r="R1482" t="inlineStr">
        <is>
          <t>14周</t>
        </is>
      </c>
      <c r="S1482" t="inlineStr">
        <is>
          <t>1.26</t>
        </is>
      </c>
      <c r="T1482" t="inlineStr">
        <is>
          <t>美食滋补</t>
        </is>
      </c>
      <c r="U1482" t="inlineStr">
        <is>
          <t>生鲜特产</t>
        </is>
      </c>
      <c r="V1482" s="3">
        <v>46112.78107638889</v>
      </c>
      <c r="W1482" t="inlineStr">
        <is>
          <t>2026-Q1</t>
        </is>
      </c>
    </row>
    <row r="1483" ht="25.5" customHeight="1">
      <c r="A1483" t="inlineStr">
        <is>
          <t>酸嘢脆甜大青芒送辣椒面酸梅粉脆爽口芒果花学生开胃吃货</t>
        </is>
      </c>
      <c r="B1483" t="inlineStr">
        <is>
          <t>recvei9USZ99pc.jpg</t>
        </is>
      </c>
      <c r="C1483" s="2" t="str">
        <f>=HYPERLINK("https://xhslink.com/m/6Q03TgJuPMR", "https://xhslink.com/m/6Q03TgJuPMR")</f>
        <v>https://xhslink.com/m/6Q03TgJuPMR</v>
      </c>
      <c r="D1483"/>
      <c r="E1483">
        <v>352000</v>
      </c>
      <c r="F1483">
        <v>43.8</v>
      </c>
      <c r="G1483">
        <v>29.9</v>
      </c>
      <c r="H1483">
        <v>200</v>
      </c>
      <c r="I1483" t="inlineStr">
        <is>
          <t>水果</t>
        </is>
      </c>
      <c r="J1483" t="inlineStr">
        <is>
          <t>0.00</t>
        </is>
      </c>
      <c r="K1483" t="inlineStr">
        <is>
          <t>🔥低粉爆款</t>
        </is>
      </c>
      <c r="L1483" t="inlineStr">
        <is>
          <t>朱一一的水果铺的店</t>
        </is>
      </c>
      <c r="M1483">
        <v>28000</v>
      </c>
      <c r="N1483">
        <v>4.57</v>
      </c>
      <c r="O1483">
        <v>555000</v>
      </c>
      <c r="P1483" t="inlineStr">
        <is>
          <t>6757d7e4ada659000117b7e7</t>
        </is>
      </c>
      <c r="Q1483" t="inlineStr">
        <is>
          <t>🚫重复</t>
        </is>
      </c>
      <c r="R1483" t="inlineStr">
        <is>
          <t>14周</t>
        </is>
      </c>
      <c r="S1483" t="inlineStr">
        <is>
          <t>12.57</t>
        </is>
      </c>
      <c r="T1483" t="inlineStr">
        <is>
          <t>美食滋补</t>
        </is>
      </c>
      <c r="U1483" t="inlineStr">
        <is>
          <t>生鲜特产</t>
        </is>
      </c>
      <c r="V1483" s="3">
        <v>46112.78107638889</v>
      </c>
      <c r="W1483" t="inlineStr">
        <is>
          <t>2026-Q1</t>
        </is>
      </c>
    </row>
    <row r="1484" ht="25.5" customHeight="1">
      <c r="A1484" t="inlineStr">
        <is>
          <t>【海南金煌芒果】三亚芒果当季新鲜水果孕妇水仙芒纸核芒鲜甜5斤</t>
        </is>
      </c>
      <c r="B1484" t="inlineStr">
        <is>
          <t>recvei9USZIsUZ.jpg</t>
        </is>
      </c>
      <c r="C1484" s="2" t="str">
        <f>=HYPERLINK("https://xhslink.com/m/414kw736Nw4", "https://xhslink.com/m/414kw736Nw4")</f>
        <v>https://xhslink.com/m/414kw736Nw4</v>
      </c>
      <c r="D1484"/>
      <c r="E1484">
        <v>413000</v>
      </c>
      <c r="F1484">
        <v>54.9</v>
      </c>
      <c r="G1484"/>
      <c r="H1484">
        <v>200</v>
      </c>
      <c r="I1484" t="inlineStr">
        <is>
          <t>水果</t>
        </is>
      </c>
      <c r="J1484" t="inlineStr">
        <is>
          <t>0.00</t>
        </is>
      </c>
      <c r="K1484" t="inlineStr">
        <is>
          <t>🔥低粉爆款</t>
        </is>
      </c>
      <c r="L1484" t="inlineStr">
        <is>
          <t>野里鲜果的店</t>
        </is>
      </c>
      <c r="M1484">
        <v>2086</v>
      </c>
      <c r="N1484">
        <v>4.53</v>
      </c>
      <c r="O1484">
        <v>229000</v>
      </c>
      <c r="P1484" t="inlineStr">
        <is>
          <t>67bc9c6ef2389c00019d2025</t>
        </is>
      </c>
      <c r="Q1484" t="inlineStr">
        <is>
          <t>🚫重复</t>
        </is>
      </c>
      <c r="R1484" t="inlineStr">
        <is>
          <t>14周</t>
        </is>
      </c>
      <c r="S1484" t="inlineStr">
        <is>
          <t>197.99</t>
        </is>
      </c>
      <c r="T1484" t="inlineStr">
        <is>
          <t>美食滋补</t>
        </is>
      </c>
      <c r="U1484" t="inlineStr">
        <is>
          <t>生鲜特产</t>
        </is>
      </c>
      <c r="V1484" s="3">
        <v>46112.78107638889</v>
      </c>
      <c r="W1484" t="inlineStr">
        <is>
          <t>2026-Q1</t>
        </is>
      </c>
    </row>
    <row r="1485" ht="25.5" customHeight="1">
      <c r="A1485" t="inlineStr">
        <is>
          <t>【顺丰空运】【L25花香蓝莓】高山种植脆甜花香蓝莓宝宝孕妇水果</t>
        </is>
      </c>
      <c r="B1485" t="inlineStr">
        <is>
          <t>recvei9USZIjSz.jpg</t>
        </is>
      </c>
      <c r="C1485" s="2" t="str">
        <f>=HYPERLINK("https://xhslink.com/m/79ZP87etKEo", "https://xhslink.com/m/79ZP87etKEo")</f>
        <v>https://xhslink.com/m/79ZP87etKEo</v>
      </c>
      <c r="D1485"/>
      <c r="E1485">
        <v>64000</v>
      </c>
      <c r="F1485">
        <v>125.9</v>
      </c>
      <c r="G1485">
        <v>110.6</v>
      </c>
      <c r="H1485">
        <v>200</v>
      </c>
      <c r="I1485" t="inlineStr">
        <is>
          <t>水果</t>
        </is>
      </c>
      <c r="J1485" t="inlineStr">
        <is>
          <t>0.00</t>
        </is>
      </c>
      <c r="K1485" t="inlineStr">
        <is>
          <t>🔥低粉爆款</t>
        </is>
      </c>
      <c r="L1485" t="inlineStr">
        <is>
          <t>张芹的农村生活的店</t>
        </is>
      </c>
      <c r="M1485">
        <v>21000</v>
      </c>
      <c r="N1485">
        <v>4.4</v>
      </c>
      <c r="O1485">
        <v>281000</v>
      </c>
      <c r="P1485" t="inlineStr">
        <is>
          <t>68e9de298aa5760001c0792e</t>
        </is>
      </c>
      <c r="Q1485"/>
      <c r="R1485" t="inlineStr">
        <is>
          <t>14周</t>
        </is>
      </c>
      <c r="S1485" t="inlineStr">
        <is>
          <t>3.05</t>
        </is>
      </c>
      <c r="T1485" t="inlineStr">
        <is>
          <t>美食滋补</t>
        </is>
      </c>
      <c r="U1485" t="inlineStr">
        <is>
          <t>生鲜特产</t>
        </is>
      </c>
      <c r="V1485" s="3">
        <v>46112.78107638889</v>
      </c>
      <c r="W1485" t="inlineStr">
        <is>
          <t>2026-Q1</t>
        </is>
      </c>
    </row>
    <row r="1486" ht="25.5" customHeight="1">
      <c r="A1486" t="inlineStr">
        <is>
          <t>2025年新果·山东维纳斯黄金苹果~酥脆纯甜！顺丰到家</t>
        </is>
      </c>
      <c r="B1486" t="inlineStr">
        <is>
          <t>recvei9USZfwDH.jpg</t>
        </is>
      </c>
      <c r="C1486" s="2" t="str">
        <f>=HYPERLINK("https://xhslink.com/m/7EqdRnuAyFO", "https://xhslink.com/m/7EqdRnuAyFO")</f>
        <v>https://xhslink.com/m/7EqdRnuAyFO</v>
      </c>
      <c r="D1486"/>
      <c r="E1486">
        <v>243000</v>
      </c>
      <c r="F1486">
        <v>59.8</v>
      </c>
      <c r="G1486">
        <v>49.8</v>
      </c>
      <c r="H1486">
        <v>200</v>
      </c>
      <c r="I1486" t="inlineStr">
        <is>
          <t>水果</t>
        </is>
      </c>
      <c r="J1486" t="inlineStr">
        <is>
          <t>0.00</t>
        </is>
      </c>
      <c r="K1486" t="inlineStr">
        <is>
          <t>🔥低粉爆款</t>
        </is>
      </c>
      <c r="L1486" t="inlineStr">
        <is>
          <t>沂蒙山桃状元的店</t>
        </is>
      </c>
      <c r="M1486">
        <v>9493</v>
      </c>
      <c r="N1486">
        <v>4.76</v>
      </c>
      <c r="O1486">
        <v>218000</v>
      </c>
      <c r="P1486" t="inlineStr">
        <is>
          <t>68d8e851ed3b2f0001d75690</t>
        </is>
      </c>
      <c r="Q1486" t="inlineStr">
        <is>
          <t>🚫重复</t>
        </is>
      </c>
      <c r="R1486" t="inlineStr">
        <is>
          <t>14周</t>
        </is>
      </c>
      <c r="S1486" t="inlineStr">
        <is>
          <t>25.60</t>
        </is>
      </c>
      <c r="T1486" t="inlineStr">
        <is>
          <t>美食滋补</t>
        </is>
      </c>
      <c r="U1486" t="inlineStr">
        <is>
          <t>生鲜特产</t>
        </is>
      </c>
      <c r="V1486" s="3">
        <v>46112.78107638889</v>
      </c>
      <c r="W1486" t="inlineStr">
        <is>
          <t>2026-Q1</t>
        </is>
      </c>
    </row>
    <row r="1487" ht="25.5" customHeight="1">
      <c r="A1487" t="inlineStr">
        <is>
          <t>躬亲 · 镜柜下抽屉式收纳盒卫生间化妆品收纳神器卸妆棉签口红透明置物架</t>
        </is>
      </c>
      <c r="B1487" t="inlineStr">
        <is>
          <t>recvei9USZVzg1.jpg</t>
        </is>
      </c>
      <c r="C1487" s="2" t="str">
        <f>=HYPERLINK("https://xhslink.com/m/17GfLn955ij", "https://xhslink.com/m/17GfLn955ij")</f>
        <v>https://xhslink.com/m/17GfLn955ij</v>
      </c>
      <c r="D1487"/>
      <c r="E1487">
        <v>18000</v>
      </c>
      <c r="F1487">
        <v>20.8</v>
      </c>
      <c r="G1487">
        <v>9.79</v>
      </c>
      <c r="H1487">
        <v>200</v>
      </c>
      <c r="I1487" t="inlineStr">
        <is>
          <t>抽屉收纳盒</t>
        </is>
      </c>
      <c r="J1487" t="inlineStr">
        <is>
          <t>0.01</t>
        </is>
      </c>
      <c r="K1487"/>
      <c r="L1487" t="inlineStr">
        <is>
          <t>GONQIN躬亲旗舰店</t>
        </is>
      </c>
      <c r="M1487">
        <v>42000</v>
      </c>
      <c r="N1487">
        <v>4.6</v>
      </c>
      <c r="O1487">
        <v>63000</v>
      </c>
      <c r="P1487" t="inlineStr">
        <is>
          <t>68f647a9c4f89100019754c4</t>
        </is>
      </c>
      <c r="Q1487" t="inlineStr">
        <is>
          <t>🚫重复</t>
        </is>
      </c>
      <c r="R1487" t="inlineStr">
        <is>
          <t>14周</t>
        </is>
      </c>
      <c r="S1487" t="inlineStr">
        <is>
          <t>0.43</t>
        </is>
      </c>
      <c r="T1487" t="inlineStr">
        <is>
          <t>美妆个护</t>
        </is>
      </c>
      <c r="U1487" t="inlineStr">
        <is>
          <t>护肤彩妆</t>
        </is>
      </c>
      <c r="V1487" s="3">
        <v>46112.78107638889</v>
      </c>
      <c r="W1487" t="inlineStr">
        <is>
          <t>2026-Q1</t>
        </is>
      </c>
    </row>
    <row r="1488" ht="25.5" customHeight="1">
      <c r="A1488" t="inlineStr">
        <is>
          <t>荔枝榴莲苹果橘子小水果摆件治愈仿真可爱车载桌面礼物</t>
        </is>
      </c>
      <c r="B1488" t="inlineStr">
        <is>
          <t>recvei9USZfpGz.jpg</t>
        </is>
      </c>
      <c r="C1488" s="2" t="str">
        <f>=HYPERLINK("https://xhslink.com/m/7y05wQWM3ni", "https://xhslink.com/m/7y05wQWM3ni")</f>
        <v>https://xhslink.com/m/7y05wQWM3ni</v>
      </c>
      <c r="D1488"/>
      <c r="E1488">
        <v>27000</v>
      </c>
      <c r="F1488">
        <v>22.8</v>
      </c>
      <c r="G1488">
        <v>9.8</v>
      </c>
      <c r="H1488">
        <v>200</v>
      </c>
      <c r="I1488" t="inlineStr">
        <is>
          <t>小摆件</t>
        </is>
      </c>
      <c r="J1488" t="inlineStr">
        <is>
          <t>0.01</t>
        </is>
      </c>
      <c r="K1488" t="inlineStr">
        <is>
          <t>🔥低粉爆款</t>
        </is>
      </c>
      <c r="L1488" t="inlineStr">
        <is>
          <t>森佑的店</t>
        </is>
      </c>
      <c r="M1488">
        <v>188</v>
      </c>
      <c r="N1488">
        <v>4.76</v>
      </c>
      <c r="O1488">
        <v>28000</v>
      </c>
      <c r="P1488" t="inlineStr">
        <is>
          <t>68ce64df24f1f8000108a35f</t>
        </is>
      </c>
      <c r="Q1488"/>
      <c r="R1488" t="inlineStr">
        <is>
          <t>14周</t>
        </is>
      </c>
      <c r="S1488" t="inlineStr">
        <is>
          <t>143.62</t>
        </is>
      </c>
      <c r="T1488" t="inlineStr">
        <is>
          <t>美食滋补</t>
        </is>
      </c>
      <c r="U1488" t="inlineStr">
        <is>
          <t>生鲜特产</t>
        </is>
      </c>
      <c r="V1488" s="3">
        <v>46112.78107638889</v>
      </c>
      <c r="W1488" t="inlineStr">
        <is>
          <t>2026-Q1</t>
        </is>
      </c>
    </row>
    <row r="1489" ht="25.5" customHeight="1">
      <c r="A1489" t="inlineStr">
        <is>
          <t>有寻植物 国产朱顶红种球 阿弗雷 花孔雀 双王 舞后重瓣球根花卉</t>
        </is>
      </c>
      <c r="B1489" t="inlineStr">
        <is>
          <t>recvei9USZmfr8.jpg</t>
        </is>
      </c>
      <c r="C1489" s="2" t="str">
        <f>=HYPERLINK("https://xhslink.com/m/5eRAaGvB94e", "https://xhslink.com/m/5eRAaGvB94e")</f>
        <v>https://xhslink.com/m/5eRAaGvB94e</v>
      </c>
      <c r="D1489"/>
      <c r="E1489">
        <v>3243</v>
      </c>
      <c r="F1489">
        <v>11.8</v>
      </c>
      <c r="G1489"/>
      <c r="H1489">
        <v>200</v>
      </c>
      <c r="I1489" t="inlineStr">
        <is>
          <t>花花草草</t>
        </is>
      </c>
      <c r="J1489" t="inlineStr">
        <is>
          <t>0.06</t>
        </is>
      </c>
      <c r="K1489"/>
      <c r="L1489" t="inlineStr">
        <is>
          <t>有寻植物的店</t>
        </is>
      </c>
      <c r="M1489">
        <v>63000</v>
      </c>
      <c r="N1489">
        <v>4.61</v>
      </c>
      <c r="O1489">
        <v>127000</v>
      </c>
      <c r="P1489" t="inlineStr">
        <is>
          <t>699fa9ed2080aa0001243597</t>
        </is>
      </c>
      <c r="Q1489" t="inlineStr">
        <is>
          <t>🚫重复</t>
        </is>
      </c>
      <c r="R1489" t="inlineStr">
        <is>
          <t>14周</t>
        </is>
      </c>
      <c r="S1489" t="inlineStr">
        <is>
          <t>0.05</t>
        </is>
      </c>
      <c r="T1489" t="inlineStr">
        <is>
          <t>家居生活</t>
        </is>
      </c>
      <c r="U1489" t="inlineStr">
        <is>
          <t>家具家装</t>
        </is>
      </c>
      <c r="V1489" s="3">
        <v>46112.78107638889</v>
      </c>
      <c r="W1489" t="inlineStr">
        <is>
          <t>2026-Q1</t>
        </is>
      </c>
    </row>
    <row r="1490" ht="25.5" customHeight="1">
      <c r="A1490" t="inlineStr">
        <is>
          <t>凯旋门洞子 · 重庆牛油火锅底料（家庭版）500g老火锅店同款麻辣烫香锅家用方便</t>
        </is>
      </c>
      <c r="B1490" t="inlineStr">
        <is>
          <t>recvei9USZwbov.jpg</t>
        </is>
      </c>
      <c r="C1490" s="2" t="str">
        <f>=HYPERLINK("https://xhslink.com/m/5i4qQrCYadj", "https://xhslink.com/m/5i4qQrCYadj")</f>
        <v>https://xhslink.com/m/5i4qQrCYadj</v>
      </c>
      <c r="D1490"/>
      <c r="E1490">
        <v>11000</v>
      </c>
      <c r="F1490">
        <v>376</v>
      </c>
      <c r="G1490"/>
      <c r="H1490">
        <v>200</v>
      </c>
      <c r="I1490" t="inlineStr">
        <is>
          <t>家用</t>
        </is>
      </c>
      <c r="J1490" t="inlineStr">
        <is>
          <t>0.02</t>
        </is>
      </c>
      <c r="K1490" t="inlineStr">
        <is>
          <t>🔥低粉爆款</t>
        </is>
      </c>
      <c r="L1490" t="inlineStr">
        <is>
          <t>凯旋门洞子老火锅底料的店</t>
        </is>
      </c>
      <c r="M1490">
        <v>1507</v>
      </c>
      <c r="N1490">
        <v>4.68</v>
      </c>
      <c r="O1490">
        <v>11000</v>
      </c>
      <c r="P1490" t="inlineStr">
        <is>
          <t>6968e9611d37860001b091ce</t>
        </is>
      </c>
      <c r="Q1490"/>
      <c r="R1490" t="inlineStr">
        <is>
          <t>14周</t>
        </is>
      </c>
      <c r="S1490" t="inlineStr">
        <is>
          <t>7.30</t>
        </is>
      </c>
      <c r="T1490" t="inlineStr">
        <is>
          <t>家居生活</t>
        </is>
      </c>
      <c r="U1490" t="inlineStr">
        <is>
          <t>厨房餐饮</t>
        </is>
      </c>
      <c r="V1490" s="3">
        <v>46112.78107638889</v>
      </c>
      <c r="W1490" t="inlineStr">
        <is>
          <t>2026-Q1</t>
        </is>
      </c>
    </row>
    <row r="1491" ht="25.5" customHeight="1">
      <c r="A1491" t="inlineStr">
        <is>
          <t>清新ins风可爱雪花陶瓷碗勺釉下彩高颜值餐具冰碗甜品碗超好看</t>
        </is>
      </c>
      <c r="B1491" t="inlineStr">
        <is>
          <t>recvei9USZ4vWU.jpg</t>
        </is>
      </c>
      <c r="C1491" s="2" t="str">
        <f>=HYPERLINK("https://xhslink.com/m/86c59vkNiwf", "https://xhslink.com/m/86c59vkNiwf")</f>
        <v>https://xhslink.com/m/86c59vkNiwf</v>
      </c>
      <c r="D1491"/>
      <c r="E1491">
        <v>32000</v>
      </c>
      <c r="F1491">
        <v>18.8</v>
      </c>
      <c r="G1491">
        <v>8.8</v>
      </c>
      <c r="H1491">
        <v>200</v>
      </c>
      <c r="I1491" t="inlineStr">
        <is>
          <t>厨房用品</t>
        </is>
      </c>
      <c r="J1491" t="inlineStr">
        <is>
          <t>0.01</t>
        </is>
      </c>
      <c r="K1491" t="inlineStr">
        <is>
          <t>🔥低粉爆款</t>
        </is>
      </c>
      <c r="L1491" t="inlineStr">
        <is>
          <t>sweet元气日记的店</t>
        </is>
      </c>
      <c r="M1491">
        <v>1688</v>
      </c>
      <c r="N1491">
        <v>4.53</v>
      </c>
      <c r="O1491">
        <v>34000</v>
      </c>
      <c r="P1491" t="inlineStr">
        <is>
          <t>68403f38d0af0a0001795ca5</t>
        </is>
      </c>
      <c r="Q1491" t="inlineStr">
        <is>
          <t>🚫重复</t>
        </is>
      </c>
      <c r="R1491" t="inlineStr">
        <is>
          <t>14周</t>
        </is>
      </c>
      <c r="S1491" t="inlineStr">
        <is>
          <t>18.96</t>
        </is>
      </c>
      <c r="T1491" t="inlineStr">
        <is>
          <t>家居生活</t>
        </is>
      </c>
      <c r="U1491" t="inlineStr">
        <is>
          <t>厨房餐饮</t>
        </is>
      </c>
      <c r="V1491" s="3">
        <v>46112.78107638889</v>
      </c>
      <c r="W1491" t="inlineStr">
        <is>
          <t>2026-Q1</t>
        </is>
      </c>
    </row>
    <row r="1492" ht="25.5" customHeight="1">
      <c r="A1492" t="inlineStr">
        <is>
          <t>察木 · 大米饭香薰（双马稻香）</t>
        </is>
      </c>
      <c r="B1492" t="inlineStr">
        <is>
          <t>recvei9USZeMOK.jpg</t>
        </is>
      </c>
      <c r="C1492" s="2" t="str">
        <f>=HYPERLINK("https://xhslink.com/m/7W2YSeeliD8", "https://xhslink.com/m/7W2YSeeliD8")</f>
        <v>https://xhslink.com/m/7W2YSeeliD8</v>
      </c>
      <c r="D1492"/>
      <c r="E1492">
        <v>6023</v>
      </c>
      <c r="F1492">
        <v>59</v>
      </c>
      <c r="G1492">
        <v>45</v>
      </c>
      <c r="H1492">
        <v>200</v>
      </c>
      <c r="I1492" t="inlineStr">
        <is>
          <t>香薰</t>
        </is>
      </c>
      <c r="J1492" t="inlineStr">
        <is>
          <t>0.03</t>
        </is>
      </c>
      <c r="K1492"/>
      <c r="L1492" t="inlineStr">
        <is>
          <t>subtleart察木的店</t>
        </is>
      </c>
      <c r="M1492">
        <v>5125</v>
      </c>
      <c r="N1492">
        <v>4.76</v>
      </c>
      <c r="O1492">
        <v>26000</v>
      </c>
      <c r="P1492" t="inlineStr">
        <is>
          <t>69328742127fb60001da6443</t>
        </is>
      </c>
      <c r="Q1492"/>
      <c r="R1492" t="inlineStr">
        <is>
          <t>14周</t>
        </is>
      </c>
      <c r="S1492" t="inlineStr">
        <is>
          <t>1.18</t>
        </is>
      </c>
      <c r="T1492" t="inlineStr">
        <is>
          <t>家居生活</t>
        </is>
      </c>
      <c r="U1492" t="inlineStr">
        <is>
          <t>家居日用</t>
        </is>
      </c>
      <c r="V1492" s="3">
        <v>46112.78107638889</v>
      </c>
      <c r="W1492" t="inlineStr">
        <is>
          <t>2026-Q1</t>
        </is>
      </c>
    </row>
    <row r="1493" ht="25.5" customHeight="1">
      <c r="A1493" t="inlineStr">
        <is>
          <t>FOT DMQE · 芙多朵你好生活水泥杯香薰蜡烛送闺蜜新婚生日礼物女生</t>
        </is>
      </c>
      <c r="B1493" t="inlineStr">
        <is>
          <t>recvei9USZWxdD.jpg</t>
        </is>
      </c>
      <c r="C1493" s="2" t="str">
        <f>=HYPERLINK("https://xhslink.com/m/4gBIXzWRvWe", "https://xhslink.com/m/4gBIXzWRvWe")</f>
        <v>https://xhslink.com/m/4gBIXzWRvWe</v>
      </c>
      <c r="D1493"/>
      <c r="E1493">
        <v>5713</v>
      </c>
      <c r="F1493">
        <v>89.9</v>
      </c>
      <c r="G1493">
        <v>86.9</v>
      </c>
      <c r="H1493">
        <v>200</v>
      </c>
      <c r="I1493" t="inlineStr">
        <is>
          <t>香薰</t>
        </is>
      </c>
      <c r="J1493" t="inlineStr">
        <is>
          <t>0.04</t>
        </is>
      </c>
      <c r="K1493"/>
      <c r="L1493" t="inlineStr">
        <is>
          <t>FOT DMQE旗舰店</t>
        </is>
      </c>
      <c r="M1493">
        <v>8242</v>
      </c>
      <c r="N1493">
        <v>4.58</v>
      </c>
      <c r="O1493">
        <v>68000</v>
      </c>
      <c r="P1493" t="inlineStr">
        <is>
          <t>6653e8951ac23b0001e79bc6</t>
        </is>
      </c>
      <c r="Q1493"/>
      <c r="R1493" t="inlineStr">
        <is>
          <t>14周</t>
        </is>
      </c>
      <c r="S1493" t="inlineStr">
        <is>
          <t>0.69</t>
        </is>
      </c>
      <c r="T1493" t="inlineStr">
        <is>
          <t>家居生活</t>
        </is>
      </c>
      <c r="U1493" t="inlineStr">
        <is>
          <t>家居日用</t>
        </is>
      </c>
      <c r="V1493" s="3">
        <v>46112.78107638889</v>
      </c>
      <c r="W1493" t="inlineStr">
        <is>
          <t>2026-Q1</t>
        </is>
      </c>
    </row>
    <row r="1494" ht="25.5" customHeight="1">
      <c r="A1494" t="inlineStr">
        <is>
          <t>五指毛桃石橄榄脆皮鸡 自家清远走地鸡  切片桑拿鸡 只做Gao品质</t>
        </is>
      </c>
      <c r="B1494" t="inlineStr">
        <is>
          <t>recvei9USZCmui.jpg</t>
        </is>
      </c>
      <c r="C1494" s="2" t="str">
        <f>=HYPERLINK("https://xhslink.com/m/7MZey1i1Iw8", "https://xhslink.com/m/7MZey1i1Iw8")</f>
        <v>https://xhslink.com/m/7MZey1i1Iw8</v>
      </c>
      <c r="D1494"/>
      <c r="E1494">
        <v>7040</v>
      </c>
      <c r="F1494">
        <v>138</v>
      </c>
      <c r="G1494">
        <v>100</v>
      </c>
      <c r="H1494">
        <v>200</v>
      </c>
      <c r="I1494" t="inlineStr">
        <is>
          <t>生鲜</t>
        </is>
      </c>
      <c r="J1494" t="inlineStr">
        <is>
          <t>0.03</t>
        </is>
      </c>
      <c r="K1494"/>
      <c r="L1494" t="inlineStr">
        <is>
          <t>阿洁家的潮汕脆皮鸡煲的店</t>
        </is>
      </c>
      <c r="M1494">
        <v>2681</v>
      </c>
      <c r="N1494">
        <v>4.77</v>
      </c>
      <c r="O1494">
        <v>7328</v>
      </c>
      <c r="P1494" t="inlineStr">
        <is>
          <t>69410017266b95000189ff1f</t>
        </is>
      </c>
      <c r="Q1494"/>
      <c r="R1494" t="inlineStr">
        <is>
          <t>14周</t>
        </is>
      </c>
      <c r="S1494" t="inlineStr">
        <is>
          <t>2.63</t>
        </is>
      </c>
      <c r="T1494" t="inlineStr">
        <is>
          <t>美食滋补</t>
        </is>
      </c>
      <c r="U1494" t="inlineStr">
        <is>
          <t>生鲜特产</t>
        </is>
      </c>
      <c r="V1494" s="3">
        <v>46112.78107638889</v>
      </c>
      <c r="W1494" t="inlineStr">
        <is>
          <t>2026-Q1</t>
        </is>
      </c>
    </row>
    <row r="1495" ht="25.5" customHeight="1">
      <c r="A1495" t="inlineStr">
        <is>
          <t>床头靠背加厚奶油雪球靠垫·推荐宿舍/出租屋硬床头~炒鸡舒服！</t>
        </is>
      </c>
      <c r="B1495" t="inlineStr">
        <is>
          <t>recvei9USZVZVN.jpg</t>
        </is>
      </c>
      <c r="C1495" s="2" t="str">
        <f>=HYPERLINK("https://xhslink.com/m/3GJ3vmF3rWR", "https://xhslink.com/m/3GJ3vmF3rWR")</f>
        <v>https://xhslink.com/m/3GJ3vmF3rWR</v>
      </c>
      <c r="D1495"/>
      <c r="E1495">
        <v>6929</v>
      </c>
      <c r="F1495">
        <v>85.6</v>
      </c>
      <c r="G1495">
        <v>56.9</v>
      </c>
      <c r="H1495">
        <v>200</v>
      </c>
      <c r="I1495" t="inlineStr">
        <is>
          <t>家居</t>
        </is>
      </c>
      <c r="J1495" t="inlineStr">
        <is>
          <t>0.03</t>
        </is>
      </c>
      <c r="K1495"/>
      <c r="L1495" t="inlineStr">
        <is>
          <t>乱卖床品的博怀的店</t>
        </is>
      </c>
      <c r="M1495">
        <v>2727</v>
      </c>
      <c r="N1495">
        <v>4.61</v>
      </c>
      <c r="O1495">
        <v>10000</v>
      </c>
      <c r="P1495" t="inlineStr">
        <is>
          <t>6841b97357fa160001fae48b</t>
        </is>
      </c>
      <c r="Q1495" t="inlineStr">
        <is>
          <t>🚫重复</t>
        </is>
      </c>
      <c r="R1495" t="inlineStr">
        <is>
          <t>14周</t>
        </is>
      </c>
      <c r="S1495" t="inlineStr">
        <is>
          <t>2.54</t>
        </is>
      </c>
      <c r="T1495" t="inlineStr">
        <is>
          <t>家居生活</t>
        </is>
      </c>
      <c r="U1495" t="inlineStr">
        <is>
          <t>家居日用</t>
        </is>
      </c>
      <c r="V1495" s="3">
        <v>46112.78107638889</v>
      </c>
      <c r="W1495" t="inlineStr">
        <is>
          <t>2026-Q1</t>
        </is>
      </c>
    </row>
    <row r="1496" ht="25.5" customHeight="1">
      <c r="A1496" t="inlineStr">
        <is>
          <t>小葵家 vestir*a春季新款甜美蝴蝶结系带拉链卫衣外套</t>
        </is>
      </c>
      <c r="B1496" t="inlineStr">
        <is>
          <t>recvekdtjWfF6t.jpg</t>
        </is>
      </c>
      <c r="C1496" s="2" t="str">
        <f>=HYPERLINK("https://xhslink.com/m/zcgfqJr6x7", "https://xhslink.com/m/zcgfqJr6x7")</f>
        <v>https://xhslink.com/m/zcgfqJr6x7</v>
      </c>
      <c r="D1496"/>
      <c r="E1496">
        <v>1147</v>
      </c>
      <c r="F1496">
        <v>168</v>
      </c>
      <c r="G1496">
        <v>143</v>
      </c>
      <c r="H1496">
        <v>200</v>
      </c>
      <c r="I1496" t="inlineStr">
        <is>
          <t>外套</t>
        </is>
      </c>
      <c r="J1496" t="inlineStr">
        <is>
          <t>0.17</t>
        </is>
      </c>
      <c r="K1496"/>
      <c r="L1496" t="inlineStr">
        <is>
          <t>小葵家store的店</t>
        </is>
      </c>
      <c r="M1496">
        <v>21000</v>
      </c>
      <c r="N1496">
        <v>4.62</v>
      </c>
      <c r="O1496">
        <v>26000</v>
      </c>
      <c r="P1496" t="inlineStr">
        <is>
          <t>6975d0c8a5576f000146f388</t>
        </is>
      </c>
      <c r="Q1496"/>
      <c r="R1496" t="inlineStr">
        <is>
          <t>14周</t>
        </is>
      </c>
      <c r="S1496" t="inlineStr">
        <is>
          <t>0.05</t>
        </is>
      </c>
      <c r="T1496" t="inlineStr">
        <is>
          <t>服饰穿搭</t>
        </is>
      </c>
      <c r="U1496" t="inlineStr">
        <is>
          <t>女装</t>
        </is>
      </c>
      <c r="V1496" s="3">
        <v>46112.78107638889</v>
      </c>
      <c r="W1496" t="inlineStr">
        <is>
          <t>2026-Q1</t>
        </is>
      </c>
    </row>
    <row r="1497" ht="25.5" customHeight="1">
      <c r="A1497" t="inlineStr">
        <is>
          <t>City walk复古小众板鞋女款2026新款春夏厚底小白鞋休闲鞋潮3205</t>
        </is>
      </c>
      <c r="B1497" t="inlineStr">
        <is>
          <t>recvekduUIbkai.jpg</t>
        </is>
      </c>
      <c r="C1497" s="2" t="str">
        <f>=HYPERLINK("https://xhslink.com/m/AQMgqpJgoc7", "https://xhslink.com/m/AQMgqpJgoc7")</f>
        <v>https://xhslink.com/m/AQMgqpJgoc7</v>
      </c>
      <c r="D1497"/>
      <c r="E1497">
        <v>7982</v>
      </c>
      <c r="F1497">
        <v>88.6</v>
      </c>
      <c r="G1497">
        <v>65.6</v>
      </c>
      <c r="H1497">
        <v>200</v>
      </c>
      <c r="I1497" t="inlineStr">
        <is>
          <t>鞋靴</t>
        </is>
      </c>
      <c r="J1497" t="inlineStr">
        <is>
          <t>0.03</t>
        </is>
      </c>
      <c r="K1497"/>
      <c r="L1497" t="inlineStr">
        <is>
          <t>City walk的店</t>
        </is>
      </c>
      <c r="M1497">
        <v>2873</v>
      </c>
      <c r="N1497">
        <v>4.44</v>
      </c>
      <c r="O1497">
        <v>26000</v>
      </c>
      <c r="P1497" t="inlineStr">
        <is>
          <t>68d1027541f0610001a577dd</t>
        </is>
      </c>
      <c r="Q1497" t="inlineStr">
        <is>
          <t>🚫重复</t>
        </is>
      </c>
      <c r="R1497" t="inlineStr">
        <is>
          <t>14周</t>
        </is>
      </c>
      <c r="S1497" t="inlineStr">
        <is>
          <t>2.78</t>
        </is>
      </c>
      <c r="T1497" t="inlineStr">
        <is>
          <t>服饰穿搭</t>
        </is>
      </c>
      <c r="U1497" t="inlineStr">
        <is>
          <t>鞋靴箱包</t>
        </is>
      </c>
      <c r="V1497" s="3">
        <v>46112.78107638889</v>
      </c>
      <c r="W1497" t="inlineStr">
        <is>
          <t>2026-Q1</t>
        </is>
      </c>
    </row>
    <row r="1498" ht="25.5" customHeight="1">
      <c r="A1498" t="inlineStr">
        <is>
          <t>韩版秋超火贝壳头厚底运动休闲潮流百搭鞋丑萌大头面包鞋板鞋女鞋</t>
        </is>
      </c>
      <c r="B1498" t="inlineStr">
        <is>
          <t>recvekduUI7eM0.jpg</t>
        </is>
      </c>
      <c r="C1498" s="2" t="str">
        <f>=HYPERLINK("https://xhslink.com/m/A6ft6zBxd4e", "https://xhslink.com/m/A6ft6zBxd4e")</f>
        <v>https://xhslink.com/m/A6ft6zBxd4e</v>
      </c>
      <c r="D1498"/>
      <c r="E1498">
        <v>11000</v>
      </c>
      <c r="F1498">
        <v>60.9</v>
      </c>
      <c r="G1498">
        <v>57.9</v>
      </c>
      <c r="H1498">
        <v>200</v>
      </c>
      <c r="I1498" t="inlineStr">
        <is>
          <t>鞋靴</t>
        </is>
      </c>
      <c r="J1498" t="inlineStr">
        <is>
          <t>0.02</t>
        </is>
      </c>
      <c r="K1498"/>
      <c r="L1498" t="inlineStr">
        <is>
          <t>松荟鱼酱鞋屋的店</t>
        </is>
      </c>
      <c r="M1498">
        <v>4917</v>
      </c>
      <c r="N1498">
        <v>4.34</v>
      </c>
      <c r="O1498">
        <v>68000</v>
      </c>
      <c r="P1498" t="inlineStr">
        <is>
          <t>67e14b4e98b4be000160e3fb</t>
        </is>
      </c>
      <c r="Q1498" t="inlineStr">
        <is>
          <t>🚫重复</t>
        </is>
      </c>
      <c r="R1498" t="inlineStr">
        <is>
          <t>14周</t>
        </is>
      </c>
      <c r="S1498" t="inlineStr">
        <is>
          <t>2.24</t>
        </is>
      </c>
      <c r="T1498" t="inlineStr">
        <is>
          <t>服饰穿搭</t>
        </is>
      </c>
      <c r="U1498" t="inlineStr">
        <is>
          <t>鞋靴箱包</t>
        </is>
      </c>
      <c r="V1498" s="3">
        <v>46112.78107638889</v>
      </c>
      <c r="W1498" t="inlineStr">
        <is>
          <t>2026-Q1</t>
        </is>
      </c>
    </row>
    <row r="1499" ht="25.5" customHeight="1">
      <c r="A1499" t="inlineStr">
        <is>
          <t>安踏 · 云感软底舒适跑步鞋女子夏季轻质透气运动鞋缓震跳绳鞋922525537</t>
        </is>
      </c>
      <c r="B1499" t="inlineStr">
        <is>
          <t>recvekduUIV2AH.jpg</t>
        </is>
      </c>
      <c r="C1499" s="2" t="str">
        <f>=HYPERLINK("https://xhslink.com/m/2JVe6PtEOae", "https://xhslink.com/m/2JVe6PtEOae")</f>
        <v>https://xhslink.com/m/2JVe6PtEOae</v>
      </c>
      <c r="D1499"/>
      <c r="E1499">
        <v>1072</v>
      </c>
      <c r="F1499">
        <v>399</v>
      </c>
      <c r="G1499">
        <v>171</v>
      </c>
      <c r="H1499">
        <v>200</v>
      </c>
      <c r="I1499" t="inlineStr">
        <is>
          <t>鞋靴</t>
        </is>
      </c>
      <c r="J1499" t="inlineStr">
        <is>
          <t>0.19</t>
        </is>
      </c>
      <c r="K1499"/>
      <c r="L1499" t="inlineStr">
        <is>
          <t>安踏旗舰店</t>
        </is>
      </c>
      <c r="M1499">
        <v>241000</v>
      </c>
      <c r="N1499">
        <v>4.6</v>
      </c>
      <c r="O1499">
        <v>151000</v>
      </c>
      <c r="P1499" t="inlineStr">
        <is>
          <t>67e3d3d4f073650015bee0d7</t>
        </is>
      </c>
      <c r="Q1499" t="inlineStr">
        <is>
          <t>🚫重复</t>
        </is>
      </c>
      <c r="R1499" t="inlineStr">
        <is>
          <t>14周</t>
        </is>
      </c>
      <c r="S1499" t="inlineStr">
        <is>
          <t>0.00</t>
        </is>
      </c>
      <c r="T1499" t="inlineStr">
        <is>
          <t>运动潮玩</t>
        </is>
      </c>
      <c r="U1499" t="inlineStr">
        <is>
          <t>运动户外装备</t>
        </is>
      </c>
      <c r="V1499" s="3">
        <v>46112.78107638889</v>
      </c>
      <c r="W1499" t="inlineStr">
        <is>
          <t>2026-Q1</t>
        </is>
      </c>
    </row>
    <row r="1500" ht="25.5" customHeight="1">
      <c r="A1500" t="inlineStr">
        <is>
          <t>3.5cm复古风运动鞋夏秋季透气网面德训鞋百搭休闲健身鞋爬坡女鞋</t>
        </is>
      </c>
      <c r="B1500" t="inlineStr">
        <is>
          <t>recvekduUITCg3.jpg</t>
        </is>
      </c>
      <c r="C1500" s="2" t="str">
        <f>=HYPERLINK("https://xhslink.com/m/5cK0WQ0YIbe", "https://xhslink.com/m/5cK0WQ0YIbe")</f>
        <v>https://xhslink.com/m/5cK0WQ0YIbe</v>
      </c>
      <c r="D1500"/>
      <c r="E1500">
        <v>3644</v>
      </c>
      <c r="F1500">
        <v>91</v>
      </c>
      <c r="G1500">
        <v>71.8</v>
      </c>
      <c r="H1500">
        <v>200</v>
      </c>
      <c r="I1500" t="inlineStr">
        <is>
          <t>鞋靴</t>
        </is>
      </c>
      <c r="J1500" t="inlineStr">
        <is>
          <t>0.05</t>
        </is>
      </c>
      <c r="K1500"/>
      <c r="L1500" t="inlineStr">
        <is>
          <t>晴天女鞋的店</t>
        </is>
      </c>
      <c r="M1500">
        <v>1244</v>
      </c>
      <c r="N1500">
        <v>4.6</v>
      </c>
      <c r="O1500">
        <v>9070</v>
      </c>
      <c r="P1500" t="inlineStr">
        <is>
          <t>6892cfbebc668f0015b963fb</t>
        </is>
      </c>
      <c r="Q1500" t="inlineStr">
        <is>
          <t>🚫重复</t>
        </is>
      </c>
      <c r="R1500" t="inlineStr">
        <is>
          <t>14周</t>
        </is>
      </c>
      <c r="S1500" t="inlineStr">
        <is>
          <t>2.93</t>
        </is>
      </c>
      <c r="T1500" t="inlineStr">
        <is>
          <t>服饰穿搭</t>
        </is>
      </c>
      <c r="U1500" t="inlineStr">
        <is>
          <t>鞋靴箱包</t>
        </is>
      </c>
      <c r="V1500" s="3">
        <v>46112.78107638889</v>
      </c>
      <c r="W1500" t="inlineStr">
        <is>
          <t>2026-Q1</t>
        </is>
      </c>
    </row>
    <row r="1501" ht="25.5" customHeight="1">
      <c r="A1501" t="inlineStr">
        <is>
          <t>MeiDiaoChan · 2026年新款裸色侧空红底高跟鞋女法式小众设计感尖头黑色细跟单鞋</t>
        </is>
      </c>
      <c r="B1501" t="inlineStr">
        <is>
          <t>recvekduUIrAtc.jpg</t>
        </is>
      </c>
      <c r="C1501" s="2" t="str">
        <f>=HYPERLINK("https://xhslink.com/m/4xPLH3oqsrE", "https://xhslink.com/m/4xPLH3oqsrE")</f>
        <v>https://xhslink.com/m/4xPLH3oqsrE</v>
      </c>
      <c r="D1501"/>
      <c r="E1501">
        <v>10000</v>
      </c>
      <c r="F1501">
        <v>149.9</v>
      </c>
      <c r="G1501">
        <v>124.9</v>
      </c>
      <c r="H1501">
        <v>200</v>
      </c>
      <c r="I1501" t="inlineStr">
        <is>
          <t>鞋靴</t>
        </is>
      </c>
      <c r="J1501" t="inlineStr">
        <is>
          <t>0.02</t>
        </is>
      </c>
      <c r="K1501"/>
      <c r="L1501" t="inlineStr">
        <is>
          <t>彭小姐的婚礼家2店的店</t>
        </is>
      </c>
      <c r="M1501">
        <v>3732</v>
      </c>
      <c r="N1501">
        <v>4.57</v>
      </c>
      <c r="O1501">
        <v>20000</v>
      </c>
      <c r="P1501" t="inlineStr">
        <is>
          <t>67c039eaf658890001483322</t>
        </is>
      </c>
      <c r="Q1501" t="inlineStr">
        <is>
          <t>🚫重复</t>
        </is>
      </c>
      <c r="R1501" t="inlineStr">
        <is>
          <t>14周</t>
        </is>
      </c>
      <c r="S1501" t="inlineStr">
        <is>
          <t>2.68</t>
        </is>
      </c>
      <c r="T1501" t="inlineStr">
        <is>
          <t>服饰穿搭</t>
        </is>
      </c>
      <c r="U1501" t="inlineStr">
        <is>
          <t>鞋靴箱包</t>
        </is>
      </c>
      <c r="V1501" s="3">
        <v>46112.78107638889</v>
      </c>
      <c r="W1501" t="inlineStr">
        <is>
          <t>2026-Q1</t>
        </is>
      </c>
    </row>
    <row r="1502" ht="25.5" customHeight="1">
      <c r="A1502" t="inlineStr">
        <is>
          <t>跟高3cm复古百搭厚底小白鞋女2026春季新老爹鞋款轻便运动休闲鞋</t>
        </is>
      </c>
      <c r="B1502" t="inlineStr">
        <is>
          <t>recvekduUIzw50.jpg</t>
        </is>
      </c>
      <c r="C1502" s="2" t="str">
        <f>=HYPERLINK("https://xhslink.com/m/4WzPAeRUtaG", "https://xhslink.com/m/4WzPAeRUtaG")</f>
        <v>https://xhslink.com/m/4WzPAeRUtaG</v>
      </c>
      <c r="D1502"/>
      <c r="E1502">
        <v>317</v>
      </c>
      <c r="F1502">
        <v>298</v>
      </c>
      <c r="G1502">
        <v>86.8</v>
      </c>
      <c r="H1502">
        <v>200</v>
      </c>
      <c r="I1502" t="inlineStr">
        <is>
          <t>鞋靴</t>
        </is>
      </c>
      <c r="J1502" t="inlineStr">
        <is>
          <t>0.63</t>
        </is>
      </c>
      <c r="K1502"/>
      <c r="L1502" t="inlineStr">
        <is>
          <t>半夏倾颜的店</t>
        </is>
      </c>
      <c r="M1502">
        <v>239</v>
      </c>
      <c r="N1502">
        <v>4.81</v>
      </c>
      <c r="O1502">
        <v>1898</v>
      </c>
      <c r="P1502" t="inlineStr">
        <is>
          <t>69ada936f209ba0001e54ae3</t>
        </is>
      </c>
      <c r="Q1502" t="inlineStr">
        <is>
          <t>🚫重复</t>
        </is>
      </c>
      <c r="R1502" t="inlineStr">
        <is>
          <t>14周</t>
        </is>
      </c>
      <c r="S1502" t="inlineStr">
        <is>
          <t>1.33</t>
        </is>
      </c>
      <c r="T1502" t="inlineStr">
        <is>
          <t>服饰穿搭</t>
        </is>
      </c>
      <c r="U1502" t="inlineStr">
        <is>
          <t>鞋靴箱包</t>
        </is>
      </c>
      <c r="V1502" s="3">
        <v>46112.78107638889</v>
      </c>
      <c r="W1502" t="inlineStr">
        <is>
          <t>2026-Q1</t>
        </is>
      </c>
    </row>
    <row r="1503" ht="25.5" customHeight="1">
      <c r="A1503" t="inlineStr">
        <is>
          <t>圆圆呀aaa__｛现货48小时内发｝平底款绸缎水钻气质通勤单鞋</t>
        </is>
      </c>
      <c r="B1503" t="inlineStr">
        <is>
          <t>recvekduUI6PxA.jpg</t>
        </is>
      </c>
      <c r="C1503" s="2" t="str">
        <f>=HYPERLINK("https://xhslink.com/m/9JQlpqvHeBL", "https://xhslink.com/m/9JQlpqvHeBL")</f>
        <v>https://xhslink.com/m/9JQlpqvHeBL</v>
      </c>
      <c r="D1503"/>
      <c r="E1503">
        <v>7858</v>
      </c>
      <c r="F1503">
        <v>174</v>
      </c>
      <c r="G1503">
        <v>134</v>
      </c>
      <c r="H1503">
        <v>200</v>
      </c>
      <c r="I1503" t="inlineStr">
        <is>
          <t>鞋靴</t>
        </is>
      </c>
      <c r="J1503" t="inlineStr">
        <is>
          <t>0.03</t>
        </is>
      </c>
      <c r="K1503"/>
      <c r="L1503" t="inlineStr">
        <is>
          <t>圆圆呀aaa__的店</t>
        </is>
      </c>
      <c r="M1503">
        <v>11000</v>
      </c>
      <c r="N1503">
        <v>4.61</v>
      </c>
      <c r="O1503">
        <v>46000</v>
      </c>
      <c r="P1503" t="inlineStr">
        <is>
          <t>693e806d691100000193e082</t>
        </is>
      </c>
      <c r="Q1503" t="inlineStr">
        <is>
          <t>🚫重复</t>
        </is>
      </c>
      <c r="R1503" t="inlineStr">
        <is>
          <t>14周</t>
        </is>
      </c>
      <c r="S1503" t="inlineStr">
        <is>
          <t>0.71</t>
        </is>
      </c>
      <c r="T1503" t="inlineStr">
        <is>
          <t>服饰穿搭</t>
        </is>
      </c>
      <c r="U1503" t="inlineStr">
        <is>
          <t>鞋靴箱包</t>
        </is>
      </c>
      <c r="V1503" s="3">
        <v>46112.78107638889</v>
      </c>
      <c r="W1503" t="inlineStr">
        <is>
          <t>2026-Q1</t>
        </is>
      </c>
    </row>
    <row r="1504" ht="25.5" customHeight="1">
      <c r="A1504" t="inlineStr">
        <is>
          <t>杏仁榛果定制人字纹春夏款慵懒随意微弹直筒牛仔裤运动长裤 #2332</t>
        </is>
      </c>
      <c r="B1504" t="inlineStr">
        <is>
          <t>recvekduUIa60B.jpg</t>
        </is>
      </c>
      <c r="C1504" s="2" t="str">
        <f>=HYPERLINK("https://xhslink.com/m/6vmT2QFEdQA", "https://xhslink.com/m/6vmT2QFEdQA")</f>
        <v>https://xhslink.com/m/6vmT2QFEdQA</v>
      </c>
      <c r="D1504"/>
      <c r="E1504">
        <v>14000</v>
      </c>
      <c r="F1504">
        <v>159</v>
      </c>
      <c r="G1504">
        <v>144</v>
      </c>
      <c r="H1504">
        <v>200</v>
      </c>
      <c r="I1504" t="inlineStr">
        <is>
          <t>牛仔裤</t>
        </is>
      </c>
      <c r="J1504" t="inlineStr">
        <is>
          <t>0.01</t>
        </is>
      </c>
      <c r="K1504"/>
      <c r="L1504" t="inlineStr">
        <is>
          <t>敏儿Miner的店</t>
        </is>
      </c>
      <c r="M1504">
        <v>21000</v>
      </c>
      <c r="N1504">
        <v>4.47</v>
      </c>
      <c r="O1504">
        <v>124000</v>
      </c>
      <c r="P1504" t="inlineStr">
        <is>
          <t>69b2d9967c9c8f0001516431</t>
        </is>
      </c>
      <c r="Q1504" t="inlineStr">
        <is>
          <t>🚫重复</t>
        </is>
      </c>
      <c r="R1504" t="inlineStr">
        <is>
          <t>14周</t>
        </is>
      </c>
      <c r="S1504" t="inlineStr">
        <is>
          <t>0.67</t>
        </is>
      </c>
      <c r="T1504" t="inlineStr">
        <is>
          <t>服饰穿搭</t>
        </is>
      </c>
      <c r="U1504" t="inlineStr">
        <is>
          <t>女装</t>
        </is>
      </c>
      <c r="V1504" s="3">
        <v>46112.78107638889</v>
      </c>
      <c r="W1504" t="inlineStr">
        <is>
          <t>2026-Q1</t>
        </is>
      </c>
    </row>
    <row r="1505" ht="25.5" customHeight="1">
      <c r="A1505" t="inlineStr">
        <is>
          <t>栀禾*多巴胺美式高腰宽松直筒阔腿裤拖地牛仔裤</t>
        </is>
      </c>
      <c r="B1505" t="inlineStr">
        <is>
          <t>recvekduUImgJT.jpg</t>
        </is>
      </c>
      <c r="C1505" s="2" t="str">
        <f>=HYPERLINK("https://xhslink.com/m/1JfUFrlIsry", "https://xhslink.com/m/1JfUFrlIsry")</f>
        <v>https://xhslink.com/m/1JfUFrlIsry</v>
      </c>
      <c r="D1505"/>
      <c r="E1505">
        <v>7643</v>
      </c>
      <c r="F1505">
        <v>92</v>
      </c>
      <c r="G1505">
        <v>86</v>
      </c>
      <c r="H1505">
        <v>200</v>
      </c>
      <c r="I1505" t="inlineStr">
        <is>
          <t>牛仔裤</t>
        </is>
      </c>
      <c r="J1505" t="inlineStr">
        <is>
          <t>0.03</t>
        </is>
      </c>
      <c r="K1505"/>
      <c r="L1505" t="inlineStr">
        <is>
          <t>栀禾服饰的店</t>
        </is>
      </c>
      <c r="M1505">
        <v>9661</v>
      </c>
      <c r="N1505">
        <v>4.58</v>
      </c>
      <c r="O1505">
        <v>51000</v>
      </c>
      <c r="P1505" t="inlineStr">
        <is>
          <t>689ae5e6d3dd4d00011316ec</t>
        </is>
      </c>
      <c r="Q1505" t="inlineStr">
        <is>
          <t>🚫重复</t>
        </is>
      </c>
      <c r="R1505" t="inlineStr">
        <is>
          <t>14周</t>
        </is>
      </c>
      <c r="S1505" t="inlineStr">
        <is>
          <t>0.79</t>
        </is>
      </c>
      <c r="T1505" t="inlineStr">
        <is>
          <t>服饰穿搭</t>
        </is>
      </c>
      <c r="U1505" t="inlineStr">
        <is>
          <t>女装</t>
        </is>
      </c>
      <c r="V1505" s="3">
        <v>46112.78107638889</v>
      </c>
      <c r="W1505" t="inlineStr">
        <is>
          <t>2026-Q1</t>
        </is>
      </c>
    </row>
    <row r="1506" ht="25.5" customHeight="1">
      <c r="A1506" t="inlineStr">
        <is>
          <t>【最后十天限时直降50】360度四面弹百搭显瘦不贴腿微喇牛仔裤梨</t>
        </is>
      </c>
      <c r="B1506" t="inlineStr">
        <is>
          <t>recvekduUIIXwE.jpg</t>
        </is>
      </c>
      <c r="C1506" s="2" t="str">
        <f>=HYPERLINK("https://xhslink.com/m/ASQjl4DtmDy", "https://xhslink.com/m/ASQjl4DtmDy")</f>
        <v>https://xhslink.com/m/ASQjl4DtmDy</v>
      </c>
      <c r="D1506"/>
      <c r="E1506">
        <v>2427</v>
      </c>
      <c r="F1506">
        <v>229</v>
      </c>
      <c r="G1506">
        <v>164</v>
      </c>
      <c r="H1506">
        <v>200</v>
      </c>
      <c r="I1506" t="inlineStr">
        <is>
          <t>牛仔裤</t>
        </is>
      </c>
      <c r="J1506" t="inlineStr">
        <is>
          <t>0.08</t>
        </is>
      </c>
      <c r="K1506" t="inlineStr">
        <is>
          <t>🔥低粉爆款</t>
        </is>
      </c>
      <c r="L1506" t="inlineStr">
        <is>
          <t>大李和小李的店</t>
        </is>
      </c>
      <c r="M1506">
        <v>417</v>
      </c>
      <c r="N1506">
        <v>4.61</v>
      </c>
      <c r="O1506">
        <v>2690</v>
      </c>
      <c r="P1506" t="inlineStr">
        <is>
          <t>674353e59d499900010fbcb3</t>
        </is>
      </c>
      <c r="Q1506"/>
      <c r="R1506" t="inlineStr">
        <is>
          <t>14周</t>
        </is>
      </c>
      <c r="S1506" t="inlineStr">
        <is>
          <t>5.82</t>
        </is>
      </c>
      <c r="T1506" t="inlineStr">
        <is>
          <t>服饰穿搭</t>
        </is>
      </c>
      <c r="U1506" t="inlineStr">
        <is>
          <t>女装</t>
        </is>
      </c>
      <c r="V1506" s="3">
        <v>46112.78107638889</v>
      </c>
      <c r="W1506" t="inlineStr">
        <is>
          <t>2026-Q1</t>
        </is>
      </c>
    </row>
    <row r="1507" ht="25.5" customHeight="1">
      <c r="A1507" t="inlineStr">
        <is>
          <t>咖色大码韩版直筒牛仔裤女胖mm秋宽松显瘦休闲阔腿长裤子88795</t>
        </is>
      </c>
      <c r="B1507" t="inlineStr">
        <is>
          <t>recvekduUIwKnn.jpg</t>
        </is>
      </c>
      <c r="C1507" s="2" t="str">
        <f>=HYPERLINK("https://xhslink.com/m/2XTLCJXhLRx", "https://xhslink.com/m/2XTLCJXhLRx")</f>
        <v>https://xhslink.com/m/2XTLCJXhLRx</v>
      </c>
      <c r="D1507"/>
      <c r="E1507">
        <v>8227</v>
      </c>
      <c r="F1507">
        <v>89</v>
      </c>
      <c r="G1507">
        <v>81</v>
      </c>
      <c r="H1507">
        <v>200</v>
      </c>
      <c r="I1507" t="inlineStr">
        <is>
          <t>牛仔裤</t>
        </is>
      </c>
      <c r="J1507" t="inlineStr">
        <is>
          <t>0.02</t>
        </is>
      </c>
      <c r="K1507"/>
      <c r="L1507" t="inlineStr">
        <is>
          <t>150斤的泡泡的店</t>
        </is>
      </c>
      <c r="M1507">
        <v>14000</v>
      </c>
      <c r="N1507">
        <v>4.76</v>
      </c>
      <c r="O1507">
        <v>41000</v>
      </c>
      <c r="P1507" t="inlineStr">
        <is>
          <t>68e35fa1f8d1f000015fbf89</t>
        </is>
      </c>
      <c r="Q1507"/>
      <c r="R1507" t="inlineStr">
        <is>
          <t>14周</t>
        </is>
      </c>
      <c r="S1507" t="inlineStr">
        <is>
          <t>0.59</t>
        </is>
      </c>
      <c r="T1507" t="inlineStr">
        <is>
          <t>服饰穿搭</t>
        </is>
      </c>
      <c r="U1507" t="inlineStr">
        <is>
          <t>女装</t>
        </is>
      </c>
      <c r="V1507" s="3">
        <v>46112.78107638889</v>
      </c>
      <c r="W1507" t="inlineStr">
        <is>
          <t>2026-Q1</t>
        </is>
      </c>
    </row>
    <row r="1508" ht="25.5" customHeight="1">
      <c r="A1508" t="inlineStr">
        <is>
          <t>【董饱饱手作馄饨】60任选5盒加购自动改价手作早餐</t>
        </is>
      </c>
      <c r="B1508" t="inlineStr">
        <is>
          <t>recvekduUIRMNE.jpg</t>
        </is>
      </c>
      <c r="C1508" s="2" t="str">
        <f>=HYPERLINK("https://xhslink.com/m/4OKPtP52NCj", "https://xhslink.com/m/4OKPtP52NCj")</f>
        <v>https://xhslink.com/m/4OKPtP52NCj</v>
      </c>
      <c r="D1508"/>
      <c r="E1508">
        <v>22000</v>
      </c>
      <c r="F1508">
        <v>30</v>
      </c>
      <c r="G1508"/>
      <c r="H1508">
        <v>200</v>
      </c>
      <c r="I1508" t="inlineStr">
        <is>
          <t>速食冻品</t>
        </is>
      </c>
      <c r="J1508" t="inlineStr">
        <is>
          <t>0.01</t>
        </is>
      </c>
      <c r="K1508"/>
      <c r="L1508" t="inlineStr">
        <is>
          <t>董饱饱手作工坊的店</t>
        </is>
      </c>
      <c r="M1508">
        <v>54000</v>
      </c>
      <c r="N1508">
        <v>4.64</v>
      </c>
      <c r="O1508">
        <v>918000</v>
      </c>
      <c r="P1508" t="inlineStr">
        <is>
          <t>691bdebc6ea74e000199eaa5</t>
        </is>
      </c>
      <c r="Q1508" t="inlineStr">
        <is>
          <t>🚫重复</t>
        </is>
      </c>
      <c r="R1508" t="inlineStr">
        <is>
          <t>14周</t>
        </is>
      </c>
      <c r="S1508" t="inlineStr">
        <is>
          <t>0.41</t>
        </is>
      </c>
      <c r="T1508" t="inlineStr">
        <is>
          <t>美食滋补</t>
        </is>
      </c>
      <c r="U1508" t="inlineStr">
        <is>
          <t>休闲零食</t>
        </is>
      </c>
      <c r="V1508" s="3">
        <v>46112.78107638889</v>
      </c>
      <c r="W1508" t="inlineStr">
        <is>
          <t>2026-Q1</t>
        </is>
      </c>
    </row>
    <row r="1509" ht="25.5" customHeight="1">
      <c r="A1509" t="inlineStr">
        <is>
          <t>锋味派 · 嵊州老面小笼包黑猪肉小笼包子速食早餐半成品早饭速冻面点包子</t>
        </is>
      </c>
      <c r="B1509" t="inlineStr">
        <is>
          <t>recvekduUI8CIv.jpg</t>
        </is>
      </c>
      <c r="C1509" s="2" t="str">
        <f>=HYPERLINK("https://xhslink.com/m/3hbRQ2ljv8a", "https://xhslink.com/m/3hbRQ2ljv8a")</f>
        <v>https://xhslink.com/m/3hbRQ2ljv8a</v>
      </c>
      <c r="D1509"/>
      <c r="E1509">
        <v>54000</v>
      </c>
      <c r="F1509">
        <v>119.9</v>
      </c>
      <c r="G1509">
        <v>89.9</v>
      </c>
      <c r="H1509">
        <v>200</v>
      </c>
      <c r="I1509" t="inlineStr">
        <is>
          <t>速食冻品</t>
        </is>
      </c>
      <c r="J1509" t="inlineStr">
        <is>
          <t>0.00</t>
        </is>
      </c>
      <c r="K1509"/>
      <c r="L1509" t="inlineStr">
        <is>
          <t>锋味派旗舰店</t>
        </is>
      </c>
      <c r="M1509">
        <v>352000</v>
      </c>
      <c r="N1509">
        <v>4.77</v>
      </c>
      <c r="O1509">
        <v>548000</v>
      </c>
      <c r="P1509" t="inlineStr">
        <is>
          <t>68ec93bbc192ac0001cbfa6e</t>
        </is>
      </c>
      <c r="Q1509" t="inlineStr">
        <is>
          <t>🚫重复</t>
        </is>
      </c>
      <c r="R1509" t="inlineStr">
        <is>
          <t>14周</t>
        </is>
      </c>
      <c r="S1509" t="inlineStr">
        <is>
          <t>0.15</t>
        </is>
      </c>
      <c r="T1509" t="inlineStr">
        <is>
          <t>美食滋补</t>
        </is>
      </c>
      <c r="U1509" t="inlineStr">
        <is>
          <t>休闲零食</t>
        </is>
      </c>
      <c r="V1509" s="3">
        <v>46112.78107638889</v>
      </c>
      <c r="W1509" t="inlineStr">
        <is>
          <t>2026-Q1</t>
        </is>
      </c>
    </row>
    <row r="1510" ht="25.5" customHeight="1">
      <c r="A1510" t="inlineStr">
        <is>
          <t>彩虹小番茄多彩七彩圣女果多色混装新鲜采摘精选皮薄多汁孕妈水果</t>
        </is>
      </c>
      <c r="B1510" t="inlineStr">
        <is>
          <t>recvekduUIDRYH.jpg</t>
        </is>
      </c>
      <c r="C1510" s="2" t="str">
        <f>=HYPERLINK("https://xhslink.com/m/6KRVD2P3kX4", "https://xhslink.com/m/6KRVD2P3kX4")</f>
        <v>https://xhslink.com/m/6KRVD2P3kX4</v>
      </c>
      <c r="D1510"/>
      <c r="E1510">
        <v>63000</v>
      </c>
      <c r="F1510">
        <v>38.9</v>
      </c>
      <c r="G1510">
        <v>26.8</v>
      </c>
      <c r="H1510">
        <v>200</v>
      </c>
      <c r="I1510" t="inlineStr">
        <is>
          <t>蔬菜</t>
        </is>
      </c>
      <c r="J1510" t="inlineStr">
        <is>
          <t>0.00</t>
        </is>
      </c>
      <c r="K1510" t="inlineStr">
        <is>
          <t>🔥低粉爆款</t>
        </is>
      </c>
      <c r="L1510" t="inlineStr">
        <is>
          <t>是七七柒吖的店</t>
        </is>
      </c>
      <c r="M1510">
        <v>2536</v>
      </c>
      <c r="N1510">
        <v>4.48</v>
      </c>
      <c r="O1510">
        <v>108000</v>
      </c>
      <c r="P1510" t="inlineStr">
        <is>
          <t>6930fc2746e53000012f6adb</t>
        </is>
      </c>
      <c r="Q1510"/>
      <c r="R1510" t="inlineStr">
        <is>
          <t>14周</t>
        </is>
      </c>
      <c r="S1510" t="inlineStr">
        <is>
          <t>24.84</t>
        </is>
      </c>
      <c r="T1510" t="inlineStr">
        <is>
          <t>美食滋补</t>
        </is>
      </c>
      <c r="U1510" t="inlineStr">
        <is>
          <t>生鲜特产</t>
        </is>
      </c>
      <c r="V1510" s="3">
        <v>46112.78107638889</v>
      </c>
      <c r="W1510" t="inlineStr">
        <is>
          <t>2026-Q1</t>
        </is>
      </c>
    </row>
    <row r="1511" ht="25.5" customHeight="1">
      <c r="A1511" t="inlineStr">
        <is>
          <t>山东玉女黄瓜拇指脆甜爽口黄瓜清甜蔬菜孕妇水果代餐</t>
        </is>
      </c>
      <c r="B1511" t="inlineStr">
        <is>
          <t>recvekduUICk76.jpg</t>
        </is>
      </c>
      <c r="C1511" s="2" t="str">
        <f>=HYPERLINK("https://xhslink.com/m/21p6CdEFS2c", "https://xhslink.com/m/21p6CdEFS2c")</f>
        <v>https://xhslink.com/m/21p6CdEFS2c</v>
      </c>
      <c r="D1511"/>
      <c r="E1511">
        <v>7316</v>
      </c>
      <c r="F1511">
        <v>56.2</v>
      </c>
      <c r="G1511">
        <v>23.8</v>
      </c>
      <c r="H1511">
        <v>200</v>
      </c>
      <c r="I1511" t="inlineStr">
        <is>
          <t>蔬菜</t>
        </is>
      </c>
      <c r="J1511" t="inlineStr">
        <is>
          <t>0.03</t>
        </is>
      </c>
      <c r="K1511" t="inlineStr">
        <is>
          <t>🔥低粉爆款</t>
        </is>
      </c>
      <c r="L1511" t="inlineStr">
        <is>
          <t>小迟爱吃水果的店</t>
        </is>
      </c>
      <c r="M1511">
        <v>488</v>
      </c>
      <c r="N1511">
        <v>4.61</v>
      </c>
      <c r="O1511">
        <v>7505</v>
      </c>
      <c r="P1511" t="inlineStr">
        <is>
          <t>691bdf27611c010001ae5e75</t>
        </is>
      </c>
      <c r="Q1511" t="inlineStr">
        <is>
          <t>🚫重复</t>
        </is>
      </c>
      <c r="R1511" t="inlineStr">
        <is>
          <t>14周</t>
        </is>
      </c>
      <c r="S1511" t="inlineStr">
        <is>
          <t>14.99</t>
        </is>
      </c>
      <c r="T1511" t="inlineStr">
        <is>
          <t>美食滋补</t>
        </is>
      </c>
      <c r="U1511" t="inlineStr">
        <is>
          <t>休闲零食</t>
        </is>
      </c>
      <c r="V1511" s="3">
        <v>46112.78107638889</v>
      </c>
      <c r="W1511" t="inlineStr">
        <is>
          <t>2026-Q1</t>
        </is>
      </c>
    </row>
    <row r="1512" ht="25.5" customHeight="1">
      <c r="A1512" t="inlineStr">
        <is>
          <t>山东南瓜拼装·绿贝贝·奶油·金贝贝南瓜·粉糯香甜·顺丰</t>
        </is>
      </c>
      <c r="B1512" t="inlineStr">
        <is>
          <t>recvekduUIAkLG.jpg</t>
        </is>
      </c>
      <c r="C1512" s="2" t="str">
        <f>=HYPERLINK("https://xhslink.com/m/2n7uOutWaqL", "https://xhslink.com/m/2n7uOutWaqL")</f>
        <v>https://xhslink.com/m/2n7uOutWaqL</v>
      </c>
      <c r="D1512"/>
      <c r="E1512">
        <v>7860</v>
      </c>
      <c r="F1512">
        <v>59.9</v>
      </c>
      <c r="G1512">
        <v>49.9</v>
      </c>
      <c r="H1512">
        <v>200</v>
      </c>
      <c r="I1512" t="inlineStr">
        <is>
          <t>蔬菜</t>
        </is>
      </c>
      <c r="J1512" t="inlineStr">
        <is>
          <t>0.03</t>
        </is>
      </c>
      <c r="K1512"/>
      <c r="L1512" t="inlineStr">
        <is>
          <t>桃掌柜果蔬的店</t>
        </is>
      </c>
      <c r="M1512">
        <v>60000</v>
      </c>
      <c r="N1512">
        <v>4.74</v>
      </c>
      <c r="O1512">
        <v>1162000</v>
      </c>
      <c r="P1512" t="inlineStr">
        <is>
          <t>68a050bfb7465e00011e350f</t>
        </is>
      </c>
      <c r="Q1512" t="inlineStr">
        <is>
          <t>🚫重复</t>
        </is>
      </c>
      <c r="R1512" t="inlineStr">
        <is>
          <t>14周</t>
        </is>
      </c>
      <c r="S1512" t="inlineStr">
        <is>
          <t>0.13</t>
        </is>
      </c>
      <c r="T1512" t="inlineStr">
        <is>
          <t>运动潮玩</t>
        </is>
      </c>
      <c r="U1512" t="inlineStr">
        <is>
          <t>潮玩手办</t>
        </is>
      </c>
      <c r="V1512" s="3">
        <v>46112.78107638889</v>
      </c>
      <c r="W1512" t="inlineStr">
        <is>
          <t>2026-Q1</t>
        </is>
      </c>
    </row>
    <row r="1513" ht="25.5" customHeight="1">
      <c r="A1513" t="inlineStr">
        <is>
          <t>新鲜现摘圣女果小番茄水果商超精品小番茄新鲜应季水果</t>
        </is>
      </c>
      <c r="B1513" t="inlineStr">
        <is>
          <t>recvekduUIU4q2.jpg</t>
        </is>
      </c>
      <c r="C1513" s="2" t="str">
        <f>=HYPERLINK("https://xhslink.com/m/3NkO4w0uC41", "https://xhslink.com/m/3NkO4w0uC41")</f>
        <v>https://xhslink.com/m/3NkO4w0uC41</v>
      </c>
      <c r="D1513"/>
      <c r="E1513">
        <v>9833</v>
      </c>
      <c r="F1513">
        <v>30.6</v>
      </c>
      <c r="G1513">
        <v>18.6</v>
      </c>
      <c r="H1513">
        <v>200</v>
      </c>
      <c r="I1513" t="inlineStr">
        <is>
          <t>蔬菜</t>
        </is>
      </c>
      <c r="J1513" t="inlineStr">
        <is>
          <t>0.02</t>
        </is>
      </c>
      <c r="K1513" t="inlineStr">
        <is>
          <t>🔥低粉爆款</t>
        </is>
      </c>
      <c r="L1513" t="inlineStr">
        <is>
          <t>圣女果酱酱的店</t>
        </is>
      </c>
      <c r="M1513">
        <v>82</v>
      </c>
      <c r="N1513">
        <v>4.54</v>
      </c>
      <c r="O1513">
        <v>10000</v>
      </c>
      <c r="P1513" t="inlineStr">
        <is>
          <t>695b29b400d7620001695602</t>
        </is>
      </c>
      <c r="Q1513" t="inlineStr">
        <is>
          <t>🚫重复</t>
        </is>
      </c>
      <c r="R1513" t="inlineStr">
        <is>
          <t>14周</t>
        </is>
      </c>
      <c r="S1513" t="inlineStr">
        <is>
          <t>119.91</t>
        </is>
      </c>
      <c r="T1513" t="inlineStr">
        <is>
          <t>美食滋补</t>
        </is>
      </c>
      <c r="U1513" t="inlineStr">
        <is>
          <t>生鲜特产</t>
        </is>
      </c>
      <c r="V1513" s="3">
        <v>46112.78107638889</v>
      </c>
      <c r="W1513" t="inlineStr">
        <is>
          <t>2026-Q1</t>
        </is>
      </c>
    </row>
    <row r="1514" ht="25.5" customHeight="1">
      <c r="A1514" t="inlineStr">
        <is>
          <t>马来西亚Bliese香氛车载香薰室内衣柜挂式香水留香持久水果香花香</t>
        </is>
      </c>
      <c r="B1514" t="inlineStr">
        <is>
          <t>recvekduUIEbWs.jpg</t>
        </is>
      </c>
      <c r="C1514" s="2" t="str">
        <f>=HYPERLINK("https://xhslink.com/m/84KesoIF6Kf", "https://xhslink.com/m/84KesoIF6Kf")</f>
        <v>https://xhslink.com/m/84KesoIF6Kf</v>
      </c>
      <c r="D1514"/>
      <c r="E1514">
        <v>9192</v>
      </c>
      <c r="F1514">
        <v>34.9</v>
      </c>
      <c r="G1514">
        <v>24.9</v>
      </c>
      <c r="H1514">
        <v>200</v>
      </c>
      <c r="I1514" t="inlineStr">
        <is>
          <t>车载香薰</t>
        </is>
      </c>
      <c r="J1514" t="inlineStr">
        <is>
          <t>0.02</t>
        </is>
      </c>
      <c r="K1514" t="inlineStr">
        <is>
          <t>🔥低粉爆款</t>
        </is>
      </c>
      <c r="L1514" t="inlineStr">
        <is>
          <t>是菜菜呀～的店</t>
        </is>
      </c>
      <c r="M1514">
        <v>147</v>
      </c>
      <c r="N1514">
        <v>3.94</v>
      </c>
      <c r="O1514">
        <v>9632</v>
      </c>
      <c r="P1514" t="inlineStr">
        <is>
          <t>68e7cd9d7d3b3f000102e624</t>
        </is>
      </c>
      <c r="Q1514"/>
      <c r="R1514" t="inlineStr">
        <is>
          <t>14周</t>
        </is>
      </c>
      <c r="S1514" t="inlineStr">
        <is>
          <t>62.53</t>
        </is>
      </c>
      <c r="T1514" t="inlineStr">
        <is>
          <t>家居生活</t>
        </is>
      </c>
      <c r="U1514" t="inlineStr">
        <is>
          <t>家居日用</t>
        </is>
      </c>
      <c r="V1514" s="3">
        <v>46112.78107638889</v>
      </c>
      <c r="W1514" t="inlineStr">
        <is>
          <t>2026-Q1</t>
        </is>
      </c>
    </row>
    <row r="1515" ht="25.5" customHeight="1">
      <c r="A1515" t="inlineStr">
        <is>
          <t>知伞 · 【复古碎花木纹手柄晴雨伞】黑胶手动晴雨两用遮阳伞防晒防紫外线</t>
        </is>
      </c>
      <c r="B1515" t="inlineStr">
        <is>
          <t>recvekduUIn6e5.jpg</t>
        </is>
      </c>
      <c r="C1515" s="2" t="str">
        <f>=HYPERLINK("https://xhslink.com/m/4sFXLXfVrdO", "https://xhslink.com/m/4sFXLXfVrdO")</f>
        <v>https://xhslink.com/m/4sFXLXfVrdO</v>
      </c>
      <c r="D1515"/>
      <c r="E1515">
        <v>14000</v>
      </c>
      <c r="F1515">
        <v>32.8</v>
      </c>
      <c r="G1515"/>
      <c r="H1515">
        <v>200</v>
      </c>
      <c r="I1515" t="inlineStr">
        <is>
          <t>伞</t>
        </is>
      </c>
      <c r="J1515" t="inlineStr">
        <is>
          <t>0.01</t>
        </is>
      </c>
      <c r="K1515" t="inlineStr">
        <is>
          <t>🔥低粉爆款</t>
        </is>
      </c>
      <c r="L1515" t="inlineStr">
        <is>
          <t>知伞-烟雨的店</t>
        </is>
      </c>
      <c r="M1515">
        <v>1604</v>
      </c>
      <c r="N1515">
        <v>4.56</v>
      </c>
      <c r="O1515">
        <v>19000</v>
      </c>
      <c r="P1515" t="inlineStr">
        <is>
          <t>68a2a0d933fcf80001791e77</t>
        </is>
      </c>
      <c r="Q1515" t="inlineStr">
        <is>
          <t>🚫重复</t>
        </is>
      </c>
      <c r="R1515" t="inlineStr">
        <is>
          <t>14周</t>
        </is>
      </c>
      <c r="S1515" t="inlineStr">
        <is>
          <t>8.73</t>
        </is>
      </c>
      <c r="T1515" t="inlineStr">
        <is>
          <t>家居生活</t>
        </is>
      </c>
      <c r="U1515" t="inlineStr">
        <is>
          <t>家居日用</t>
        </is>
      </c>
      <c r="V1515" s="3">
        <v>46112.78107638889</v>
      </c>
      <c r="W1515" t="inlineStr">
        <is>
          <t>2026-Q1</t>
        </is>
      </c>
    </row>
    <row r="1516" ht="25.5" customHeight="1">
      <c r="A1516" t="inlineStr">
        <is>
          <t>基础款圆领正肩短袖t恤纯棉打底体恤显瘦修身气质大码上衣女</t>
        </is>
      </c>
      <c r="B1516" t="inlineStr">
        <is>
          <t>recveqrflnVvwM.jpg</t>
        </is>
      </c>
      <c r="C1516" s="2" t="str">
        <f>=HYPERLINK("https://xhslink.com/m/1ciOoeMMO5n", "https://xhslink.com/m/1ciOoeMMO5n")</f>
        <v>https://xhslink.com/m/1ciOoeMMO5n</v>
      </c>
      <c r="D1516"/>
      <c r="E1516">
        <v>116000</v>
      </c>
      <c r="F1516">
        <v>69</v>
      </c>
      <c r="G1516"/>
      <c r="H1516">
        <v>200</v>
      </c>
      <c r="I1516" t="inlineStr">
        <is>
          <t>T恤</t>
        </is>
      </c>
      <c r="J1516" t="inlineStr">
        <is>
          <t>0.00</t>
        </is>
      </c>
      <c r="K1516"/>
      <c r="L1516" t="inlineStr">
        <is>
          <t>夕文的店</t>
        </is>
      </c>
      <c r="M1516">
        <v>55000</v>
      </c>
      <c r="N1516">
        <v>4.62</v>
      </c>
      <c r="O1516">
        <v>265000</v>
      </c>
      <c r="P1516" t="inlineStr">
        <is>
          <t>65f31b855563ee000117cc1b</t>
        </is>
      </c>
      <c r="Q1516" t="inlineStr">
        <is>
          <t>🚫重复</t>
        </is>
      </c>
      <c r="R1516" t="inlineStr">
        <is>
          <t>14周</t>
        </is>
      </c>
      <c r="S1516" t="inlineStr">
        <is>
          <t>2.11</t>
        </is>
      </c>
      <c r="T1516" t="inlineStr">
        <is>
          <t>服饰穿搭</t>
        </is>
      </c>
      <c r="U1516" t="inlineStr">
        <is>
          <t>女装</t>
        </is>
      </c>
      <c r="V1516" s="3">
        <v>46112.78107638889</v>
      </c>
      <c r="W1516" t="inlineStr">
        <is>
          <t>2026-Q1</t>
        </is>
      </c>
    </row>
    <row r="1517" ht="25.5" customHeight="1">
      <c r="A1517" t="inlineStr">
        <is>
          <t>【MSJ】【全额运补】春夏山系轻薄弹力透气速干长袖DX-26012CS</t>
        </is>
      </c>
      <c r="B1517" t="inlineStr">
        <is>
          <t>recveqrflnRBT0.jpg</t>
        </is>
      </c>
      <c r="C1517" s="2" t="str">
        <f>=HYPERLINK("https://xhslink.com/m/7dejqcVABUf", "https://xhslink.com/m/7dejqcVABUf")</f>
        <v>https://xhslink.com/m/7dejqcVABUf</v>
      </c>
      <c r="D1517"/>
      <c r="E1517">
        <v>1301</v>
      </c>
      <c r="F1517">
        <v>75</v>
      </c>
      <c r="G1517"/>
      <c r="H1517">
        <v>200</v>
      </c>
      <c r="I1517" t="inlineStr">
        <is>
          <t>T恤</t>
        </is>
      </c>
      <c r="J1517" t="inlineStr">
        <is>
          <t>0.15</t>
        </is>
      </c>
      <c r="K1517" t="inlineStr">
        <is>
          <t>🔥低粉爆款</t>
        </is>
      </c>
      <c r="L1517" t="inlineStr">
        <is>
          <t>MIN SAN JIN山系的店</t>
        </is>
      </c>
      <c r="M1517">
        <v>66</v>
      </c>
      <c r="N1517">
        <v>4.49</v>
      </c>
      <c r="O1517">
        <v>20000</v>
      </c>
      <c r="P1517" t="inlineStr">
        <is>
          <t>69aeaab4c13d0f0015ded4c2</t>
        </is>
      </c>
      <c r="Q1517" t="inlineStr">
        <is>
          <t>🚫重复</t>
        </is>
      </c>
      <c r="R1517" t="inlineStr">
        <is>
          <t>14周</t>
        </is>
      </c>
      <c r="S1517" t="inlineStr">
        <is>
          <t>19.71</t>
        </is>
      </c>
      <c r="T1517" t="inlineStr">
        <is>
          <t>服饰穿搭</t>
        </is>
      </c>
      <c r="U1517" t="inlineStr">
        <is>
          <t>女装</t>
        </is>
      </c>
      <c r="V1517" s="3">
        <v>46112.78107638889</v>
      </c>
      <c r="W1517" t="inlineStr">
        <is>
          <t>2026-Q1</t>
        </is>
      </c>
    </row>
    <row r="1518" ht="25.5" customHeight="1">
      <c r="A1518" t="inlineStr">
        <is>
          <t>【肌肉老鼠·落肩短袖】搞怪纯棉印花男女同款宽松学生短袖T恤</t>
        </is>
      </c>
      <c r="B1518" t="inlineStr">
        <is>
          <t>recveqrfln8odx.jpg</t>
        </is>
      </c>
      <c r="C1518" s="2" t="str">
        <f>=HYPERLINK("https://xhslink.com/m/7FLJXLddV8Q", "https://xhslink.com/m/7FLJXLddV8Q")</f>
        <v>https://xhslink.com/m/7FLJXLddV8Q</v>
      </c>
      <c r="D1518"/>
      <c r="E1518">
        <v>322</v>
      </c>
      <c r="F1518">
        <v>38.9</v>
      </c>
      <c r="G1518">
        <v>34.23</v>
      </c>
      <c r="H1518">
        <v>200</v>
      </c>
      <c r="I1518" t="inlineStr">
        <is>
          <t>T恤</t>
        </is>
      </c>
      <c r="J1518" t="inlineStr">
        <is>
          <t>0.62</t>
        </is>
      </c>
      <c r="K1518"/>
      <c r="L1518" t="inlineStr">
        <is>
          <t>小Y手绘衣坊的店</t>
        </is>
      </c>
      <c r="M1518">
        <v>768</v>
      </c>
      <c r="N1518">
        <v>4.76</v>
      </c>
      <c r="O1518">
        <v>7041</v>
      </c>
      <c r="P1518" t="inlineStr">
        <is>
          <t>69ad8b39f209ba0001e29d9a</t>
        </is>
      </c>
      <c r="Q1518" t="inlineStr">
        <is>
          <t>🚫重复</t>
        </is>
      </c>
      <c r="R1518" t="inlineStr">
        <is>
          <t>14周</t>
        </is>
      </c>
      <c r="S1518" t="inlineStr">
        <is>
          <t>0.42</t>
        </is>
      </c>
      <c r="T1518" t="inlineStr">
        <is>
          <t>服饰穿搭</t>
        </is>
      </c>
      <c r="U1518" t="inlineStr">
        <is>
          <t>女装</t>
        </is>
      </c>
      <c r="V1518" s="3">
        <v>46112.78107638889</v>
      </c>
      <c r="W1518" t="inlineStr">
        <is>
          <t>2026-Q1</t>
        </is>
      </c>
    </row>
    <row r="1519" ht="25.5" customHeight="1">
      <c r="A1519" t="inlineStr">
        <is>
          <t>文艺复兴 · 袜子女春夏小腿袜压力袜功能袜跑步跳绳吸汗透气拼色健身袜</t>
        </is>
      </c>
      <c r="B1519" t="inlineStr">
        <is>
          <t>recveqrflnhCI9.jpg</t>
        </is>
      </c>
      <c r="C1519" s="2" t="str">
        <f>=HYPERLINK("https://xhslink.com/m/5mZhMmWK63y", "https://xhslink.com/m/5mZhMmWK63y")</f>
        <v>https://xhslink.com/m/5mZhMmWK63y</v>
      </c>
      <c r="D1519"/>
      <c r="E1519">
        <v>35000</v>
      </c>
      <c r="F1519">
        <v>19.8</v>
      </c>
      <c r="G1519"/>
      <c r="H1519">
        <v>200</v>
      </c>
      <c r="I1519" t="inlineStr">
        <is>
          <t>T恤</t>
        </is>
      </c>
      <c r="J1519" t="inlineStr">
        <is>
          <t>0.01</t>
        </is>
      </c>
      <c r="K1519" t="inlineStr">
        <is>
          <t>🔥低粉爆款</t>
        </is>
      </c>
      <c r="L1519" t="inlineStr">
        <is>
          <t>文艺复兴旗舰店</t>
        </is>
      </c>
      <c r="M1519">
        <v>4362</v>
      </c>
      <c r="N1519">
        <v>4.51</v>
      </c>
      <c r="O1519">
        <v>98000</v>
      </c>
      <c r="P1519" t="inlineStr">
        <is>
          <t>69af874cf209ba00011a0ec7</t>
        </is>
      </c>
      <c r="Q1519"/>
      <c r="R1519" t="inlineStr">
        <is>
          <t>14周</t>
        </is>
      </c>
      <c r="S1519" t="inlineStr">
        <is>
          <t>8.02</t>
        </is>
      </c>
      <c r="T1519" t="inlineStr">
        <is>
          <t>运动潮玩</t>
        </is>
      </c>
      <c r="U1519" t="inlineStr">
        <is>
          <t>运动户外装备</t>
        </is>
      </c>
      <c r="V1519" s="3">
        <v>46112.78107638889</v>
      </c>
      <c r="W1519" t="inlineStr">
        <is>
          <t>2026-Q1</t>
        </is>
      </c>
    </row>
    <row r="1520" ht="25.5" customHeight="1">
      <c r="A1520" t="inlineStr">
        <is>
          <t>瑜伽服女健身背心无袖速干运动打底衫夏季瑜伽健身透气显瘦上衣</t>
        </is>
      </c>
      <c r="B1520" t="inlineStr">
        <is>
          <t>recveqrflnKPio.jpg</t>
        </is>
      </c>
      <c r="C1520" s="2" t="str">
        <f>=HYPERLINK("https://xhslink.com/m/8NOFMmZSLmO", "https://xhslink.com/m/8NOFMmZSLmO")</f>
        <v>https://xhslink.com/m/8NOFMmZSLmO</v>
      </c>
      <c r="D1520"/>
      <c r="E1520">
        <v>10000</v>
      </c>
      <c r="F1520">
        <v>89</v>
      </c>
      <c r="G1520"/>
      <c r="H1520">
        <v>200</v>
      </c>
      <c r="I1520" t="inlineStr">
        <is>
          <t>运动内衣</t>
        </is>
      </c>
      <c r="J1520" t="inlineStr">
        <is>
          <t>0.02</t>
        </is>
      </c>
      <c r="K1520" t="inlineStr">
        <is>
          <t>🔥低粉爆款</t>
        </is>
      </c>
      <c r="L1520" t="inlineStr">
        <is>
          <t>小橘M的店</t>
        </is>
      </c>
      <c r="M1520">
        <v>2624</v>
      </c>
      <c r="N1520">
        <v>4.62</v>
      </c>
      <c r="O1520">
        <v>28000</v>
      </c>
      <c r="P1520" t="inlineStr">
        <is>
          <t>67dbd7b384926e0001028282</t>
        </is>
      </c>
      <c r="Q1520" t="inlineStr">
        <is>
          <t>🚫重复</t>
        </is>
      </c>
      <c r="R1520" t="inlineStr">
        <is>
          <t>14周</t>
        </is>
      </c>
      <c r="S1520" t="inlineStr">
        <is>
          <t>3.81</t>
        </is>
      </c>
      <c r="T1520" t="inlineStr">
        <is>
          <t>服饰穿搭</t>
        </is>
      </c>
      <c r="U1520" t="inlineStr">
        <is>
          <t>女装</t>
        </is>
      </c>
      <c r="V1520" s="3">
        <v>46112.78107638889</v>
      </c>
      <c r="W1520" t="inlineStr">
        <is>
          <t>2026-Q1</t>
        </is>
      </c>
    </row>
    <row r="1521" ht="25.5" customHeight="1">
      <c r="A1521" t="inlineStr">
        <is>
          <t>拖行日记·不沾灰系列|外贸四季款日系碎花家居拖鞋eva底防滑防水</t>
        </is>
      </c>
      <c r="B1521" t="inlineStr">
        <is>
          <t>recveqrflnA1GX.jpg</t>
        </is>
      </c>
      <c r="C1521" s="2" t="str">
        <f>=HYPERLINK("https://xhslink.com/m/AoTJHoscvtJ", "https://xhslink.com/m/AoTJHoscvtJ")</f>
        <v>https://xhslink.com/m/AoTJHoscvtJ</v>
      </c>
      <c r="D1521"/>
      <c r="E1521">
        <v>999</v>
      </c>
      <c r="F1521">
        <v>49.3</v>
      </c>
      <c r="G1521">
        <v>35.9</v>
      </c>
      <c r="H1521">
        <v>200</v>
      </c>
      <c r="I1521" t="inlineStr">
        <is>
          <t>拖鞋</t>
        </is>
      </c>
      <c r="J1521" t="inlineStr">
        <is>
          <t>0.20</t>
        </is>
      </c>
      <c r="K1521"/>
      <c r="L1521" t="inlineStr">
        <is>
          <t>拖行日记的店</t>
        </is>
      </c>
      <c r="M1521">
        <v>11000</v>
      </c>
      <c r="N1521">
        <v>4.61</v>
      </c>
      <c r="O1521">
        <v>48000</v>
      </c>
      <c r="P1521" t="inlineStr">
        <is>
          <t>696e1a7a8b934200010a6358</t>
        </is>
      </c>
      <c r="Q1521"/>
      <c r="R1521" t="inlineStr">
        <is>
          <t>14周</t>
        </is>
      </c>
      <c r="S1521" t="inlineStr">
        <is>
          <t>0.09</t>
        </is>
      </c>
      <c r="T1521" t="inlineStr">
        <is>
          <t>服饰穿搭</t>
        </is>
      </c>
      <c r="U1521" t="inlineStr">
        <is>
          <t>鞋靴箱包</t>
        </is>
      </c>
      <c r="V1521" s="3">
        <v>46112.78107638889</v>
      </c>
      <c r="W1521" t="inlineStr">
        <is>
          <t>2026-Q1</t>
        </is>
      </c>
    </row>
    <row r="1522" ht="25.5" customHeight="1">
      <c r="A1522" t="inlineStr">
        <is>
          <t>【矮牵牛】10cm盆栽苗（各品种苗情不同）全店满39包邮</t>
        </is>
      </c>
      <c r="B1522" t="inlineStr">
        <is>
          <t>recveqrflnAc7W.jpg</t>
        </is>
      </c>
      <c r="C1522" s="2" t="str">
        <f>=HYPERLINK("https://xhslink.com/m/9oy1rDInZqp", "https://xhslink.com/m/9oy1rDInZqp")</f>
        <v>https://xhslink.com/m/9oy1rDInZqp</v>
      </c>
      <c r="D1522"/>
      <c r="E1522">
        <v>22000</v>
      </c>
      <c r="F1522">
        <v>7.9</v>
      </c>
      <c r="G1522"/>
      <c r="H1522">
        <v>200</v>
      </c>
      <c r="I1522" t="inlineStr">
        <is>
          <t>绿植</t>
        </is>
      </c>
      <c r="J1522" t="inlineStr">
        <is>
          <t>0.01</t>
        </is>
      </c>
      <c r="K1522"/>
      <c r="L1522" t="inlineStr">
        <is>
          <t>深夜种花的男子-48小时内发货的店</t>
        </is>
      </c>
      <c r="M1522">
        <v>28000</v>
      </c>
      <c r="N1522">
        <v>4.57</v>
      </c>
      <c r="O1522">
        <v>160000</v>
      </c>
      <c r="P1522" t="inlineStr">
        <is>
          <t>67e764d4502017000189f845</t>
        </is>
      </c>
      <c r="Q1522" t="inlineStr">
        <is>
          <t>🚫重复</t>
        </is>
      </c>
      <c r="R1522" t="inlineStr">
        <is>
          <t>14周</t>
        </is>
      </c>
      <c r="S1522" t="inlineStr">
        <is>
          <t>0.79</t>
        </is>
      </c>
      <c r="T1522" t="inlineStr">
        <is>
          <t>家居生活</t>
        </is>
      </c>
      <c r="U1522" t="inlineStr">
        <is>
          <t>家具家装</t>
        </is>
      </c>
      <c r="V1522" s="3">
        <v>46112.78107638889</v>
      </c>
      <c r="W1522" t="inlineStr">
        <is>
          <t>2026-Q1</t>
        </is>
      </c>
    </row>
    <row r="1523" ht="25.5" customHeight="1">
      <c r="A1523" t="inlineStr">
        <is>
          <t>【四件套带盆】水培九里香富贵椰子金钻玛丽安室内美观懒人绿植物</t>
        </is>
      </c>
      <c r="B1523" t="inlineStr">
        <is>
          <t>recveqrflnu7CK.jpg</t>
        </is>
      </c>
      <c r="C1523" s="2" t="str">
        <f>=HYPERLINK("https://xhslink.com/m/8BJSFHAxFxh", "https://xhslink.com/m/8BJSFHAxFxh")</f>
        <v>https://xhslink.com/m/8BJSFHAxFxh</v>
      </c>
      <c r="D1523"/>
      <c r="E1523">
        <v>56000</v>
      </c>
      <c r="F1523">
        <v>29.8</v>
      </c>
      <c r="G1523"/>
      <c r="H1523">
        <v>200</v>
      </c>
      <c r="I1523" t="inlineStr">
        <is>
          <t>绿植</t>
        </is>
      </c>
      <c r="J1523" t="inlineStr">
        <is>
          <t>0.00</t>
        </is>
      </c>
      <c r="K1523" t="inlineStr">
        <is>
          <t>🔥低粉爆款</t>
        </is>
      </c>
      <c r="L1523" t="inlineStr">
        <is>
          <t>蓝是蓝忘机的店</t>
        </is>
      </c>
      <c r="M1523">
        <v>6981</v>
      </c>
      <c r="N1523">
        <v>4.54</v>
      </c>
      <c r="O1523">
        <v>85000</v>
      </c>
      <c r="P1523" t="inlineStr">
        <is>
          <t>66adaaaa5271070001605af2</t>
        </is>
      </c>
      <c r="Q1523" t="inlineStr">
        <is>
          <t>🚫重复</t>
        </is>
      </c>
      <c r="R1523" t="inlineStr">
        <is>
          <t>14周</t>
        </is>
      </c>
      <c r="S1523" t="inlineStr">
        <is>
          <t>8.02</t>
        </is>
      </c>
      <c r="T1523" t="inlineStr">
        <is>
          <t>家居生活</t>
        </is>
      </c>
      <c r="U1523" t="inlineStr">
        <is>
          <t>家具家装</t>
        </is>
      </c>
      <c r="V1523" s="3">
        <v>46112.78107638889</v>
      </c>
      <c r="W1523" t="inlineStr">
        <is>
          <t>2026-Q1</t>
        </is>
      </c>
    </row>
    <row r="1524" ht="25.5" customHeight="1">
      <c r="A1524" t="inlineStr">
        <is>
          <t>【矮牵牛】10cm盆栽苗（各品种苗情不同）全店满39包邮</t>
        </is>
      </c>
      <c r="B1524" t="inlineStr">
        <is>
          <t>recveqrflnDU5G.jpg</t>
        </is>
      </c>
      <c r="C1524" s="2" t="str">
        <f>=HYPERLINK("https://xhslink.com/m/A4110Lg1hu", "https://xhslink.com/m/A4110Lg1hu")</f>
        <v>https://xhslink.com/m/A4110Lg1hu</v>
      </c>
      <c r="D1524"/>
      <c r="E1524">
        <v>22000</v>
      </c>
      <c r="F1524">
        <v>7.9</v>
      </c>
      <c r="G1524"/>
      <c r="H1524">
        <v>200</v>
      </c>
      <c r="I1524" t="inlineStr">
        <is>
          <t>绿植</t>
        </is>
      </c>
      <c r="J1524" t="inlineStr">
        <is>
          <t>0.01</t>
        </is>
      </c>
      <c r="K1524"/>
      <c r="L1524" t="inlineStr">
        <is>
          <t>深夜种花的男子-48小时内发货的店</t>
        </is>
      </c>
      <c r="M1524">
        <v>28000</v>
      </c>
      <c r="N1524">
        <v>4.57</v>
      </c>
      <c r="O1524">
        <v>160000</v>
      </c>
      <c r="P1524" t="inlineStr">
        <is>
          <t>6943722a4423c300017083cb</t>
        </is>
      </c>
      <c r="Q1524" t="inlineStr">
        <is>
          <t>🚫重复</t>
        </is>
      </c>
      <c r="R1524" t="inlineStr">
        <is>
          <t>14周</t>
        </is>
      </c>
      <c r="S1524" t="inlineStr">
        <is>
          <t>0.79</t>
        </is>
      </c>
      <c r="T1524" t="inlineStr">
        <is>
          <t>家居生活</t>
        </is>
      </c>
      <c r="U1524" t="inlineStr">
        <is>
          <t>家具家装</t>
        </is>
      </c>
      <c r="V1524" s="3">
        <v>46112.78107638889</v>
      </c>
      <c r="W1524" t="inlineStr">
        <is>
          <t>2026-Q1</t>
        </is>
      </c>
    </row>
    <row r="1525" ht="25.5" customHeight="1">
      <c r="A1525" t="inlineStr">
        <is>
          <t>麦芽森林 · 【绿瀑布直播】枫叶常春藤室内垂吊植物户外净化空气吊兰绿植盆栽</t>
        </is>
      </c>
      <c r="B1525" t="inlineStr">
        <is>
          <t>recveqrflnhcCh.jpg</t>
        </is>
      </c>
      <c r="C1525" s="2" t="str">
        <f>=HYPERLINK("https://xhslink.com/m/62Pm7JNjZXp", "https://xhslink.com/m/62Pm7JNjZXp")</f>
        <v>https://xhslink.com/m/62Pm7JNjZXp</v>
      </c>
      <c r="D1525"/>
      <c r="E1525">
        <v>28000</v>
      </c>
      <c r="F1525">
        <v>49.8</v>
      </c>
      <c r="G1525">
        <v>43.82</v>
      </c>
      <c r="H1525">
        <v>200</v>
      </c>
      <c r="I1525" t="inlineStr">
        <is>
          <t>绿植</t>
        </is>
      </c>
      <c r="J1525" t="inlineStr">
        <is>
          <t>0.01</t>
        </is>
      </c>
      <c r="K1525"/>
      <c r="L1525" t="inlineStr">
        <is>
          <t>麦芽森林的店</t>
        </is>
      </c>
      <c r="M1525">
        <v>141000</v>
      </c>
      <c r="N1525">
        <v>4.42</v>
      </c>
      <c r="O1525">
        <v>89000</v>
      </c>
      <c r="P1525" t="inlineStr">
        <is>
          <t>690db0f41b787900019d2665</t>
        </is>
      </c>
      <c r="Q1525"/>
      <c r="R1525" t="inlineStr">
        <is>
          <t>14周</t>
        </is>
      </c>
      <c r="S1525" t="inlineStr">
        <is>
          <t>0.20</t>
        </is>
      </c>
      <c r="T1525" t="inlineStr">
        <is>
          <t>家居生活</t>
        </is>
      </c>
      <c r="U1525" t="inlineStr">
        <is>
          <t>家具家装</t>
        </is>
      </c>
      <c r="V1525" s="3">
        <v>46112.78107638889</v>
      </c>
      <c r="W1525" t="inlineStr">
        <is>
          <t>2026-Q1</t>
        </is>
      </c>
    </row>
    <row r="1526" ht="25.5" customHeight="1">
      <c r="A1526" t="inlineStr">
        <is>
          <t>【意大莉风铃】花卉盆栽植物</t>
        </is>
      </c>
      <c r="B1526" t="inlineStr">
        <is>
          <t>recveqrfln6Vlg.jpg</t>
        </is>
      </c>
      <c r="C1526" s="2" t="str">
        <f>=HYPERLINK("https://xhslink.com/m/8rSAEAyPhNf", "https://xhslink.com/m/8rSAEAyPhNf")</f>
        <v>https://xhslink.com/m/8rSAEAyPhNf</v>
      </c>
      <c r="D1526"/>
      <c r="E1526">
        <v>3277</v>
      </c>
      <c r="F1526">
        <v>13.99</v>
      </c>
      <c r="G1526"/>
      <c r="H1526">
        <v>200</v>
      </c>
      <c r="I1526" t="inlineStr">
        <is>
          <t>绿植</t>
        </is>
      </c>
      <c r="J1526" t="inlineStr">
        <is>
          <t>0.06</t>
        </is>
      </c>
      <c r="K1526"/>
      <c r="L1526" t="inlineStr">
        <is>
          <t>南植 FLOWERS的店</t>
        </is>
      </c>
      <c r="M1526">
        <v>17000</v>
      </c>
      <c r="N1526">
        <v>4.39</v>
      </c>
      <c r="O1526">
        <v>58000</v>
      </c>
      <c r="P1526" t="inlineStr">
        <is>
          <t>68ecba1d3f741f000175bf8e</t>
        </is>
      </c>
      <c r="Q1526" t="inlineStr">
        <is>
          <t>🚫重复</t>
        </is>
      </c>
      <c r="R1526" t="inlineStr">
        <is>
          <t>14周</t>
        </is>
      </c>
      <c r="S1526" t="inlineStr">
        <is>
          <t>0.19</t>
        </is>
      </c>
      <c r="T1526" t="inlineStr">
        <is>
          <t>家居生活</t>
        </is>
      </c>
      <c r="U1526" t="inlineStr">
        <is>
          <t>家具家装</t>
        </is>
      </c>
      <c r="V1526" s="3">
        <v>46112.78107638889</v>
      </c>
      <c r="W1526" t="inlineStr">
        <is>
          <t>2026-Q1</t>
        </is>
      </c>
    </row>
    <row r="1527" ht="25.5" customHeight="1">
      <c r="A1527" t="inlineStr">
        <is>
          <t>树屋生活 · (硅胶版)苹果桌面摆件 苹果手表支架摆件 表盘支架摆件</t>
        </is>
      </c>
      <c r="B1527" t="inlineStr">
        <is>
          <t>recveqrflnM0hd.jpg</t>
        </is>
      </c>
      <c r="C1527" s="2" t="str">
        <f>=HYPERLINK("https://xhslink.com/m/4Pb2hGLvWMn", "https://xhslink.com/m/4Pb2hGLvWMn")</f>
        <v>https://xhslink.com/m/4Pb2hGLvWMn</v>
      </c>
      <c r="D1527"/>
      <c r="E1527">
        <v>8286</v>
      </c>
      <c r="F1527">
        <v>43</v>
      </c>
      <c r="G1527">
        <v>39</v>
      </c>
      <c r="H1527">
        <v>200</v>
      </c>
      <c r="I1527" t="inlineStr">
        <is>
          <t>摆件</t>
        </is>
      </c>
      <c r="J1527" t="inlineStr">
        <is>
          <t>0.02</t>
        </is>
      </c>
      <c r="K1527"/>
      <c r="L1527" t="inlineStr">
        <is>
          <t>树屋合作社的店</t>
        </is>
      </c>
      <c r="M1527">
        <v>9884</v>
      </c>
      <c r="N1527">
        <v>4.71</v>
      </c>
      <c r="O1527">
        <v>13000</v>
      </c>
      <c r="P1527" t="inlineStr">
        <is>
          <t>667991745edb1d000162d8e6</t>
        </is>
      </c>
      <c r="Q1527"/>
      <c r="R1527" t="inlineStr">
        <is>
          <t>14周</t>
        </is>
      </c>
      <c r="S1527" t="inlineStr">
        <is>
          <t>0.84</t>
        </is>
      </c>
      <c r="T1527" t="inlineStr">
        <is>
          <t>服饰穿搭</t>
        </is>
      </c>
      <c r="U1527" t="inlineStr">
        <is>
          <t>配饰</t>
        </is>
      </c>
      <c r="V1527" s="3">
        <v>46112.78107638889</v>
      </c>
      <c r="W1527" t="inlineStr">
        <is>
          <t>2026-Q1</t>
        </is>
      </c>
    </row>
    <row r="1528" ht="25.5" customHeight="1">
      <c r="A1528" t="inlineStr">
        <is>
          <t>【现货】正版猫猫PAI系列盲盒情绪开演绒fufu生日礼物可爱摆件</t>
        </is>
      </c>
      <c r="B1528" t="inlineStr">
        <is>
          <t>recveqrflnNOC8.jpg</t>
        </is>
      </c>
      <c r="C1528" s="2" t="str">
        <f>=HYPERLINK("https://xhslink.com/m/xT29s1A74q", "https://xhslink.com/m/xT29s1A74q")</f>
        <v>https://xhslink.com/m/xT29s1A74q</v>
      </c>
      <c r="D1528"/>
      <c r="E1528">
        <v>14000</v>
      </c>
      <c r="F1528">
        <v>25.9</v>
      </c>
      <c r="G1528">
        <v>13.9</v>
      </c>
      <c r="H1528">
        <v>200</v>
      </c>
      <c r="I1528" t="inlineStr">
        <is>
          <t>摆件</t>
        </is>
      </c>
      <c r="J1528" t="inlineStr">
        <is>
          <t>0.01</t>
        </is>
      </c>
      <c r="K1528" t="inlineStr">
        <is>
          <t>🔥低粉爆款</t>
        </is>
      </c>
      <c r="L1528" t="inlineStr">
        <is>
          <t>玩具森友会的店</t>
        </is>
      </c>
      <c r="M1528">
        <v>3477</v>
      </c>
      <c r="N1528">
        <v>4.74</v>
      </c>
      <c r="O1528">
        <v>23000</v>
      </c>
      <c r="P1528" t="inlineStr">
        <is>
          <t>693bdd603753f70001249d6a</t>
        </is>
      </c>
      <c r="Q1528" t="inlineStr">
        <is>
          <t>🚫重复</t>
        </is>
      </c>
      <c r="R1528" t="inlineStr">
        <is>
          <t>14周</t>
        </is>
      </c>
      <c r="S1528" t="inlineStr">
        <is>
          <t>4.03</t>
        </is>
      </c>
      <c r="T1528" t="inlineStr">
        <is>
          <t>家居生活</t>
        </is>
      </c>
      <c r="U1528" t="inlineStr">
        <is>
          <t>家具家装</t>
        </is>
      </c>
      <c r="V1528" s="3">
        <v>46112.78107638889</v>
      </c>
      <c r="W1528" t="inlineStr">
        <is>
          <t>2026-Q1</t>
        </is>
      </c>
    </row>
    <row r="1529" ht="25.5" customHeight="1">
      <c r="A1529" t="inlineStr">
        <is>
          <t>新款瑜伽裤无痕裸感女蜜桃臀高腰提臀运动健身裤收腹紧身瑜伽裤女</t>
        </is>
      </c>
      <c r="B1529" t="inlineStr">
        <is>
          <t>recveqrflnsOU8.jpg</t>
        </is>
      </c>
      <c r="C1529" s="2" t="str">
        <f>=HYPERLINK("https://xhslink.com/m/6YF8fRUqsdW", "https://xhslink.com/m/6YF8fRUqsdW")</f>
        <v>https://xhslink.com/m/6YF8fRUqsdW</v>
      </c>
      <c r="D1529"/>
      <c r="E1529">
        <v>117000</v>
      </c>
      <c r="F1529">
        <v>27.6</v>
      </c>
      <c r="G1529">
        <v>23.46</v>
      </c>
      <c r="H1529">
        <v>200</v>
      </c>
      <c r="I1529" t="inlineStr">
        <is>
          <t>瑜伽健身</t>
        </is>
      </c>
      <c r="J1529" t="inlineStr">
        <is>
          <t>0.00</t>
        </is>
      </c>
      <c r="K1529" t="inlineStr">
        <is>
          <t>🔥低粉爆款</t>
        </is>
      </c>
      <c r="L1529" t="inlineStr">
        <is>
          <t>茹茹茹r的店</t>
        </is>
      </c>
      <c r="M1529">
        <v>5128</v>
      </c>
      <c r="N1529">
        <v>4.64</v>
      </c>
      <c r="O1529">
        <v>138000</v>
      </c>
      <c r="P1529" t="inlineStr">
        <is>
          <t>64429b22248695000121f989</t>
        </is>
      </c>
      <c r="Q1529"/>
      <c r="R1529" t="inlineStr">
        <is>
          <t>14周</t>
        </is>
      </c>
      <c r="S1529" t="inlineStr">
        <is>
          <t>22.82</t>
        </is>
      </c>
      <c r="T1529" t="inlineStr">
        <is>
          <t>运动潮玩</t>
        </is>
      </c>
      <c r="U1529" t="inlineStr">
        <is>
          <t>运动户外装备</t>
        </is>
      </c>
      <c r="V1529" s="3">
        <v>46112.78107638889</v>
      </c>
      <c r="W1529" t="inlineStr">
        <is>
          <t>2026-Q1</t>
        </is>
      </c>
    </row>
    <row r="1530" ht="25.5" customHeight="1">
      <c r="A1530" t="inlineStr">
        <is>
          <t>莱卡瑜伽裤女轻薄高弹高腰提臀蜜桃臀裸感紧身运动健身裤瑜伽长裤</t>
        </is>
      </c>
      <c r="B1530" t="inlineStr">
        <is>
          <t>recveqrfln68n6.jpg</t>
        </is>
      </c>
      <c r="C1530" s="2" t="str">
        <f>=HYPERLINK("https://xhslink.com/m/6WZ1J9vDfQF", "https://xhslink.com/m/6WZ1J9vDfQF")</f>
        <v>https://xhslink.com/m/6WZ1J9vDfQF</v>
      </c>
      <c r="D1530"/>
      <c r="E1530">
        <v>4108</v>
      </c>
      <c r="F1530">
        <v>87</v>
      </c>
      <c r="G1530">
        <v>61.6</v>
      </c>
      <c r="H1530">
        <v>200</v>
      </c>
      <c r="I1530" t="inlineStr">
        <is>
          <t>瑜伽健身</t>
        </is>
      </c>
      <c r="J1530" t="inlineStr">
        <is>
          <t>0.05</t>
        </is>
      </c>
      <c r="K1530"/>
      <c r="L1530" t="inlineStr">
        <is>
          <t>漫跑爱丽丝的店</t>
        </is>
      </c>
      <c r="M1530">
        <v>2412</v>
      </c>
      <c r="N1530">
        <v>4.61</v>
      </c>
      <c r="O1530">
        <v>15000</v>
      </c>
      <c r="P1530" t="inlineStr">
        <is>
          <t>68b12ce0ba5a830015657196</t>
        </is>
      </c>
      <c r="Q1530" t="inlineStr">
        <is>
          <t>🚫重复</t>
        </is>
      </c>
      <c r="R1530" t="inlineStr">
        <is>
          <t>14周</t>
        </is>
      </c>
      <c r="S1530" t="inlineStr">
        <is>
          <t>1.70</t>
        </is>
      </c>
      <c r="T1530" t="inlineStr">
        <is>
          <t>运动潮玩</t>
        </is>
      </c>
      <c r="U1530" t="inlineStr">
        <is>
          <t>运动户外装备</t>
        </is>
      </c>
      <c r="V1530" s="3">
        <v>46112.78107638889</v>
      </c>
      <c r="W1530" t="inlineStr">
        <is>
          <t>2026-Q1</t>
        </is>
      </c>
    </row>
    <row r="1531" ht="25.5" customHeight="1">
      <c r="A1531" t="inlineStr">
        <is>
          <t>唐熙 · 微瑕疵瑜伽垫加厚加宽长防滑健身垫舞蹈跳操隔音减震垫子地垫家用</t>
        </is>
      </c>
      <c r="B1531" t="inlineStr">
        <is>
          <t>recveqrflnZG5n.jpg</t>
        </is>
      </c>
      <c r="C1531" s="2" t="str">
        <f>=HYPERLINK("https://xhslink.com/m/1TDNpCYmfHr", "https://xhslink.com/m/1TDNpCYmfHr")</f>
        <v>https://xhslink.com/m/1TDNpCYmfHr</v>
      </c>
      <c r="D1531"/>
      <c r="E1531">
        <v>17000</v>
      </c>
      <c r="F1531">
        <v>18.8</v>
      </c>
      <c r="G1531"/>
      <c r="H1531">
        <v>200</v>
      </c>
      <c r="I1531" t="inlineStr">
        <is>
          <t>瑜伽健身</t>
        </is>
      </c>
      <c r="J1531" t="inlineStr">
        <is>
          <t>0.01</t>
        </is>
      </c>
      <c r="K1531" t="inlineStr">
        <is>
          <t>🔥低粉爆款</t>
        </is>
      </c>
      <c r="L1531" t="inlineStr">
        <is>
          <t>唐熙体育用品折扣的店</t>
        </is>
      </c>
      <c r="M1531">
        <v>2014</v>
      </c>
      <c r="N1531">
        <v>4.47</v>
      </c>
      <c r="O1531">
        <v>41000</v>
      </c>
      <c r="P1531" t="inlineStr">
        <is>
          <t>662676ae44bdbd0001558728</t>
        </is>
      </c>
      <c r="Q1531" t="inlineStr">
        <is>
          <t>🚫重复</t>
        </is>
      </c>
      <c r="R1531" t="inlineStr">
        <is>
          <t>14周</t>
        </is>
      </c>
      <c r="S1531" t="inlineStr">
        <is>
          <t>8.44</t>
        </is>
      </c>
      <c r="T1531" t="inlineStr">
        <is>
          <t>运动潮玩</t>
        </is>
      </c>
      <c r="U1531" t="inlineStr">
        <is>
          <t>运动户外装备</t>
        </is>
      </c>
      <c r="V1531" s="3">
        <v>46112.78107638889</v>
      </c>
      <c r="W1531" t="inlineStr">
        <is>
          <t>2026-Q1</t>
        </is>
      </c>
    </row>
    <row r="1532" ht="25.5" customHeight="1">
      <c r="A1532" t="inlineStr">
        <is>
          <t>Aidcss · 清爽固体防晒棒无色透明保湿防水防汗学生党防紫外线军训必备便携</t>
        </is>
      </c>
      <c r="B1532" t="inlineStr">
        <is>
          <t>recveqrflnxAir.jpg</t>
        </is>
      </c>
      <c r="C1532" s="2" t="str">
        <f>=HYPERLINK("https://xhslink.com/m/5VWo6V3y18t", "https://xhslink.com/m/5VWo6V3y18t")</f>
        <v>https://xhslink.com/m/5VWo6V3y18t</v>
      </c>
      <c r="D1532"/>
      <c r="E1532">
        <v>3745</v>
      </c>
      <c r="F1532">
        <v>39.8</v>
      </c>
      <c r="G1532">
        <v>16.9</v>
      </c>
      <c r="H1532">
        <v>200</v>
      </c>
      <c r="I1532" t="inlineStr">
        <is>
          <t>防晒</t>
        </is>
      </c>
      <c r="J1532" t="inlineStr">
        <is>
          <t>0.05</t>
        </is>
      </c>
      <c r="K1532"/>
      <c r="L1532" t="inlineStr">
        <is>
          <t>B’IEUA的店</t>
        </is>
      </c>
      <c r="M1532">
        <v>13000</v>
      </c>
      <c r="N1532">
        <v>4.28</v>
      </c>
      <c r="O1532">
        <v>52000</v>
      </c>
      <c r="P1532" t="inlineStr">
        <is>
          <t>68131a65799233000197377d</t>
        </is>
      </c>
      <c r="Q1532" t="inlineStr">
        <is>
          <t>🚫重复</t>
        </is>
      </c>
      <c r="R1532" t="inlineStr">
        <is>
          <t>14周</t>
        </is>
      </c>
      <c r="S1532" t="inlineStr">
        <is>
          <t>0.29</t>
        </is>
      </c>
      <c r="T1532" t="inlineStr">
        <is>
          <t>美妆个护</t>
        </is>
      </c>
      <c r="U1532" t="inlineStr">
        <is>
          <t>护肤彩妆</t>
        </is>
      </c>
      <c r="V1532" s="3">
        <v>46112.78107638889</v>
      </c>
      <c r="W1532" t="inlineStr">
        <is>
          <t>2026-Q1</t>
        </is>
      </c>
    </row>
    <row r="1533" ht="25.5" customHeight="1">
      <c r="A1533" t="inlineStr">
        <is>
          <t>《雾蓝絮粉》原创项链显白精致高级小清新温柔项链</t>
        </is>
      </c>
      <c r="B1533" t="inlineStr">
        <is>
          <t>recveqrflnlGGK.jpg</t>
        </is>
      </c>
      <c r="C1533" s="2" t="str">
        <f>=HYPERLINK("https://xhslink.com/m/fdaBZgYJXm", "https://xhslink.com/m/fdaBZgYJXm")</f>
        <v>https://xhslink.com/m/fdaBZgYJXm</v>
      </c>
      <c r="D1533"/>
      <c r="E1533">
        <v>3296</v>
      </c>
      <c r="F1533">
        <v>39.9</v>
      </c>
      <c r="G1533"/>
      <c r="H1533">
        <v>200</v>
      </c>
      <c r="I1533" t="inlineStr">
        <is>
          <t>饰品</t>
        </is>
      </c>
      <c r="J1533" t="inlineStr">
        <is>
          <t>0.06</t>
        </is>
      </c>
      <c r="K1533"/>
      <c r="L1533" t="inlineStr">
        <is>
          <t>ShiChuanDaiJia.的店</t>
        </is>
      </c>
      <c r="M1533">
        <v>183000</v>
      </c>
      <c r="N1533">
        <v>4.51</v>
      </c>
      <c r="O1533">
        <v>49000</v>
      </c>
      <c r="P1533" t="inlineStr">
        <is>
          <t>68b30b2654c0f300019f3c11</t>
        </is>
      </c>
      <c r="Q1533" t="inlineStr">
        <is>
          <t>🚫重复</t>
        </is>
      </c>
      <c r="R1533" t="inlineStr">
        <is>
          <t>14周</t>
        </is>
      </c>
      <c r="S1533" t="inlineStr">
        <is>
          <t>0.02</t>
        </is>
      </c>
      <c r="T1533" t="inlineStr">
        <is>
          <t>服饰穿搭</t>
        </is>
      </c>
      <c r="U1533" t="inlineStr">
        <is>
          <t>配饰</t>
        </is>
      </c>
      <c r="V1533" s="3">
        <v>46112.78107638889</v>
      </c>
      <c r="W1533" t="inlineStr">
        <is>
          <t>2026-Q1</t>
        </is>
      </c>
    </row>
    <row r="1534" ht="25.5" customHeight="1">
      <c r="A1534" t="inlineStr">
        <is>
          <t>okbingbing · 折痕美式水洗牛仔裤女春秋新款拖地长裤宽松直筒阔7</t>
        </is>
      </c>
      <c r="B1534" t="inlineStr">
        <is>
          <t>recveqrflnBDyR.jpg</t>
        </is>
      </c>
      <c r="C1534" s="2" t="str">
        <f>=HYPERLINK("https://xhslink.com/m/8OmwPKX1tAV", "https://xhslink.com/m/8OmwPKX1tAV")</f>
        <v>https://xhslink.com/m/8OmwPKX1tAV</v>
      </c>
      <c r="D1534"/>
      <c r="E1534">
        <v>29000</v>
      </c>
      <c r="F1534">
        <v>98</v>
      </c>
      <c r="G1534"/>
      <c r="H1534">
        <v>200</v>
      </c>
      <c r="I1534" t="inlineStr">
        <is>
          <t>阔腿裤</t>
        </is>
      </c>
      <c r="J1534" t="inlineStr">
        <is>
          <t>0.01</t>
        </is>
      </c>
      <c r="K1534"/>
      <c r="L1534" t="inlineStr">
        <is>
          <t>OK饼饼的店</t>
        </is>
      </c>
      <c r="M1534">
        <v>24000</v>
      </c>
      <c r="N1534">
        <v>4.5</v>
      </c>
      <c r="O1534">
        <v>181000</v>
      </c>
      <c r="P1534" t="inlineStr">
        <is>
          <t>67edfef7ab6a3e0001a62c3c</t>
        </is>
      </c>
      <c r="Q1534" t="inlineStr">
        <is>
          <t>🚫重复</t>
        </is>
      </c>
      <c r="R1534" t="inlineStr">
        <is>
          <t>14周</t>
        </is>
      </c>
      <c r="S1534" t="inlineStr">
        <is>
          <t>1.21</t>
        </is>
      </c>
      <c r="T1534" t="inlineStr">
        <is>
          <t>服饰穿搭</t>
        </is>
      </c>
      <c r="U1534" t="inlineStr">
        <is>
          <t>女装</t>
        </is>
      </c>
      <c r="V1534" s="3">
        <v>46112.78107638889</v>
      </c>
      <c r="W1534" t="inlineStr">
        <is>
          <t>2026-Q1</t>
        </is>
      </c>
    </row>
    <row r="1535" ht="25.5" customHeight="1">
      <c r="A1535" t="inlineStr">
        <is>
          <t>珍妮同款抽绳百搭休闲 美式工装休闲阔腿裤-71185</t>
        </is>
      </c>
      <c r="B1535" t="inlineStr">
        <is>
          <t>recveqrflnjMKy.jpg</t>
        </is>
      </c>
      <c r="C1535" s="2" t="str">
        <f>=HYPERLINK("https://xhslink.com/m/901zF94qpL1", "https://xhslink.com/m/901zF94qpL1")</f>
        <v>https://xhslink.com/m/901zF94qpL1</v>
      </c>
      <c r="D1535"/>
      <c r="E1535">
        <v>16000</v>
      </c>
      <c r="F1535">
        <v>699</v>
      </c>
      <c r="G1535"/>
      <c r="H1535">
        <v>200</v>
      </c>
      <c r="I1535" t="inlineStr">
        <is>
          <t>阔腿裤</t>
        </is>
      </c>
      <c r="J1535" t="inlineStr">
        <is>
          <t>0.01</t>
        </is>
      </c>
      <c r="K1535"/>
      <c r="L1535" t="inlineStr">
        <is>
          <t>青岛小葵家外贸的店</t>
        </is>
      </c>
      <c r="M1535">
        <v>238000</v>
      </c>
      <c r="N1535">
        <v>4.51</v>
      </c>
      <c r="O1535">
        <v>112000</v>
      </c>
      <c r="P1535" t="inlineStr">
        <is>
          <t>694510acf17edd000192c071</t>
        </is>
      </c>
      <c r="Q1535" t="inlineStr">
        <is>
          <t>🚫重复</t>
        </is>
      </c>
      <c r="R1535" t="inlineStr">
        <is>
          <t>14周</t>
        </is>
      </c>
      <c r="S1535" t="inlineStr">
        <is>
          <t>0.07</t>
        </is>
      </c>
      <c r="T1535" t="inlineStr">
        <is>
          <t>服饰穿搭</t>
        </is>
      </c>
      <c r="U1535" t="inlineStr">
        <is>
          <t>女装</t>
        </is>
      </c>
      <c r="V1535" s="3">
        <v>46112.78107638889</v>
      </c>
      <c r="W1535" t="inlineStr">
        <is>
          <t>2026-Q1</t>
        </is>
      </c>
    </row>
    <row r="1536" ht="25.5" customHeight="1">
      <c r="A1536" t="inlineStr">
        <is>
          <t>小个子a字高腰白色短裤棉麻阔腿裤潮ins开叉超短裤女夏季薄款热裤</t>
        </is>
      </c>
      <c r="B1536" t="inlineStr">
        <is>
          <t>recveqrfln93vQ.jpg</t>
        </is>
      </c>
      <c r="C1536" s="2" t="str">
        <f>=HYPERLINK("https://xhslink.com/m/4FCRAofzE6V", "https://xhslink.com/m/4FCRAofzE6V")</f>
        <v>https://xhslink.com/m/4FCRAofzE6V</v>
      </c>
      <c r="D1536"/>
      <c r="E1536">
        <v>53000</v>
      </c>
      <c r="F1536">
        <v>69.8</v>
      </c>
      <c r="G1536">
        <v>59.8</v>
      </c>
      <c r="H1536">
        <v>200</v>
      </c>
      <c r="I1536" t="inlineStr">
        <is>
          <t>阔腿裤</t>
        </is>
      </c>
      <c r="J1536" t="inlineStr">
        <is>
          <t>0.00</t>
        </is>
      </c>
      <c r="K1536" t="inlineStr">
        <is>
          <t>🔥低粉爆款</t>
        </is>
      </c>
      <c r="L1536" t="inlineStr">
        <is>
          <t>158的阿柠的店</t>
        </is>
      </c>
      <c r="M1536">
        <v>7146</v>
      </c>
      <c r="N1536">
        <v>4.62</v>
      </c>
      <c r="O1536">
        <v>86000</v>
      </c>
      <c r="P1536" t="inlineStr">
        <is>
          <t>66703451a9c8b7000139ea41</t>
        </is>
      </c>
      <c r="Q1536" t="inlineStr">
        <is>
          <t>🚫重复</t>
        </is>
      </c>
      <c r="R1536" t="inlineStr">
        <is>
          <t>14周</t>
        </is>
      </c>
      <c r="S1536" t="inlineStr">
        <is>
          <t>7.42</t>
        </is>
      </c>
      <c r="T1536" t="inlineStr">
        <is>
          <t>服饰穿搭</t>
        </is>
      </c>
      <c r="U1536" t="inlineStr">
        <is>
          <t>女装</t>
        </is>
      </c>
      <c r="V1536" s="3">
        <v>46112.78107638889</v>
      </c>
      <c r="W1536" t="inlineStr">
        <is>
          <t>2026-Q1</t>
        </is>
      </c>
    </row>
    <row r="1537" ht="25.5" customHeight="1">
      <c r="A1537" t="inlineStr">
        <is>
          <t>天丝莱赛尔!显瘦修胯会呼吸的“轻牛仔”天丝垂感直筒裤</t>
        </is>
      </c>
      <c r="B1537" t="inlineStr">
        <is>
          <t>recveqrflnDRJc.jpg</t>
        </is>
      </c>
      <c r="C1537" s="2" t="str">
        <f>=HYPERLINK("https://xhslink.com/m/8fmxfvFmOid", "https://xhslink.com/m/8fmxfvFmOid")</f>
        <v>https://xhslink.com/m/8fmxfvFmOid</v>
      </c>
      <c r="D1537"/>
      <c r="E1537">
        <v>18000</v>
      </c>
      <c r="F1537">
        <v>229</v>
      </c>
      <c r="G1537">
        <v>194.65</v>
      </c>
      <c r="H1537">
        <v>200</v>
      </c>
      <c r="I1537" t="inlineStr">
        <is>
          <t>阔腿裤</t>
        </is>
      </c>
      <c r="J1537" t="inlineStr">
        <is>
          <t>0.01</t>
        </is>
      </c>
      <c r="K1537"/>
      <c r="L1537" t="inlineStr">
        <is>
          <t>白畔BAIPAN的店</t>
        </is>
      </c>
      <c r="M1537">
        <v>71000</v>
      </c>
      <c r="N1537">
        <v>4.7</v>
      </c>
      <c r="O1537">
        <v>256000</v>
      </c>
      <c r="P1537" t="inlineStr">
        <is>
          <t>6717acfd175dab00015f66a6</t>
        </is>
      </c>
      <c r="Q1537" t="inlineStr">
        <is>
          <t>🚫重复</t>
        </is>
      </c>
      <c r="R1537" t="inlineStr">
        <is>
          <t>14周</t>
        </is>
      </c>
      <c r="S1537" t="inlineStr">
        <is>
          <t>0.25</t>
        </is>
      </c>
      <c r="T1537" t="inlineStr">
        <is>
          <t>服饰穿搭</t>
        </is>
      </c>
      <c r="U1537" t="inlineStr">
        <is>
          <t>女装</t>
        </is>
      </c>
      <c r="V1537" s="3">
        <v>46112.78107638889</v>
      </c>
      <c r="W1537" t="inlineStr">
        <is>
          <t>2026-Q1</t>
        </is>
      </c>
    </row>
    <row r="1538" ht="25.5" customHeight="1">
      <c r="A1538" t="inlineStr">
        <is>
          <t>Fivedoughnuts原创手作｜春夏新品 玫瑰系列单肩包斜挎包</t>
        </is>
      </c>
      <c r="B1538" t="inlineStr">
        <is>
          <t>recveqrfln86Us.jpg</t>
        </is>
      </c>
      <c r="C1538" s="2" t="str">
        <f>=HYPERLINK("https://xhslink.com/m/44NPePSxznw", "https://xhslink.com/m/44NPePSxznw")</f>
        <v>https://xhslink.com/m/44NPePSxznw</v>
      </c>
      <c r="D1538"/>
      <c r="E1538">
        <v>3807</v>
      </c>
      <c r="F1538">
        <v>29</v>
      </c>
      <c r="G1538"/>
      <c r="H1538">
        <v>200</v>
      </c>
      <c r="I1538" t="inlineStr">
        <is>
          <t>包包</t>
        </is>
      </c>
      <c r="J1538" t="inlineStr">
        <is>
          <t>0.05</t>
        </is>
      </c>
      <c r="K1538"/>
      <c r="L1538" t="inlineStr">
        <is>
          <t>五个甜甜圈Fivedoughnuts的店</t>
        </is>
      </c>
      <c r="M1538">
        <v>22000</v>
      </c>
      <c r="N1538">
        <v>4.61</v>
      </c>
      <c r="O1538">
        <v>19000</v>
      </c>
      <c r="P1538" t="inlineStr">
        <is>
          <t>67beaa194a59360001544f29</t>
        </is>
      </c>
      <c r="Q1538"/>
      <c r="R1538" t="inlineStr">
        <is>
          <t>14周</t>
        </is>
      </c>
      <c r="S1538" t="inlineStr">
        <is>
          <t>0.17</t>
        </is>
      </c>
      <c r="T1538" t="inlineStr">
        <is>
          <t>服饰穿搭</t>
        </is>
      </c>
      <c r="U1538" t="inlineStr">
        <is>
          <t>鞋靴箱包</t>
        </is>
      </c>
      <c r="V1538" s="3">
        <v>46112.78107638889</v>
      </c>
      <c r="W1538" t="inlineStr">
        <is>
          <t>2026-Q1</t>
        </is>
      </c>
    </row>
    <row r="1539" ht="25.5" customHeight="1">
      <c r="A1539" t="inlineStr">
        <is>
          <t>嘉顿 · 【鲜奶制作】排包新鲜奶味面包吐司营养早餐面包代餐包210g*2袋</t>
        </is>
      </c>
      <c r="B1539" t="inlineStr">
        <is>
          <t>recveqrflnNZty.jpg</t>
        </is>
      </c>
      <c r="C1539" s="2" t="str">
        <f>=HYPERLINK("https://xhslink.com/m/2ivtA7juQqC", "https://xhslink.com/m/2ivtA7juQqC")</f>
        <v>https://xhslink.com/m/2ivtA7juQqC</v>
      </c>
      <c r="D1539"/>
      <c r="E1539">
        <v>952</v>
      </c>
      <c r="F1539">
        <v>13.4</v>
      </c>
      <c r="G1539"/>
      <c r="H1539">
        <v>200</v>
      </c>
      <c r="I1539" t="inlineStr">
        <is>
          <t>面包</t>
        </is>
      </c>
      <c r="J1539" t="inlineStr">
        <is>
          <t>0.21</t>
        </is>
      </c>
      <c r="K1539"/>
      <c r="L1539" t="inlineStr">
        <is>
          <t>嘉顿食品旗舰店</t>
        </is>
      </c>
      <c r="M1539">
        <v>925</v>
      </c>
      <c r="N1539">
        <v>4.65</v>
      </c>
      <c r="O1539">
        <v>12000</v>
      </c>
      <c r="P1539" t="inlineStr">
        <is>
          <t>66a8ac6b99fba60001e3d91e</t>
        </is>
      </c>
      <c r="Q1539"/>
      <c r="R1539" t="inlineStr">
        <is>
          <t>14周</t>
        </is>
      </c>
      <c r="S1539" t="inlineStr">
        <is>
          <t>1.03</t>
        </is>
      </c>
      <c r="T1539" t="inlineStr">
        <is>
          <t>美食滋补</t>
        </is>
      </c>
      <c r="U1539" t="inlineStr">
        <is>
          <t>休闲零食</t>
        </is>
      </c>
      <c r="V1539" s="3">
        <v>46112.78107638889</v>
      </c>
      <c r="W1539" t="inlineStr">
        <is>
          <t>2026-Q1</t>
        </is>
      </c>
    </row>
    <row r="1540" ht="25.5" customHeight="1">
      <c r="A1540" t="inlineStr">
        <is>
          <t>泡泡玛特 · 星星人 点亮系列场景手办盲盒</t>
        </is>
      </c>
      <c r="B1540" t="inlineStr">
        <is>
          <t>recveqrflnj3a0.jpg</t>
        </is>
      </c>
      <c r="C1540" s="2" t="str">
        <f>=HYPERLINK("https://xhslink.com/m/9mxzZVzPZLT", "https://xhslink.com/m/9mxzZVzPZLT")</f>
        <v>https://xhslink.com/m/9mxzZVzPZLT</v>
      </c>
      <c r="D1540"/>
      <c r="E1540">
        <v>22000</v>
      </c>
      <c r="F1540">
        <v>79</v>
      </c>
      <c r="G1540"/>
      <c r="H1540">
        <v>200</v>
      </c>
      <c r="I1540" t="inlineStr">
        <is>
          <t>盲盒</t>
        </is>
      </c>
      <c r="J1540" t="inlineStr">
        <is>
          <t>0.01</t>
        </is>
      </c>
      <c r="K1540"/>
      <c r="L1540" t="inlineStr">
        <is>
          <t>POP MART 泡泡玛特旗舰店</t>
        </is>
      </c>
      <c r="M1540">
        <v>1484000</v>
      </c>
      <c r="N1540">
        <v>4.54</v>
      </c>
      <c r="O1540">
        <v>2957000</v>
      </c>
      <c r="P1540" t="inlineStr">
        <is>
          <t>689f01565e17a70001f989bf</t>
        </is>
      </c>
      <c r="Q1540" t="inlineStr">
        <is>
          <t>🚫重复</t>
        </is>
      </c>
      <c r="R1540" t="inlineStr">
        <is>
          <t>14周</t>
        </is>
      </c>
      <c r="S1540" t="inlineStr">
        <is>
          <t>0.01</t>
        </is>
      </c>
      <c r="T1540" t="inlineStr">
        <is>
          <t>运动潮玩</t>
        </is>
      </c>
      <c r="U1540" t="inlineStr">
        <is>
          <t>潮玩手办</t>
        </is>
      </c>
      <c r="V1540" s="3">
        <v>46112.78107638889</v>
      </c>
      <c r="W1540" t="inlineStr">
        <is>
          <t>2026-Q1</t>
        </is>
      </c>
    </row>
    <row r="1541" ht="25.5" customHeight="1">
      <c r="A1541" t="inlineStr">
        <is>
          <t>泡泡玛特 · DIMOO WORLD × 迪士尼系列--搪胶毛绒钥匙圈 盲盒挂件</t>
        </is>
      </c>
      <c r="B1541" t="inlineStr">
        <is>
          <t>recveqrflnYmHc.jpg</t>
        </is>
      </c>
      <c r="C1541" s="2" t="str">
        <f>=HYPERLINK("https://xhslink.com/m/41EQtqEhtk0", "https://xhslink.com/m/41EQtqEhtk0")</f>
        <v>https://xhslink.com/m/41EQtqEhtk0</v>
      </c>
      <c r="D1541"/>
      <c r="E1541">
        <v>24000</v>
      </c>
      <c r="F1541">
        <v>179</v>
      </c>
      <c r="G1541"/>
      <c r="H1541">
        <v>200</v>
      </c>
      <c r="I1541" t="inlineStr">
        <is>
          <t>挂件</t>
        </is>
      </c>
      <c r="J1541" t="inlineStr">
        <is>
          <t>0.01</t>
        </is>
      </c>
      <c r="K1541"/>
      <c r="L1541" t="inlineStr">
        <is>
          <t>POP MART 泡泡玛特旗舰店</t>
        </is>
      </c>
      <c r="M1541">
        <v>1484000</v>
      </c>
      <c r="N1541">
        <v>4.54</v>
      </c>
      <c r="O1541">
        <v>2957000</v>
      </c>
      <c r="P1541" t="inlineStr">
        <is>
          <t>6959f2d096a9fa000163c917</t>
        </is>
      </c>
      <c r="Q1541" t="inlineStr">
        <is>
          <t>🚫重复</t>
        </is>
      </c>
      <c r="R1541" t="inlineStr">
        <is>
          <t>14周</t>
        </is>
      </c>
      <c r="S1541" t="inlineStr">
        <is>
          <t>0.02</t>
        </is>
      </c>
      <c r="T1541" t="inlineStr">
        <is>
          <t>运动潮玩</t>
        </is>
      </c>
      <c r="U1541" t="inlineStr">
        <is>
          <t>潮玩手办</t>
        </is>
      </c>
      <c r="V1541" s="3">
        <v>46112.78107638889</v>
      </c>
      <c r="W1541" t="inlineStr">
        <is>
          <t>2026-Q1</t>
        </is>
      </c>
    </row>
    <row r="1542" ht="25.5" customHeight="1">
      <c r="A1542" t="inlineStr">
        <is>
          <t>趴趴猫系列毛绒抱枕桌伴原创正版</t>
        </is>
      </c>
      <c r="B1542" t="inlineStr">
        <is>
          <t>recveyWM0o4heg.jpg</t>
        </is>
      </c>
      <c r="C1542" s="2" t="str">
        <f>=HYPERLINK("https://xhslink.com/m/4X9B8GnzVoE", "https://xhslink.com/m/4X9B8GnzVoE")</f>
        <v>https://xhslink.com/m/4X9B8GnzVoE</v>
      </c>
      <c r="D1542"/>
      <c r="E1542">
        <v>21000</v>
      </c>
      <c r="F1542">
        <v>39.9</v>
      </c>
      <c r="G1542"/>
      <c r="H1542">
        <v>200</v>
      </c>
      <c r="I1542" t="inlineStr">
        <is>
          <t>玩偶</t>
        </is>
      </c>
      <c r="J1542" t="inlineStr">
        <is>
          <t>0.01</t>
        </is>
      </c>
      <c r="K1542"/>
      <c r="L1542" t="inlineStr">
        <is>
          <t>抱抱计划的店</t>
        </is>
      </c>
      <c r="M1542">
        <v>99000</v>
      </c>
      <c r="N1542">
        <v>4.6</v>
      </c>
      <c r="O1542">
        <v>27000</v>
      </c>
      <c r="P1542" t="inlineStr">
        <is>
          <t>694cb789ed00c40001715fd5</t>
        </is>
      </c>
      <c r="Q1542" t="inlineStr">
        <is>
          <t>🚫重复</t>
        </is>
      </c>
      <c r="R1542" t="inlineStr">
        <is>
          <t>14周</t>
        </is>
      </c>
      <c r="S1542" t="inlineStr">
        <is>
          <t>0.21</t>
        </is>
      </c>
      <c r="T1542" t="inlineStr">
        <is>
          <t>母婴亲子</t>
        </is>
      </c>
      <c r="U1542" t="inlineStr">
        <is>
          <t>玩具早教</t>
        </is>
      </c>
      <c r="V1542" s="3">
        <v>46112.78107638889</v>
      </c>
      <c r="W1542" t="inlineStr">
        <is>
          <t>2026-Q1</t>
        </is>
      </c>
    </row>
    <row r="1543" ht="25.5" customHeight="1">
      <c r="A1543" t="inlineStr">
        <is>
          <t>【全新升级】超气质法式方扣中空单鞋女平底鞋</t>
        </is>
      </c>
      <c r="B1543" t="inlineStr">
        <is>
          <t>recveyWM0oezso.jpg</t>
        </is>
      </c>
      <c r="C1543" s="2" t="str">
        <f>=HYPERLINK("https://xhslink.com/m/3vKLyYWOTQl", "https://xhslink.com/m/3vKLyYWOTQl")</f>
        <v>https://xhslink.com/m/3vKLyYWOTQl</v>
      </c>
      <c r="D1543"/>
      <c r="E1543">
        <v>8708</v>
      </c>
      <c r="F1543">
        <v>198</v>
      </c>
      <c r="G1543">
        <v>138</v>
      </c>
      <c r="H1543">
        <v>200</v>
      </c>
      <c r="I1543" t="inlineStr">
        <is>
          <t>单鞋</t>
        </is>
      </c>
      <c r="J1543" t="inlineStr">
        <is>
          <t>0.02</t>
        </is>
      </c>
      <c r="K1543" t="inlineStr">
        <is>
          <t>🔥低粉爆款</t>
        </is>
      </c>
      <c r="L1543" t="inlineStr">
        <is>
          <t>小红薯68F96F71的店</t>
        </is>
      </c>
      <c r="M1543">
        <v>2796</v>
      </c>
      <c r="N1543">
        <v>4.54</v>
      </c>
      <c r="O1543">
        <v>33000</v>
      </c>
      <c r="P1543" t="inlineStr">
        <is>
          <t>6864cec9877417000149d73f</t>
        </is>
      </c>
      <c r="Q1543" t="inlineStr">
        <is>
          <t>🚫重复</t>
        </is>
      </c>
      <c r="R1543" t="inlineStr">
        <is>
          <t>14周</t>
        </is>
      </c>
      <c r="S1543" t="inlineStr">
        <is>
          <t>3.11</t>
        </is>
      </c>
      <c r="T1543" t="inlineStr">
        <is>
          <t>服饰穿搭</t>
        </is>
      </c>
      <c r="U1543" t="inlineStr">
        <is>
          <t>鞋靴箱包</t>
        </is>
      </c>
      <c r="V1543" s="3">
        <v>46112.78107638889</v>
      </c>
      <c r="W1543" t="inlineStr">
        <is>
          <t>2026-Q1</t>
        </is>
      </c>
    </row>
    <row r="1544" ht="25.5" customHeight="1">
      <c r="A1544" t="inlineStr">
        <is>
          <t>喜番SHOP复古2026春夏尖头平底芭蕾鞋女复古玛丽珍外穿浅口单鞋</t>
        </is>
      </c>
      <c r="B1544" t="inlineStr">
        <is>
          <t>recveyWM0oXlDj.jpg</t>
        </is>
      </c>
      <c r="C1544" s="2" t="str">
        <f>=HYPERLINK("https://xhslink.com/m/8oNEKx3vniv", "https://xhslink.com/m/8oNEKx3vniv")</f>
        <v>https://xhslink.com/m/8oNEKx3vniv</v>
      </c>
      <c r="D1544"/>
      <c r="E1544">
        <v>1773</v>
      </c>
      <c r="F1544">
        <v>119.9</v>
      </c>
      <c r="G1544">
        <v>89.9</v>
      </c>
      <c r="H1544">
        <v>200</v>
      </c>
      <c r="I1544" t="inlineStr">
        <is>
          <t>单鞋</t>
        </is>
      </c>
      <c r="J1544" t="inlineStr">
        <is>
          <t>0.11</t>
        </is>
      </c>
      <c r="K1544"/>
      <c r="L1544" t="inlineStr">
        <is>
          <t>喜番SHOP的店</t>
        </is>
      </c>
      <c r="M1544">
        <v>515000</v>
      </c>
      <c r="N1544">
        <v>4.62</v>
      </c>
      <c r="O1544">
        <v>358000</v>
      </c>
      <c r="P1544" t="inlineStr">
        <is>
          <t>6988586b84b90b000102f59d</t>
        </is>
      </c>
      <c r="Q1544"/>
      <c r="R1544" t="inlineStr">
        <is>
          <t>14周</t>
        </is>
      </c>
      <c r="S1544" t="inlineStr">
        <is>
          <t>0.00</t>
        </is>
      </c>
      <c r="T1544" t="inlineStr">
        <is>
          <t>服饰穿搭</t>
        </is>
      </c>
      <c r="U1544" t="inlineStr">
        <is>
          <t>鞋靴箱包</t>
        </is>
      </c>
      <c r="V1544" s="3">
        <v>46112.78107638889</v>
      </c>
      <c r="W1544" t="inlineStr">
        <is>
          <t>2026-Q1</t>
        </is>
      </c>
    </row>
    <row r="1545" ht="25.5" customHeight="1">
      <c r="A1545" t="inlineStr">
        <is>
          <t>Moslily茉思黎 · 【紫草舒润膏】芳疗师Aloe出品 | 甄选植物配方 | 痘痘膏蚊子叮</t>
        </is>
      </c>
      <c r="B1545" t="inlineStr">
        <is>
          <t>recveyWM0oTWGb.jpg</t>
        </is>
      </c>
      <c r="C1545" s="2" t="str">
        <f>=HYPERLINK("https://xhslink.com/m/8R3Vw7Rl72w", "https://xhslink.com/m/8R3Vw7Rl72w")</f>
        <v>https://xhslink.com/m/8R3Vw7Rl72w</v>
      </c>
      <c r="D1545"/>
      <c r="E1545">
        <v>46000</v>
      </c>
      <c r="F1545">
        <v>68</v>
      </c>
      <c r="G1545">
        <v>57.8</v>
      </c>
      <c r="H1545">
        <v>200</v>
      </c>
      <c r="I1545" t="inlineStr">
        <is>
          <t>身体护理</t>
        </is>
      </c>
      <c r="J1545" t="inlineStr">
        <is>
          <t>0.00</t>
        </is>
      </c>
      <c r="K1545"/>
      <c r="L1545" t="inlineStr">
        <is>
          <t>芳疗师Aloe工作室的店</t>
        </is>
      </c>
      <c r="M1545">
        <v>17000</v>
      </c>
      <c r="N1545">
        <v>4.62</v>
      </c>
      <c r="O1545">
        <v>89000</v>
      </c>
      <c r="P1545" t="inlineStr">
        <is>
          <t>6606be93d391df0001861f9f</t>
        </is>
      </c>
      <c r="Q1545"/>
      <c r="R1545" t="inlineStr">
        <is>
          <t>14周</t>
        </is>
      </c>
      <c r="S1545" t="inlineStr">
        <is>
          <t>2.71</t>
        </is>
      </c>
      <c r="T1545" t="inlineStr">
        <is>
          <t>家居生活</t>
        </is>
      </c>
      <c r="U1545" t="inlineStr">
        <is>
          <t>家具家装</t>
        </is>
      </c>
      <c r="V1545" s="3">
        <v>46112.78107638889</v>
      </c>
      <c r="W1545" t="inlineStr">
        <is>
          <t>2026-Q1</t>
        </is>
      </c>
    </row>
    <row r="1546" ht="25.5" customHeight="1">
      <c r="A1546" t="inlineStr">
        <is>
          <t>宝家洁 · 【杨幂推荐】新款平板拖懒人木地板专用干湿替换拖布夹布拖把</t>
        </is>
      </c>
      <c r="B1546" t="inlineStr">
        <is>
          <t>recveyWM0oSySo.jpg</t>
        </is>
      </c>
      <c r="C1546" s="2" t="str">
        <f>=HYPERLINK("https://xhslink.com/m/8xN5tU4DAnj", "https://xhslink.com/m/8xN5tU4DAnj")</f>
        <v>https://xhslink.com/m/8xN5tU4DAnj</v>
      </c>
      <c r="D1546"/>
      <c r="E1546">
        <v>25000</v>
      </c>
      <c r="F1546">
        <v>39.9</v>
      </c>
      <c r="G1546">
        <v>29.9</v>
      </c>
      <c r="H1546">
        <v>200</v>
      </c>
      <c r="I1546" t="inlineStr">
        <is>
          <t>日用品</t>
        </is>
      </c>
      <c r="J1546" t="inlineStr">
        <is>
          <t>0.01</t>
        </is>
      </c>
      <c r="K1546"/>
      <c r="L1546" t="inlineStr">
        <is>
          <t>宝家洁旗舰店</t>
        </is>
      </c>
      <c r="M1546">
        <v>25000</v>
      </c>
      <c r="N1546">
        <v>4.62</v>
      </c>
      <c r="O1546">
        <v>172000</v>
      </c>
      <c r="P1546" t="inlineStr">
        <is>
          <t>67da64d1ffa7580001649f67</t>
        </is>
      </c>
      <c r="Q1546"/>
      <c r="R1546" t="inlineStr">
        <is>
          <t>14周</t>
        </is>
      </c>
      <c r="S1546" t="inlineStr">
        <is>
          <t>1.00</t>
        </is>
      </c>
      <c r="T1546" t="inlineStr">
        <is>
          <t>家居生活</t>
        </is>
      </c>
      <c r="U1546" t="inlineStr">
        <is>
          <t>家居日用</t>
        </is>
      </c>
      <c r="V1546" s="3">
        <v>46112.78107638889</v>
      </c>
      <c r="W1546" t="inlineStr">
        <is>
          <t>2026-Q1</t>
        </is>
      </c>
    </row>
    <row r="1547" ht="25.5" customHeight="1">
      <c r="A1547" t="inlineStr">
        <is>
          <t>【开学季】双位无痕防滑衣架防肩角家用宿舍无痕塑料防滑不鼓包</t>
        </is>
      </c>
      <c r="B1547" t="inlineStr">
        <is>
          <t>recveyWM0oWC6e.jpg</t>
        </is>
      </c>
      <c r="C1547" s="2" t="str">
        <f>=HYPERLINK("https://xhslink.com/m/As6igDUDjiA", "https://xhslink.com/m/As6igDUDjiA")</f>
        <v>https://xhslink.com/m/As6igDUDjiA</v>
      </c>
      <c r="D1547"/>
      <c r="E1547">
        <v>73000</v>
      </c>
      <c r="F1547">
        <v>27.9</v>
      </c>
      <c r="G1547">
        <v>6.9</v>
      </c>
      <c r="H1547">
        <v>200</v>
      </c>
      <c r="I1547" t="inlineStr">
        <is>
          <t>日用品</t>
        </is>
      </c>
      <c r="J1547" t="inlineStr">
        <is>
          <t>0.00</t>
        </is>
      </c>
      <c r="K1547" t="inlineStr">
        <is>
          <t>🔥低粉爆款</t>
        </is>
      </c>
      <c r="L1547" t="inlineStr">
        <is>
          <t>大胖小白的店</t>
        </is>
      </c>
      <c r="M1547">
        <v>630</v>
      </c>
      <c r="N1547">
        <v>4.6</v>
      </c>
      <c r="O1547">
        <v>135000</v>
      </c>
      <c r="P1547" t="inlineStr">
        <is>
          <t>6889dd219e83740001880b98</t>
        </is>
      </c>
      <c r="Q1547" t="inlineStr">
        <is>
          <t>🚫重复</t>
        </is>
      </c>
      <c r="R1547" t="inlineStr">
        <is>
          <t>14周</t>
        </is>
      </c>
      <c r="S1547" t="inlineStr">
        <is>
          <t>115.87</t>
        </is>
      </c>
      <c r="T1547" t="inlineStr">
        <is>
          <t>家居生活</t>
        </is>
      </c>
      <c r="U1547" t="inlineStr">
        <is>
          <t>家居日用</t>
        </is>
      </c>
      <c r="V1547" s="3">
        <v>46112.78107638889</v>
      </c>
      <c r="W1547" t="inlineStr">
        <is>
          <t>2026-Q1</t>
        </is>
      </c>
    </row>
    <row r="1548" ht="25.5" customHeight="1">
      <c r="A1548" t="inlineStr">
        <is>
          <t>福利价售完不补【韩国大创直邮】tag*dinto*韩女自用推荐彩妆集合</t>
        </is>
      </c>
      <c r="B1548" t="inlineStr">
        <is>
          <t>recveyWM0ohMhx.jpg</t>
        </is>
      </c>
      <c r="C1548" s="2" t="str">
        <f>=HYPERLINK("https://xhslink.com/m/1wd4gp38H0B", "https://xhslink.com/m/1wd4gp38H0B")</f>
        <v>https://xhslink.com/m/1wd4gp38H0B</v>
      </c>
      <c r="D1548"/>
      <c r="E1548">
        <v>801</v>
      </c>
      <c r="F1548">
        <v>38.5</v>
      </c>
      <c r="G1548"/>
      <c r="H1548">
        <v>200</v>
      </c>
      <c r="I1548" t="inlineStr">
        <is>
          <t>实用好物</t>
        </is>
      </c>
      <c r="J1548" t="inlineStr">
        <is>
          <t>0.25</t>
        </is>
      </c>
      <c r="K1548"/>
      <c r="L1548" t="inlineStr">
        <is>
          <t>heyseoullulu的店</t>
        </is>
      </c>
      <c r="M1548">
        <v>1277</v>
      </c>
      <c r="N1548">
        <v>4.55</v>
      </c>
      <c r="O1548">
        <v>896</v>
      </c>
      <c r="P1548" t="inlineStr">
        <is>
          <t>699c647ae2c5ca00016b486c</t>
        </is>
      </c>
      <c r="Q1548"/>
      <c r="R1548" t="inlineStr">
        <is>
          <t>14周</t>
        </is>
      </c>
      <c r="S1548" t="inlineStr">
        <is>
          <t>0.63</t>
        </is>
      </c>
      <c r="T1548" t="inlineStr">
        <is>
          <t>美妆个护</t>
        </is>
      </c>
      <c r="U1548" t="inlineStr">
        <is>
          <t>护肤彩妆</t>
        </is>
      </c>
      <c r="V1548" s="3">
        <v>46112.78107638889</v>
      </c>
      <c r="W1548" t="inlineStr">
        <is>
          <t>2026-Q1</t>
        </is>
      </c>
    </row>
    <row r="1549" ht="25.5" customHeight="1">
      <c r="A1549" t="inlineStr">
        <is>
          <t>牛皮纸果冻胶超薄贼粘进口2026新款洗头洗澡都可戴两周孕妇可用</t>
        </is>
      </c>
      <c r="B1549" t="inlineStr">
        <is>
          <t>recveyWM0ooE92.jpg</t>
        </is>
      </c>
      <c r="C1549" s="2" t="str">
        <f>=HYPERLINK("https://xhslink.com/m/AalOxhWjFme", "https://xhslink.com/m/AalOxhWjFme")</f>
        <v>https://xhslink.com/m/AalOxhWjFme</v>
      </c>
      <c r="D1549"/>
      <c r="E1549">
        <v>29000</v>
      </c>
      <c r="F1549">
        <v>9.8</v>
      </c>
      <c r="G1549"/>
      <c r="H1549">
        <v>200</v>
      </c>
      <c r="I1549" t="inlineStr">
        <is>
          <t>实用好物</t>
        </is>
      </c>
      <c r="J1549" t="inlineStr">
        <is>
          <t>0.01</t>
        </is>
      </c>
      <c r="K1549" t="inlineStr">
        <is>
          <t>🔥低粉爆款</t>
        </is>
      </c>
      <c r="L1549" t="inlineStr">
        <is>
          <t>困睡不起的店</t>
        </is>
      </c>
      <c r="M1549">
        <v>4124</v>
      </c>
      <c r="N1549">
        <v>4.76</v>
      </c>
      <c r="O1549">
        <v>58000</v>
      </c>
      <c r="P1549" t="inlineStr">
        <is>
          <t>660d06f7a9f6ca000103273a</t>
        </is>
      </c>
      <c r="Q1549"/>
      <c r="R1549" t="inlineStr">
        <is>
          <t>14周</t>
        </is>
      </c>
      <c r="S1549" t="inlineStr">
        <is>
          <t>7.03</t>
        </is>
      </c>
      <c r="T1549" t="inlineStr">
        <is>
          <t>母婴亲子</t>
        </is>
      </c>
      <c r="U1549" t="inlineStr">
        <is>
          <t>孕产护理</t>
        </is>
      </c>
      <c r="V1549" s="3">
        <v>46112.78107638889</v>
      </c>
      <c r="W1549" t="inlineStr">
        <is>
          <t>2026-Q1</t>
        </is>
      </c>
    </row>
    <row r="1550" ht="25.5" customHeight="1">
      <c r="A1550" t="inlineStr">
        <is>
          <t>幻享 · 发两罐！T8沐浴磨砂膏200g（26.4.11过期也能用介意勿拍</t>
        </is>
      </c>
      <c r="B1550" t="inlineStr">
        <is>
          <t>recveyWM0oBRAD.jpg</t>
        </is>
      </c>
      <c r="C1550" s="2" t="str">
        <f>=HYPERLINK("https://xhslink.com/m/54c7sq59IY0", "https://xhslink.com/m/54c7sq59IY0")</f>
        <v>https://xhslink.com/m/54c7sq59IY0</v>
      </c>
      <c r="D1550"/>
      <c r="E1550">
        <v>609</v>
      </c>
      <c r="F1550">
        <v>9.9</v>
      </c>
      <c r="G1550"/>
      <c r="H1550">
        <v>200</v>
      </c>
      <c r="I1550" t="inlineStr">
        <is>
          <t>实用好物</t>
        </is>
      </c>
      <c r="J1550" t="inlineStr">
        <is>
          <t>0.33</t>
        </is>
      </c>
      <c r="K1550"/>
      <c r="L1550" t="inlineStr">
        <is>
          <t>萌音oo美妆版的店</t>
        </is>
      </c>
      <c r="M1550">
        <v>2366</v>
      </c>
      <c r="N1550">
        <v>4.38</v>
      </c>
      <c r="O1550">
        <v>9562</v>
      </c>
      <c r="P1550" t="inlineStr">
        <is>
          <t>685ea0be62138500016d22b9</t>
        </is>
      </c>
      <c r="Q1550"/>
      <c r="R1550" t="inlineStr">
        <is>
          <t>14周</t>
        </is>
      </c>
      <c r="S1550" t="inlineStr">
        <is>
          <t>0.26</t>
        </is>
      </c>
      <c r="T1550" t="inlineStr">
        <is>
          <t>家居生活</t>
        </is>
      </c>
      <c r="U1550" t="inlineStr">
        <is>
          <t>家居日用</t>
        </is>
      </c>
      <c r="V1550" s="3">
        <v>46112.78107638889</v>
      </c>
      <c r="W1550" t="inlineStr">
        <is>
          <t>2026-Q1</t>
        </is>
      </c>
    </row>
    <row r="1551" ht="25.5" customHeight="1">
      <c r="A1551" t="inlineStr">
        <is>
          <t>OTHER・【严选】加长软硅胶指压板超慢跑足底按摩垫室内原地跑步</t>
        </is>
      </c>
      <c r="B1551" t="inlineStr">
        <is>
          <t>recveyWM0oLamY.jpg</t>
        </is>
      </c>
      <c r="C1551" s="2" t="str">
        <f>=HYPERLINK("https://xhslink.com/m/1NtyDkamout", "https://xhslink.com/m/1NtyDkamout")</f>
        <v>https://xhslink.com/m/1NtyDkamout</v>
      </c>
      <c r="D1551"/>
      <c r="E1551">
        <v>79000</v>
      </c>
      <c r="F1551">
        <v>69.9</v>
      </c>
      <c r="G1551">
        <v>46.8</v>
      </c>
      <c r="H1551">
        <v>200</v>
      </c>
      <c r="I1551" t="inlineStr">
        <is>
          <t>实用好物</t>
        </is>
      </c>
      <c r="J1551" t="inlineStr">
        <is>
          <t>0.00</t>
        </is>
      </c>
      <c r="K1551" t="inlineStr">
        <is>
          <t>🔥低粉爆款</t>
        </is>
      </c>
      <c r="L1551" t="inlineStr">
        <is>
          <t>轻盈生活好物分享的店</t>
        </is>
      </c>
      <c r="M1551">
        <v>1171</v>
      </c>
      <c r="N1551">
        <v>4.7</v>
      </c>
      <c r="O1551">
        <v>87000</v>
      </c>
      <c r="P1551" t="inlineStr">
        <is>
          <t>68c3929a4096550015d383bc</t>
        </is>
      </c>
      <c r="Q1551"/>
      <c r="R1551" t="inlineStr">
        <is>
          <t>14周</t>
        </is>
      </c>
      <c r="S1551" t="inlineStr">
        <is>
          <t>67.46</t>
        </is>
      </c>
      <c r="T1551" t="inlineStr">
        <is>
          <t>运动潮玩</t>
        </is>
      </c>
      <c r="U1551" t="inlineStr">
        <is>
          <t>运动户外装备</t>
        </is>
      </c>
      <c r="V1551" s="3">
        <v>46112.78107638889</v>
      </c>
      <c r="W1551" t="inlineStr">
        <is>
          <t>2026-Q1</t>
        </is>
      </c>
    </row>
    <row r="1552" ht="25.5" customHeight="1">
      <c r="A1552" t="inlineStr">
        <is>
          <t>新款可爱纯棉床单床笠四件套学生宿舍三件套-可定制180*200被套</t>
        </is>
      </c>
      <c r="B1552" t="inlineStr">
        <is>
          <t>recveyWM0osd1q.jpg</t>
        </is>
      </c>
      <c r="C1552" s="2" t="str">
        <f>=HYPERLINK("https://xhslink.com/m/17T1RxDlER5", "https://xhslink.com/m/17T1RxDlER5")</f>
        <v>https://xhslink.com/m/17T1RxDlER5</v>
      </c>
      <c r="D1552"/>
      <c r="E1552">
        <v>37000</v>
      </c>
      <c r="F1552">
        <v>149</v>
      </c>
      <c r="G1552">
        <v>129</v>
      </c>
      <c r="H1552">
        <v>200</v>
      </c>
      <c r="I1552" t="inlineStr">
        <is>
          <t>实用好物</t>
        </is>
      </c>
      <c r="J1552" t="inlineStr">
        <is>
          <t>0.01</t>
        </is>
      </c>
      <c r="K1552"/>
      <c r="L1552" t="inlineStr">
        <is>
          <t>金艳家纺的店</t>
        </is>
      </c>
      <c r="M1552">
        <v>47000</v>
      </c>
      <c r="N1552">
        <v>4.37</v>
      </c>
      <c r="O1552">
        <v>82000</v>
      </c>
      <c r="P1552" t="inlineStr">
        <is>
          <t>675e4dffeb35d7000105508e</t>
        </is>
      </c>
      <c r="Q1552"/>
      <c r="R1552" t="inlineStr">
        <is>
          <t>14周</t>
        </is>
      </c>
      <c r="S1552" t="inlineStr">
        <is>
          <t>0.79</t>
        </is>
      </c>
      <c r="T1552" t="inlineStr">
        <is>
          <t>家居生活</t>
        </is>
      </c>
      <c r="U1552" t="inlineStr">
        <is>
          <t>家居日用</t>
        </is>
      </c>
      <c r="V1552" s="3">
        <v>46112.78107638889</v>
      </c>
      <c r="W1552" t="inlineStr">
        <is>
          <t>2026-Q1</t>
        </is>
      </c>
    </row>
    <row r="1553" ht="25.5" customHeight="1">
      <c r="A1553" t="inlineStr">
        <is>
          <t>I1『心蔷日记』M5|A7|A6per按扣款原创活页手帐本</t>
        </is>
      </c>
      <c r="B1553" t="inlineStr">
        <is>
          <t>recveyWM0oq2Hy.jpg</t>
        </is>
      </c>
      <c r="C1553" s="2" t="str">
        <f>=HYPERLINK("https://xhslink.com/m/9SgnYmsESsL", "https://xhslink.com/m/9SgnYmsESsL")</f>
        <v>https://xhslink.com/m/9SgnYmsESsL</v>
      </c>
      <c r="D1553"/>
      <c r="E1553">
        <v>17000</v>
      </c>
      <c r="F1553">
        <v>36.9</v>
      </c>
      <c r="G1553">
        <v>32.47</v>
      </c>
      <c r="H1553">
        <v>200</v>
      </c>
      <c r="I1553" t="inlineStr">
        <is>
          <t>实用好物</t>
        </is>
      </c>
      <c r="J1553" t="inlineStr">
        <is>
          <t>0.01</t>
        </is>
      </c>
      <c r="K1553"/>
      <c r="L1553" t="inlineStr">
        <is>
          <t>秋吹耳畔文具库的店</t>
        </is>
      </c>
      <c r="M1553">
        <v>60000</v>
      </c>
      <c r="N1553">
        <v>4.62</v>
      </c>
      <c r="O1553">
        <v>346000</v>
      </c>
      <c r="P1553" t="inlineStr">
        <is>
          <t>68cd17f0287c750001cf1a9f</t>
        </is>
      </c>
      <c r="Q1553"/>
      <c r="R1553" t="inlineStr">
        <is>
          <t>14周</t>
        </is>
      </c>
      <c r="S1553" t="inlineStr">
        <is>
          <t>0.28</t>
        </is>
      </c>
      <c r="T1553" t="inlineStr">
        <is>
          <t>运动潮玩</t>
        </is>
      </c>
      <c r="U1553" t="inlineStr">
        <is>
          <t>图书文创</t>
        </is>
      </c>
      <c r="V1553" s="3">
        <v>46112.78107638889</v>
      </c>
      <c r="W1553" t="inlineStr">
        <is>
          <t>2026-Q1</t>
        </is>
      </c>
    </row>
    <row r="1554" ht="25.5" customHeight="1">
      <c r="A1554" t="inlineStr">
        <is>
          <t>OUOY · 偶语学生党平价懒人隔离脸部遮瑕提亮干皮素颜霜推荐</t>
        </is>
      </c>
      <c r="B1554" t="inlineStr">
        <is>
          <t>recveyWM0om50z.jpg</t>
        </is>
      </c>
      <c r="C1554" s="2" t="str">
        <f>=HYPERLINK("https://xhslink.com/m/8JVfYiVkSar", "https://xhslink.com/m/8JVfYiVkSar")</f>
        <v>https://xhslink.com/m/8JVfYiVkSar</v>
      </c>
      <c r="D1554"/>
      <c r="E1554">
        <v>82000</v>
      </c>
      <c r="F1554">
        <v>73.9</v>
      </c>
      <c r="G1554">
        <v>44.9</v>
      </c>
      <c r="H1554">
        <v>200</v>
      </c>
      <c r="I1554" t="inlineStr">
        <is>
          <t>实用好物</t>
        </is>
      </c>
      <c r="J1554" t="inlineStr">
        <is>
          <t>0.00</t>
        </is>
      </c>
      <c r="K1554" t="inlineStr">
        <is>
          <t>🔥低粉爆款</t>
        </is>
      </c>
      <c r="L1554" t="inlineStr">
        <is>
          <t>OUOY旗舰店</t>
        </is>
      </c>
      <c r="M1554">
        <v>18000</v>
      </c>
      <c r="N1554">
        <v>4.51</v>
      </c>
      <c r="O1554">
        <v>1278000</v>
      </c>
      <c r="P1554" t="inlineStr">
        <is>
          <t>68b6bf8d95220f0001e07d3d</t>
        </is>
      </c>
      <c r="Q1554" t="inlineStr">
        <is>
          <t>🚫重复</t>
        </is>
      </c>
      <c r="R1554" t="inlineStr">
        <is>
          <t>14周</t>
        </is>
      </c>
      <c r="S1554" t="inlineStr">
        <is>
          <t>4.56</t>
        </is>
      </c>
      <c r="T1554" t="inlineStr">
        <is>
          <t>美妆个护</t>
        </is>
      </c>
      <c r="U1554" t="inlineStr">
        <is>
          <t>护肤彩妆</t>
        </is>
      </c>
      <c r="V1554" s="3">
        <v>46112.78107638889</v>
      </c>
      <c r="W1554" t="inlineStr">
        <is>
          <t>2026-Q1</t>
        </is>
      </c>
    </row>
    <row r="1555" ht="25.5" customHeight="1">
      <c r="A1555" t="inlineStr">
        <is>
          <t>氧默 · 黑麦全麦面包整箱吐司代餐饱腹无添蔗糖精粗粮主食脂健康早餐食品</t>
        </is>
      </c>
      <c r="B1555" t="inlineStr">
        <is>
          <t>recveyWM0o1Cdc.jpg</t>
        </is>
      </c>
      <c r="C1555" s="2" t="str">
        <f>=HYPERLINK("https://xhslink.com/m/AitdialfqJe", "https://xhslink.com/m/AitdialfqJe")</f>
        <v>https://xhslink.com/m/AitdialfqJe</v>
      </c>
      <c r="D1555"/>
      <c r="E1555">
        <v>104000</v>
      </c>
      <c r="F1555">
        <v>16.9</v>
      </c>
      <c r="G1555"/>
      <c r="H1555">
        <v>200</v>
      </c>
      <c r="I1555" t="inlineStr">
        <is>
          <t>零食</t>
        </is>
      </c>
      <c r="J1555" t="inlineStr">
        <is>
          <t>0.00</t>
        </is>
      </c>
      <c r="K1555" t="inlineStr">
        <is>
          <t>🔥低粉爆款</t>
        </is>
      </c>
      <c r="L1555" t="inlineStr">
        <is>
          <t>氧默旗舰店</t>
        </is>
      </c>
      <c r="M1555">
        <v>26000</v>
      </c>
      <c r="N1555">
        <v>4.58</v>
      </c>
      <c r="O1555">
        <v>259000</v>
      </c>
      <c r="P1555" t="inlineStr">
        <is>
          <t>63fbfa67774c400001762d79</t>
        </is>
      </c>
      <c r="Q1555" t="inlineStr">
        <is>
          <t>🚫重复</t>
        </is>
      </c>
      <c r="R1555" t="inlineStr">
        <is>
          <t>14周</t>
        </is>
      </c>
      <c r="S1555" t="inlineStr">
        <is>
          <t>4.00</t>
        </is>
      </c>
      <c r="T1555" t="inlineStr">
        <is>
          <t>美食滋补</t>
        </is>
      </c>
      <c r="U1555" t="inlineStr">
        <is>
          <t>休闲零食</t>
        </is>
      </c>
      <c r="V1555" s="3">
        <v>46112.78107638889</v>
      </c>
      <c r="W1555" t="inlineStr">
        <is>
          <t>2026-Q1</t>
        </is>
      </c>
    </row>
    <row r="1556" ht="25.5" customHeight="1">
      <c r="A1556" t="inlineStr">
        <is>
          <t>舟山弄堂薄皮小馄饨手工现做，薄如蝉翼，只用本地猪，新鲜早餐</t>
        </is>
      </c>
      <c r="B1556" t="inlineStr">
        <is>
          <t>recveyWM0ozsoY.jpg</t>
        </is>
      </c>
      <c r="C1556" s="2" t="str">
        <f>=HYPERLINK("https://xhslink.com/m/1qwuniQQtmz", "https://xhslink.com/m/1qwuniQQtmz")</f>
        <v>https://xhslink.com/m/1qwuniQQtmz</v>
      </c>
      <c r="D1556"/>
      <c r="E1556">
        <v>62000</v>
      </c>
      <c r="F1556">
        <v>129.9</v>
      </c>
      <c r="G1556"/>
      <c r="H1556">
        <v>200</v>
      </c>
      <c r="I1556" t="inlineStr">
        <is>
          <t>早餐</t>
        </is>
      </c>
      <c r="J1556" t="inlineStr">
        <is>
          <t>0.00</t>
        </is>
      </c>
      <c r="K1556" t="inlineStr">
        <is>
          <t>🔥低粉爆款</t>
        </is>
      </c>
      <c r="L1556" t="inlineStr">
        <is>
          <t>三兔船长的店</t>
        </is>
      </c>
      <c r="M1556">
        <v>20000</v>
      </c>
      <c r="N1556">
        <v>4.68</v>
      </c>
      <c r="O1556">
        <v>111000</v>
      </c>
      <c r="P1556" t="inlineStr">
        <is>
          <t>66d16cc50eae590001dee31c</t>
        </is>
      </c>
      <c r="Q1556" t="inlineStr">
        <is>
          <t>🚫重复</t>
        </is>
      </c>
      <c r="R1556" t="inlineStr">
        <is>
          <t>14周</t>
        </is>
      </c>
      <c r="S1556" t="inlineStr">
        <is>
          <t>3.10</t>
        </is>
      </c>
      <c r="T1556" t="inlineStr">
        <is>
          <t>美食滋补</t>
        </is>
      </c>
      <c r="U1556" t="inlineStr">
        <is>
          <t>休闲零食</t>
        </is>
      </c>
      <c r="V1556" s="3">
        <v>46112.78107638889</v>
      </c>
      <c r="W1556" t="inlineStr">
        <is>
          <t>2026-Q1</t>
        </is>
      </c>
    </row>
    <row r="1557" ht="25.5" customHeight="1">
      <c r="A1557" t="inlineStr">
        <is>
          <t>【口味自选】5盒口味任选 手工薄皮馄饨多口味带料包</t>
        </is>
      </c>
      <c r="B1557" t="inlineStr">
        <is>
          <t>recveyWM0ohmy2.jpg</t>
        </is>
      </c>
      <c r="C1557" s="2" t="str">
        <f>=HYPERLINK("https://xhslink.com/m/2NgdBZEqtvd", "https://xhslink.com/m/2NgdBZEqtvd")</f>
        <v>https://xhslink.com/m/2NgdBZEqtvd</v>
      </c>
      <c r="D1557"/>
      <c r="E1557">
        <v>30000</v>
      </c>
      <c r="F1557">
        <v>20</v>
      </c>
      <c r="G1557"/>
      <c r="H1557">
        <v>200</v>
      </c>
      <c r="I1557" t="inlineStr">
        <is>
          <t>早餐</t>
        </is>
      </c>
      <c r="J1557" t="inlineStr">
        <is>
          <t>0.01</t>
        </is>
      </c>
      <c r="K1557" t="inlineStr">
        <is>
          <t>🔥低粉爆款</t>
        </is>
      </c>
      <c r="L1557" t="inlineStr">
        <is>
          <t>馄饨同学的店</t>
        </is>
      </c>
      <c r="M1557">
        <v>752</v>
      </c>
      <c r="N1557">
        <v>4.53</v>
      </c>
      <c r="O1557">
        <v>33000</v>
      </c>
      <c r="P1557" t="inlineStr">
        <is>
          <t>694a4f1d94f9dc0001f25fae</t>
        </is>
      </c>
      <c r="Q1557"/>
      <c r="R1557" t="inlineStr">
        <is>
          <t>14周</t>
        </is>
      </c>
      <c r="S1557" t="inlineStr">
        <is>
          <t>39.89</t>
        </is>
      </c>
      <c r="T1557" t="inlineStr">
        <is>
          <t>美食滋补</t>
        </is>
      </c>
      <c r="U1557" t="inlineStr">
        <is>
          <t>休闲零食</t>
        </is>
      </c>
      <c r="V1557" s="3">
        <v>46112.78107638889</v>
      </c>
      <c r="W1557" t="inlineStr">
        <is>
          <t>2026-Q1</t>
        </is>
      </c>
    </row>
    <row r="1558" ht="25.5" customHeight="1">
      <c r="A1558" t="inlineStr">
        <is>
          <t>破包子红油辣包子红烧肉包子麻辣豆腐包牛肉包鲜肉包老面酱香肉包</t>
        </is>
      </c>
      <c r="B1558" t="inlineStr">
        <is>
          <t>recveyWM0o3xTi.jpg</t>
        </is>
      </c>
      <c r="C1558" s="2" t="str">
        <f>=HYPERLINK("https://xhslink.com/m/AkombknLtH9", "https://xhslink.com/m/AkombknLtH9")</f>
        <v>https://xhslink.com/m/AkombknLtH9</v>
      </c>
      <c r="D1558"/>
      <c r="E1558">
        <v>5033</v>
      </c>
      <c r="F1558">
        <v>69.9</v>
      </c>
      <c r="G1558">
        <v>49.9</v>
      </c>
      <c r="H1558">
        <v>200</v>
      </c>
      <c r="I1558" t="inlineStr">
        <is>
          <t>早餐</t>
        </is>
      </c>
      <c r="J1558" t="inlineStr">
        <is>
          <t>0.04</t>
        </is>
      </c>
      <c r="K1558" t="inlineStr">
        <is>
          <t>🔥低粉爆款</t>
        </is>
      </c>
      <c r="L1558" t="inlineStr">
        <is>
          <t>稻芳斋的店</t>
        </is>
      </c>
      <c r="M1558">
        <v>170</v>
      </c>
      <c r="N1558">
        <v>4.4</v>
      </c>
      <c r="O1558">
        <v>5910</v>
      </c>
      <c r="P1558" t="inlineStr">
        <is>
          <t>695df5c9385a740001ce6d3a</t>
        </is>
      </c>
      <c r="Q1558"/>
      <c r="R1558" t="inlineStr">
        <is>
          <t>14周</t>
        </is>
      </c>
      <c r="S1558" t="inlineStr">
        <is>
          <t>29.61</t>
        </is>
      </c>
      <c r="T1558" t="inlineStr">
        <is>
          <t>美食滋补</t>
        </is>
      </c>
      <c r="U1558" t="inlineStr">
        <is>
          <t>生鲜特产</t>
        </is>
      </c>
      <c r="V1558" s="3">
        <v>46112.78107638889</v>
      </c>
      <c r="W1558" t="inlineStr">
        <is>
          <t>2026-Q1</t>
        </is>
      </c>
    </row>
    <row r="1559" ht="25.5" customHeight="1">
      <c r="A1559" t="inlineStr">
        <is>
          <t>婚礼抛洒娃娃毕业礼物学生礼物活动小礼品挂件套餐（普通版）</t>
        </is>
      </c>
      <c r="B1559" t="inlineStr">
        <is>
          <t>recveCblQ9VPtp.jpg</t>
        </is>
      </c>
      <c r="C1559" s="2" t="str">
        <f>=HYPERLINK("https://xhslink.com/m/6iZrQKsdbCf", "https://xhslink.com/m/6iZrQKsdbCf")</f>
        <v>https://xhslink.com/m/6iZrQKsdbCf</v>
      </c>
      <c r="D1559"/>
      <c r="E1559">
        <v>11000</v>
      </c>
      <c r="F1559">
        <v>123</v>
      </c>
      <c r="G1559"/>
      <c r="H1559">
        <v>200</v>
      </c>
      <c r="I1559" t="inlineStr">
        <is>
          <t>挂饰</t>
        </is>
      </c>
      <c r="J1559" t="inlineStr">
        <is>
          <t>0.02</t>
        </is>
      </c>
      <c r="K1559"/>
      <c r="L1559" t="inlineStr">
        <is>
          <t>Sumgift拾礼集的店</t>
        </is>
      </c>
      <c r="M1559">
        <v>12000</v>
      </c>
      <c r="N1559">
        <v>4.72</v>
      </c>
      <c r="O1559">
        <v>12000</v>
      </c>
      <c r="P1559" t="inlineStr">
        <is>
          <t>685cbc2ce47da7000106fc47</t>
        </is>
      </c>
      <c r="Q1559" t="inlineStr">
        <is>
          <t>🚫重复</t>
        </is>
      </c>
      <c r="R1559" t="inlineStr">
        <is>
          <t>14周</t>
        </is>
      </c>
      <c r="S1559" t="inlineStr">
        <is>
          <t>0.92</t>
        </is>
      </c>
      <c r="T1559" t="inlineStr">
        <is>
          <t>服饰穿搭</t>
        </is>
      </c>
      <c r="U1559" t="inlineStr">
        <is>
          <t>配饰</t>
        </is>
      </c>
      <c r="V1559" s="3">
        <v>46112.78107638889</v>
      </c>
      <c r="W1559" t="inlineStr">
        <is>
          <t>2026-Q1</t>
        </is>
      </c>
    </row>
    <row r="1560" ht="25.5" customHeight="1">
      <c r="A1560" t="inlineStr">
        <is>
          <t>【海洋总动员盲盒】毛绒挂件盲盒包包挂件搪胶毛绒挂件礼物推荐~</t>
        </is>
      </c>
      <c r="B1560" t="inlineStr">
        <is>
          <t>recveCblQ94T31.jpg</t>
        </is>
      </c>
      <c r="C1560" s="2" t="str">
        <f>=HYPERLINK("https://xhslink.com/m/8pzjwf1c2N0", "https://xhslink.com/m/8pzjwf1c2N0")</f>
        <v>https://xhslink.com/m/8pzjwf1c2N0</v>
      </c>
      <c r="D1560"/>
      <c r="E1560">
        <v>15000</v>
      </c>
      <c r="F1560">
        <v>26.8</v>
      </c>
      <c r="G1560">
        <v>23.58</v>
      </c>
      <c r="H1560">
        <v>200</v>
      </c>
      <c r="I1560" t="inlineStr">
        <is>
          <t>挂饰</t>
        </is>
      </c>
      <c r="J1560" t="inlineStr">
        <is>
          <t>0.01</t>
        </is>
      </c>
      <c r="K1560" t="inlineStr">
        <is>
          <t>🔥低粉爆款</t>
        </is>
      </c>
      <c r="L1560" t="inlineStr">
        <is>
          <t>玩具箱物语的店</t>
        </is>
      </c>
      <c r="M1560">
        <v>1700</v>
      </c>
      <c r="N1560">
        <v>4.55</v>
      </c>
      <c r="O1560">
        <v>50000</v>
      </c>
      <c r="P1560" t="inlineStr">
        <is>
          <t>685c16253a11a800014c0873</t>
        </is>
      </c>
      <c r="Q1560" t="inlineStr">
        <is>
          <t>🚫重复</t>
        </is>
      </c>
      <c r="R1560" t="inlineStr">
        <is>
          <t>14周</t>
        </is>
      </c>
      <c r="S1560" t="inlineStr">
        <is>
          <t>8.82</t>
        </is>
      </c>
      <c r="T1560" t="inlineStr">
        <is>
          <t>服饰穿搭</t>
        </is>
      </c>
      <c r="U1560" t="inlineStr">
        <is>
          <t>鞋靴箱包</t>
        </is>
      </c>
      <c r="V1560" s="3">
        <v>46112.78107638889</v>
      </c>
      <c r="W1560" t="inlineStr">
        <is>
          <t>2026-Q1</t>
        </is>
      </c>
    </row>
    <row r="1561" ht="25.5" customHeight="1">
      <c r="A1561" t="inlineStr">
        <is>
          <t>不想失业原创熊猫卷卷挂件红眼镜古早味可爱包包挂饰钥匙扣</t>
        </is>
      </c>
      <c r="B1561" t="inlineStr">
        <is>
          <t>recveCblQ9QQ3C.jpg</t>
        </is>
      </c>
      <c r="C1561" s="2" t="str">
        <f>=HYPERLINK("https://xhslink.com/m/JhsruclmwQ", "https://xhslink.com/m/JhsruclmwQ")</f>
        <v>https://xhslink.com/m/JhsruclmwQ</v>
      </c>
      <c r="D1561"/>
      <c r="E1561">
        <v>11000</v>
      </c>
      <c r="F1561">
        <v>28.8</v>
      </c>
      <c r="G1561">
        <v>25.34</v>
      </c>
      <c r="H1561">
        <v>200</v>
      </c>
      <c r="I1561" t="inlineStr">
        <is>
          <t>挂饰</t>
        </is>
      </c>
      <c r="J1561" t="inlineStr">
        <is>
          <t>0.02</t>
        </is>
      </c>
      <c r="K1561"/>
      <c r="L1561" t="inlineStr">
        <is>
          <t>不想失业的店</t>
        </is>
      </c>
      <c r="M1561">
        <v>96000</v>
      </c>
      <c r="N1561">
        <v>4.65</v>
      </c>
      <c r="O1561">
        <v>176000</v>
      </c>
      <c r="P1561" t="inlineStr">
        <is>
          <t>6883210722713e00010cf952</t>
        </is>
      </c>
      <c r="Q1561" t="inlineStr">
        <is>
          <t>🚫重复</t>
        </is>
      </c>
      <c r="R1561" t="inlineStr">
        <is>
          <t>14周</t>
        </is>
      </c>
      <c r="S1561" t="inlineStr">
        <is>
          <t>0.11</t>
        </is>
      </c>
      <c r="T1561" t="inlineStr">
        <is>
          <t>服饰穿搭</t>
        </is>
      </c>
      <c r="U1561" t="inlineStr">
        <is>
          <t>鞋靴箱包</t>
        </is>
      </c>
      <c r="V1561" s="3">
        <v>46112.78107638889</v>
      </c>
      <c r="W1561" t="inlineStr">
        <is>
          <t>2026-Q1</t>
        </is>
      </c>
    </row>
    <row r="1562" ht="25.5" customHeight="1">
      <c r="A1562" t="inlineStr">
        <is>
          <t>BANDAI · 韩国地区限定 拓麻歌子麻美吉咪咪吉甜心吉黑豆吉公仔挂件</t>
        </is>
      </c>
      <c r="B1562" t="inlineStr">
        <is>
          <t>recveCblQ9QNtK.jpg</t>
        </is>
      </c>
      <c r="C1562" s="2" t="str">
        <f>=HYPERLINK("https://xhslink.com/m/5ic7ninJCI3", "https://xhslink.com/m/5ic7ninJCI3")</f>
        <v>https://xhslink.com/m/5ic7ninJCI3</v>
      </c>
      <c r="D1562"/>
      <c r="E1562">
        <v>1167</v>
      </c>
      <c r="F1562">
        <v>54</v>
      </c>
      <c r="G1562"/>
      <c r="H1562">
        <v>200</v>
      </c>
      <c r="I1562" t="inlineStr">
        <is>
          <t>毛绒玩偶</t>
        </is>
      </c>
      <c r="J1562" t="inlineStr">
        <is>
          <t>0.17</t>
        </is>
      </c>
      <c r="K1562"/>
      <c r="L1562" t="inlineStr">
        <is>
          <t>LLshop 韩国饰品的店</t>
        </is>
      </c>
      <c r="M1562">
        <v>4085</v>
      </c>
      <c r="N1562">
        <v>4.59</v>
      </c>
      <c r="O1562">
        <v>8023</v>
      </c>
      <c r="P1562" t="inlineStr">
        <is>
          <t>6968f4259c8a6a0001be8ce2</t>
        </is>
      </c>
      <c r="Q1562"/>
      <c r="R1562" t="inlineStr">
        <is>
          <t>14周</t>
        </is>
      </c>
      <c r="S1562" t="inlineStr">
        <is>
          <t>0.29</t>
        </is>
      </c>
      <c r="T1562" t="inlineStr">
        <is>
          <t>母婴亲子</t>
        </is>
      </c>
      <c r="U1562" t="inlineStr">
        <is>
          <t>玩具早教</t>
        </is>
      </c>
      <c r="V1562" s="3">
        <v>46112.78107638889</v>
      </c>
      <c r="W1562" t="inlineStr">
        <is>
          <t>2026-Q1</t>
        </is>
      </c>
    </row>
    <row r="1563" ht="25.5" customHeight="1">
      <c r="A1563" t="inlineStr">
        <is>
          <t>可爱生日礼物乖乖羊毛绒玩偶玩具公仔娃娃送女生闺蜜男朋友毕业季</t>
        </is>
      </c>
      <c r="B1563" t="inlineStr">
        <is>
          <t>recveCblQ98YdB.jpg</t>
        </is>
      </c>
      <c r="C1563" s="2" t="str">
        <f>=HYPERLINK("https://xhslink.com/m/9mWC1lQVlMP", "https://xhslink.com/m/9mWC1lQVlMP")</f>
        <v>https://xhslink.com/m/9mWC1lQVlMP</v>
      </c>
      <c r="D1563"/>
      <c r="E1563">
        <v>1755</v>
      </c>
      <c r="F1563">
        <v>56.13</v>
      </c>
      <c r="G1563">
        <v>41.9</v>
      </c>
      <c r="H1563">
        <v>200</v>
      </c>
      <c r="I1563" t="inlineStr">
        <is>
          <t>毛绒玩偶</t>
        </is>
      </c>
      <c r="J1563" t="inlineStr">
        <is>
          <t>0.11</t>
        </is>
      </c>
      <c r="K1563"/>
      <c r="L1563" t="inlineStr">
        <is>
          <t>纯爱战士的礼物的店</t>
        </is>
      </c>
      <c r="M1563">
        <v>11000</v>
      </c>
      <c r="N1563">
        <v>4.54</v>
      </c>
      <c r="O1563">
        <v>43000</v>
      </c>
      <c r="P1563" t="inlineStr">
        <is>
          <t>696bdd1d19260d000136755a</t>
        </is>
      </c>
      <c r="Q1563" t="inlineStr">
        <is>
          <t>🚫重复</t>
        </is>
      </c>
      <c r="R1563" t="inlineStr">
        <is>
          <t>14周</t>
        </is>
      </c>
      <c r="S1563" t="inlineStr">
        <is>
          <t>0.16</t>
        </is>
      </c>
      <c r="T1563" t="inlineStr">
        <is>
          <t>母婴亲子</t>
        </is>
      </c>
      <c r="U1563" t="inlineStr">
        <is>
          <t>玩具早教</t>
        </is>
      </c>
      <c r="V1563" s="3">
        <v>46112.78107638889</v>
      </c>
      <c r="W1563" t="inlineStr">
        <is>
          <t>2026-Q1</t>
        </is>
      </c>
    </row>
    <row r="1564" ht="25.5" customHeight="1">
      <c r="A1564" t="inlineStr">
        <is>
          <t>【预售】yaya原创鬼灭之刃同人鬼杀队10cm棉花娃娃（非官方）</t>
        </is>
      </c>
      <c r="B1564" t="inlineStr">
        <is>
          <t>recveCblQ9Ko2h.jpg</t>
        </is>
      </c>
      <c r="C1564" s="2" t="str">
        <f>=HYPERLINK("https://xhslink.com/m/2t9T4BeS6EF", "https://xhslink.com/m/2t9T4BeS6EF")</f>
        <v>https://xhslink.com/m/2t9T4BeS6EF</v>
      </c>
      <c r="D1564"/>
      <c r="E1564">
        <v>87000</v>
      </c>
      <c r="F1564">
        <v>50</v>
      </c>
      <c r="G1564"/>
      <c r="H1564">
        <v>200</v>
      </c>
      <c r="I1564" t="inlineStr">
        <is>
          <t>棉花娃娃</t>
        </is>
      </c>
      <c r="J1564" t="inlineStr">
        <is>
          <t>0.00</t>
        </is>
      </c>
      <c r="K1564" t="inlineStr">
        <is>
          <t>🔥低粉爆款</t>
        </is>
      </c>
      <c r="L1564" t="inlineStr">
        <is>
          <t>yaya来电的店</t>
        </is>
      </c>
      <c r="M1564">
        <v>16000</v>
      </c>
      <c r="N1564">
        <v>4.59</v>
      </c>
      <c r="O1564">
        <v>203000</v>
      </c>
      <c r="P1564" t="inlineStr">
        <is>
          <t>692d828446e53000016659f9</t>
        </is>
      </c>
      <c r="Q1564" t="inlineStr">
        <is>
          <t>🚫重复</t>
        </is>
      </c>
      <c r="R1564" t="inlineStr">
        <is>
          <t>14周</t>
        </is>
      </c>
      <c r="S1564" t="inlineStr">
        <is>
          <t>5.44</t>
        </is>
      </c>
      <c r="T1564" t="inlineStr">
        <is>
          <t>运动潮玩</t>
        </is>
      </c>
      <c r="U1564" t="inlineStr">
        <is>
          <t>潮玩手办</t>
        </is>
      </c>
      <c r="V1564" s="3">
        <v>46112.78107638889</v>
      </c>
      <c r="W1564" t="inlineStr">
        <is>
          <t>2026-Q1</t>
        </is>
      </c>
    </row>
    <row r="1565" ht="25.5" customHeight="1">
      <c r="A1565" t="inlineStr">
        <is>
          <t>【预售】少司缘瑶桑启王昭君朵莉亚10cm印花努努王者荣耀原创同人</t>
        </is>
      </c>
      <c r="B1565" t="inlineStr">
        <is>
          <t>recveCblQ9Bzp5.jpg</t>
        </is>
      </c>
      <c r="C1565" s="2" t="str">
        <f>=HYPERLINK("https://xhslink.com/m/8l3KCTHHbSh", "https://xhslink.com/m/8l3KCTHHbSh")</f>
        <v>https://xhslink.com/m/8l3KCTHHbSh</v>
      </c>
      <c r="D1565"/>
      <c r="E1565">
        <v>3069</v>
      </c>
      <c r="F1565">
        <v>49</v>
      </c>
      <c r="G1565"/>
      <c r="H1565">
        <v>200</v>
      </c>
      <c r="I1565" t="inlineStr">
        <is>
          <t>棉花娃娃</t>
        </is>
      </c>
      <c r="J1565" t="inlineStr">
        <is>
          <t>0.07</t>
        </is>
      </c>
      <c r="K1565"/>
      <c r="L1565" t="inlineStr">
        <is>
          <t>Wawa小厨的店</t>
        </is>
      </c>
      <c r="M1565">
        <v>10000</v>
      </c>
      <c r="N1565">
        <v>4.56</v>
      </c>
      <c r="O1565">
        <v>9745</v>
      </c>
      <c r="P1565" t="inlineStr">
        <is>
          <t>6986d8a3e04706000102f361</t>
        </is>
      </c>
      <c r="Q1565" t="inlineStr">
        <is>
          <t>🚫重复</t>
        </is>
      </c>
      <c r="R1565" t="inlineStr">
        <is>
          <t>14周</t>
        </is>
      </c>
      <c r="S1565" t="inlineStr">
        <is>
          <t>0.31</t>
        </is>
      </c>
      <c r="T1565" t="inlineStr">
        <is>
          <t>运动潮玩</t>
        </is>
      </c>
      <c r="U1565" t="inlineStr">
        <is>
          <t>潮玩手办</t>
        </is>
      </c>
      <c r="V1565" s="3">
        <v>46112.78107638889</v>
      </c>
      <c r="W1565" t="inlineStr">
        <is>
          <t>2026-Q1</t>
        </is>
      </c>
    </row>
    <row r="1566" ht="25.5" customHeight="1">
      <c r="A1566" t="inlineStr">
        <is>
          <t>【预售】yaya原创鬼灭之刃同人16cm锤锤体棉花娃娃、娃衣（非官方</t>
        </is>
      </c>
      <c r="B1566" t="inlineStr">
        <is>
          <t>recveCblQ9gmRj.jpg</t>
        </is>
      </c>
      <c r="C1566" s="2" t="str">
        <f>=HYPERLINK("https://xhslink.com/m/8SDCK5KGWoz", "https://xhslink.com/m/8SDCK5KGWoz")</f>
        <v>https://xhslink.com/m/8SDCK5KGWoz</v>
      </c>
      <c r="D1566"/>
      <c r="E1566">
        <v>3038</v>
      </c>
      <c r="F1566">
        <v>56</v>
      </c>
      <c r="G1566"/>
      <c r="H1566">
        <v>200</v>
      </c>
      <c r="I1566" t="inlineStr">
        <is>
          <t>棉花娃娃</t>
        </is>
      </c>
      <c r="J1566" t="inlineStr">
        <is>
          <t>0.07</t>
        </is>
      </c>
      <c r="K1566"/>
      <c r="L1566" t="inlineStr">
        <is>
          <t>yaya来电的店</t>
        </is>
      </c>
      <c r="M1566">
        <v>16000</v>
      </c>
      <c r="N1566">
        <v>4.59</v>
      </c>
      <c r="O1566">
        <v>203000</v>
      </c>
      <c r="P1566" t="inlineStr">
        <is>
          <t>696e25f28b934200010bdcf9</t>
        </is>
      </c>
      <c r="Q1566" t="inlineStr">
        <is>
          <t>🚫重复</t>
        </is>
      </c>
      <c r="R1566" t="inlineStr">
        <is>
          <t>14周</t>
        </is>
      </c>
      <c r="S1566" t="inlineStr">
        <is>
          <t>0.19</t>
        </is>
      </c>
      <c r="T1566" t="inlineStr">
        <is>
          <t>运动潮玩</t>
        </is>
      </c>
      <c r="U1566" t="inlineStr">
        <is>
          <t>潮玩手办</t>
        </is>
      </c>
      <c r="V1566" s="3">
        <v>46112.78107638889</v>
      </c>
      <c r="W1566" t="inlineStr">
        <is>
          <t>2026-Q1</t>
        </is>
      </c>
    </row>
    <row r="1567" ht="25.5" customHeight="1">
      <c r="A1567" t="inlineStr">
        <is>
          <t>高腰显瘦长腿弹力直筒牛仔裤窄版直筒裤</t>
        </is>
      </c>
      <c r="B1567" t="inlineStr">
        <is>
          <t>recveCblQ9tX3S.jpg</t>
        </is>
      </c>
      <c r="C1567" s="2" t="str">
        <f>=HYPERLINK("https://xhslink.com/m/7oUB44lXn4o", "https://xhslink.com/m/7oUB44lXn4o")</f>
        <v>https://xhslink.com/m/7oUB44lXn4o</v>
      </c>
      <c r="D1567"/>
      <c r="E1567">
        <v>49000</v>
      </c>
      <c r="F1567">
        <v>99</v>
      </c>
      <c r="G1567"/>
      <c r="H1567">
        <v>200</v>
      </c>
      <c r="I1567" t="inlineStr">
        <is>
          <t>牛仔裤</t>
        </is>
      </c>
      <c r="J1567" t="inlineStr">
        <is>
          <t>0.00</t>
        </is>
      </c>
      <c r="K1567"/>
      <c r="L1567" t="inlineStr">
        <is>
          <t>裤王的店</t>
        </is>
      </c>
      <c r="M1567">
        <v>87000</v>
      </c>
      <c r="N1567">
        <v>4.58</v>
      </c>
      <c r="O1567">
        <v>165000</v>
      </c>
      <c r="P1567" t="inlineStr">
        <is>
          <t>653691014d26f80001f2e390</t>
        </is>
      </c>
      <c r="Q1567" t="inlineStr">
        <is>
          <t>🚫重复</t>
        </is>
      </c>
      <c r="R1567" t="inlineStr">
        <is>
          <t>14周</t>
        </is>
      </c>
      <c r="S1567" t="inlineStr">
        <is>
          <t>0.56</t>
        </is>
      </c>
      <c r="T1567" t="inlineStr">
        <is>
          <t>服饰穿搭</t>
        </is>
      </c>
      <c r="U1567" t="inlineStr">
        <is>
          <t>女装</t>
        </is>
      </c>
      <c r="V1567" s="3">
        <v>46112.78107638889</v>
      </c>
      <c r="W1567" t="inlineStr">
        <is>
          <t>2026-Q1</t>
        </is>
      </c>
    </row>
    <row r="1568" ht="25.5" customHeight="1">
      <c r="A1568" t="inlineStr">
        <is>
          <t>【Vancci】万老板最爱牛仔裤！全面弹可拆卸胯垫黑色紧身微喇裤</t>
        </is>
      </c>
      <c r="B1568" t="inlineStr">
        <is>
          <t>recveCblQ9LXWl.jpg</t>
        </is>
      </c>
      <c r="C1568" s="2" t="str">
        <f>=HYPERLINK("https://xhslink.com/m/27EKZPGvGdE", "https://xhslink.com/m/27EKZPGvGdE")</f>
        <v>https://xhslink.com/m/27EKZPGvGdE</v>
      </c>
      <c r="D1568"/>
      <c r="E1568">
        <v>17000</v>
      </c>
      <c r="F1568">
        <v>239</v>
      </c>
      <c r="G1568"/>
      <c r="H1568">
        <v>200</v>
      </c>
      <c r="I1568" t="inlineStr">
        <is>
          <t>牛仔裤</t>
        </is>
      </c>
      <c r="J1568" t="inlineStr">
        <is>
          <t>0.01</t>
        </is>
      </c>
      <c r="K1568"/>
      <c r="L1568" t="inlineStr">
        <is>
          <t>Vancci美衣的店</t>
        </is>
      </c>
      <c r="M1568">
        <v>71000</v>
      </c>
      <c r="N1568">
        <v>4.59</v>
      </c>
      <c r="O1568">
        <v>101000</v>
      </c>
      <c r="P1568" t="inlineStr">
        <is>
          <t>68bfea60a3033000011880be</t>
        </is>
      </c>
      <c r="Q1568" t="inlineStr">
        <is>
          <t>🚫重复</t>
        </is>
      </c>
      <c r="R1568" t="inlineStr">
        <is>
          <t>14周</t>
        </is>
      </c>
      <c r="S1568" t="inlineStr">
        <is>
          <t>0.24</t>
        </is>
      </c>
      <c r="T1568" t="inlineStr">
        <is>
          <t>服饰穿搭</t>
        </is>
      </c>
      <c r="U1568" t="inlineStr">
        <is>
          <t>女装</t>
        </is>
      </c>
      <c r="V1568" s="3">
        <v>46112.78107638889</v>
      </c>
      <c r="W1568" t="inlineStr">
        <is>
          <t>2026-Q1</t>
        </is>
      </c>
    </row>
    <row r="1569" ht="25.5" customHeight="1">
      <c r="A1569" t="inlineStr">
        <is>
          <t>Goo大吉·【复古蓝小阔腿】高腰显瘦弹力微喇叭直筒阔腿拖地裤子</t>
        </is>
      </c>
      <c r="B1569" t="inlineStr">
        <is>
          <t>recveCblQ9sceg.jpg</t>
        </is>
      </c>
      <c r="C1569" s="2" t="str">
        <f>=HYPERLINK("https://xhslink.com/m/2kD5R538vQ1", "https://xhslink.com/m/2kD5R538vQ1")</f>
        <v>https://xhslink.com/m/2kD5R538vQ1</v>
      </c>
      <c r="D1569"/>
      <c r="E1569">
        <v>51000</v>
      </c>
      <c r="F1569">
        <v>105</v>
      </c>
      <c r="G1569">
        <v>88</v>
      </c>
      <c r="H1569">
        <v>200</v>
      </c>
      <c r="I1569" t="inlineStr">
        <is>
          <t>牛仔裤</t>
        </is>
      </c>
      <c r="J1569" t="inlineStr">
        <is>
          <t>0.00</t>
        </is>
      </c>
      <c r="K1569"/>
      <c r="L1569" t="inlineStr">
        <is>
          <t>Goo大吉的店</t>
        </is>
      </c>
      <c r="M1569">
        <v>56000</v>
      </c>
      <c r="N1569">
        <v>4.55</v>
      </c>
      <c r="O1569">
        <v>241000</v>
      </c>
      <c r="P1569" t="inlineStr">
        <is>
          <t>689db70f4eed2d0001cbbf5b</t>
        </is>
      </c>
      <c r="Q1569" t="inlineStr">
        <is>
          <t>🚫重复</t>
        </is>
      </c>
      <c r="R1569" t="inlineStr">
        <is>
          <t>14周</t>
        </is>
      </c>
      <c r="S1569" t="inlineStr">
        <is>
          <t>0.91</t>
        </is>
      </c>
      <c r="T1569" t="inlineStr">
        <is>
          <t>服饰穿搭</t>
        </is>
      </c>
      <c r="U1569" t="inlineStr">
        <is>
          <t>女装</t>
        </is>
      </c>
      <c r="V1569" s="3">
        <v>46112.78107638889</v>
      </c>
      <c r="W1569" t="inlineStr">
        <is>
          <t>2026-Q1</t>
        </is>
      </c>
    </row>
    <row r="1570" ht="25.5" customHeight="1">
      <c r="A1570" t="inlineStr">
        <is>
          <t>【瘦腿裤】｛高品质｝JIJIA显瘦窄版高腰直筒四面弹牛仔裤 九分裤</t>
        </is>
      </c>
      <c r="B1570" t="inlineStr">
        <is>
          <t>recveCblQ9JmHK.jpg</t>
        </is>
      </c>
      <c r="C1570" s="2" t="str">
        <f>=HYPERLINK("https://xhslink.com/m/9kmjyKm4YjQ", "https://xhslink.com/m/9kmjyKm4YjQ")</f>
        <v>https://xhslink.com/m/9kmjyKm4YjQ</v>
      </c>
      <c r="D1570"/>
      <c r="E1570">
        <v>6834</v>
      </c>
      <c r="F1570">
        <v>239</v>
      </c>
      <c r="G1570"/>
      <c r="H1570">
        <v>200</v>
      </c>
      <c r="I1570" t="inlineStr">
        <is>
          <t>牛仔裤</t>
        </is>
      </c>
      <c r="J1570" t="inlineStr">
        <is>
          <t>0.03</t>
        </is>
      </c>
      <c r="K1570"/>
      <c r="L1570" t="inlineStr">
        <is>
          <t>三天没有熬夜的店</t>
        </is>
      </c>
      <c r="M1570">
        <v>10000</v>
      </c>
      <c r="N1570">
        <v>4.7</v>
      </c>
      <c r="O1570">
        <v>50000</v>
      </c>
      <c r="P1570" t="inlineStr">
        <is>
          <t>688fa3ec79bc470001351608</t>
        </is>
      </c>
      <c r="Q1570" t="inlineStr">
        <is>
          <t>🚫重复</t>
        </is>
      </c>
      <c r="R1570" t="inlineStr">
        <is>
          <t>14周</t>
        </is>
      </c>
      <c r="S1570" t="inlineStr">
        <is>
          <t>0.68</t>
        </is>
      </c>
      <c r="T1570" t="inlineStr">
        <is>
          <t>服饰穿搭</t>
        </is>
      </c>
      <c r="U1570" t="inlineStr">
        <is>
          <t>女装</t>
        </is>
      </c>
      <c r="V1570" s="3">
        <v>46112.78107638889</v>
      </c>
      <c r="W1570" t="inlineStr">
        <is>
          <t>2026-Q1</t>
        </is>
      </c>
    </row>
    <row r="1571" ht="25.5" customHeight="1">
      <c r="A1571" t="inlineStr">
        <is>
          <t>哈哈ootd  春季新款宝蓝色工装牛仔裤女高腰宽松设计感拖地阔腿裤</t>
        </is>
      </c>
      <c r="B1571" t="inlineStr">
        <is>
          <t>recveCblQ9xIYh.jpg</t>
        </is>
      </c>
      <c r="C1571" s="2" t="str">
        <f>=HYPERLINK("https://xhslink.com/m/4vt2FxfaXn6", "https://xhslink.com/m/4vt2FxfaXn6")</f>
        <v>https://xhslink.com/m/4vt2FxfaXn6</v>
      </c>
      <c r="D1571"/>
      <c r="E1571">
        <v>7847</v>
      </c>
      <c r="F1571">
        <v>128</v>
      </c>
      <c r="G1571">
        <v>91</v>
      </c>
      <c r="H1571">
        <v>200</v>
      </c>
      <c r="I1571" t="inlineStr">
        <is>
          <t>牛仔裤</t>
        </is>
      </c>
      <c r="J1571" t="inlineStr">
        <is>
          <t>0.03</t>
        </is>
      </c>
      <c r="K1571"/>
      <c r="L1571" t="inlineStr">
        <is>
          <t>哈哈ootd的店</t>
        </is>
      </c>
      <c r="M1571">
        <v>3598</v>
      </c>
      <c r="N1571">
        <v>4.75</v>
      </c>
      <c r="O1571">
        <v>21000</v>
      </c>
      <c r="P1571" t="inlineStr">
        <is>
          <t>689d5501015b440001fe204d</t>
        </is>
      </c>
      <c r="Q1571" t="inlineStr">
        <is>
          <t>🚫重复</t>
        </is>
      </c>
      <c r="R1571" t="inlineStr">
        <is>
          <t>14周</t>
        </is>
      </c>
      <c r="S1571" t="inlineStr">
        <is>
          <t>2.18</t>
        </is>
      </c>
      <c r="T1571" t="inlineStr">
        <is>
          <t>服饰穿搭</t>
        </is>
      </c>
      <c r="U1571" t="inlineStr">
        <is>
          <t>女装</t>
        </is>
      </c>
      <c r="V1571" s="3">
        <v>46112.78107638889</v>
      </c>
      <c r="W1571" t="inlineStr">
        <is>
          <t>2026-Q1</t>
        </is>
      </c>
    </row>
    <row r="1572" ht="25.5" customHeight="1">
      <c r="A1572" t="inlineStr">
        <is>
          <t>气质在线“浅雾拿铁裤”遮胯显瘦高腰直筒牛仔裤女 新款</t>
        </is>
      </c>
      <c r="B1572" t="inlineStr">
        <is>
          <t>recveCblQ9nHzu.jpg</t>
        </is>
      </c>
      <c r="C1572" s="2" t="str">
        <f>=HYPERLINK("https://xhslink.com/m/4yGaRFoxoRp", "https://xhslink.com/m/4yGaRFoxoRp")</f>
        <v>https://xhslink.com/m/4yGaRFoxoRp</v>
      </c>
      <c r="D1572"/>
      <c r="E1572">
        <v>2211</v>
      </c>
      <c r="F1572">
        <v>289</v>
      </c>
      <c r="G1572">
        <v>279</v>
      </c>
      <c r="H1572">
        <v>200</v>
      </c>
      <c r="I1572" t="inlineStr">
        <is>
          <t>牛仔裤</t>
        </is>
      </c>
      <c r="J1572" t="inlineStr">
        <is>
          <t>0.09</t>
        </is>
      </c>
      <c r="K1572"/>
      <c r="L1572" t="inlineStr">
        <is>
          <t>jiajia凝的店</t>
        </is>
      </c>
      <c r="M1572">
        <v>5881</v>
      </c>
      <c r="N1572">
        <v>4.67</v>
      </c>
      <c r="O1572">
        <v>36000</v>
      </c>
      <c r="P1572" t="inlineStr">
        <is>
          <t>697324ec1cd3a60001d55b0b</t>
        </is>
      </c>
      <c r="Q1572" t="inlineStr">
        <is>
          <t>🚫重复</t>
        </is>
      </c>
      <c r="R1572" t="inlineStr">
        <is>
          <t>14周</t>
        </is>
      </c>
      <c r="S1572" t="inlineStr">
        <is>
          <t>0.38</t>
        </is>
      </c>
      <c r="T1572" t="inlineStr">
        <is>
          <t>服饰穿搭</t>
        </is>
      </c>
      <c r="U1572" t="inlineStr">
        <is>
          <t>女装</t>
        </is>
      </c>
      <c r="V1572" s="3">
        <v>46112.78107638889</v>
      </c>
      <c r="W1572" t="inlineStr">
        <is>
          <t>2026-Q1</t>
        </is>
      </c>
    </row>
    <row r="1573" ht="25.5" customHeight="1">
      <c r="A1573" t="inlineStr">
        <is>
          <t>栀禾*多巴胺美式高腰宽松直筒阔腿裤拖地牛仔裤</t>
        </is>
      </c>
      <c r="B1573" t="inlineStr">
        <is>
          <t>recveCblQ97tLr.jpg</t>
        </is>
      </c>
      <c r="C1573" s="2" t="str">
        <f>=HYPERLINK("https://xhslink.com/m/2x1ohSG3GTk", "https://xhslink.com/m/2x1ohSG3GTk")</f>
        <v>https://xhslink.com/m/2x1ohSG3GTk</v>
      </c>
      <c r="D1573"/>
      <c r="E1573">
        <v>7784</v>
      </c>
      <c r="F1573">
        <v>92</v>
      </c>
      <c r="G1573">
        <v>89</v>
      </c>
      <c r="H1573">
        <v>200</v>
      </c>
      <c r="I1573" t="inlineStr">
        <is>
          <t>牛仔裤</t>
        </is>
      </c>
      <c r="J1573" t="inlineStr">
        <is>
          <t>0.03</t>
        </is>
      </c>
      <c r="K1573"/>
      <c r="L1573" t="inlineStr">
        <is>
          <t>栀禾服饰的店</t>
        </is>
      </c>
      <c r="M1573">
        <v>10000</v>
      </c>
      <c r="N1573">
        <v>4.61</v>
      </c>
      <c r="O1573">
        <v>54000</v>
      </c>
      <c r="P1573" t="inlineStr">
        <is>
          <t>67bc346149f1f100015ab0e9</t>
        </is>
      </c>
      <c r="Q1573" t="inlineStr">
        <is>
          <t>🚫重复</t>
        </is>
      </c>
      <c r="R1573" t="inlineStr">
        <is>
          <t>14周</t>
        </is>
      </c>
      <c r="S1573" t="inlineStr">
        <is>
          <t>0.78</t>
        </is>
      </c>
      <c r="T1573" t="inlineStr">
        <is>
          <t>服饰穿搭</t>
        </is>
      </c>
      <c r="U1573" t="inlineStr">
        <is>
          <t>女装</t>
        </is>
      </c>
      <c r="V1573" s="3">
        <v>46112.78107638889</v>
      </c>
      <c r="W1573" t="inlineStr">
        <is>
          <t>2026-Q1</t>
        </is>
      </c>
    </row>
    <row r="1574" ht="25.5" customHeight="1">
      <c r="A1574" t="inlineStr">
        <is>
          <t>【6M+儿保推荐】蒙氏早教精细动作训练毛毡撕不烂忙碌书</t>
        </is>
      </c>
      <c r="B1574" t="inlineStr">
        <is>
          <t>recveCblQ9qKXn.jpg</t>
        </is>
      </c>
      <c r="C1574" s="2" t="str">
        <f>=HYPERLINK("https://xhslink.com/m/4perBmyvIRp", "https://xhslink.com/m/4perBmyvIRp")</f>
        <v>https://xhslink.com/m/4perBmyvIRp</v>
      </c>
      <c r="D1574"/>
      <c r="E1574">
        <v>34000</v>
      </c>
      <c r="F1574">
        <v>69.8</v>
      </c>
      <c r="G1574">
        <v>49.8</v>
      </c>
      <c r="H1574">
        <v>200</v>
      </c>
      <c r="I1574" t="inlineStr">
        <is>
          <t>早教玩具</t>
        </is>
      </c>
      <c r="J1574" t="inlineStr">
        <is>
          <t>0.01</t>
        </is>
      </c>
      <c r="K1574" t="inlineStr">
        <is>
          <t>🔥低粉爆款</t>
        </is>
      </c>
      <c r="L1574" t="inlineStr">
        <is>
          <t>哆咪好物集的店</t>
        </is>
      </c>
      <c r="M1574">
        <v>482</v>
      </c>
      <c r="N1574">
        <v>4.62</v>
      </c>
      <c r="O1574">
        <v>34000</v>
      </c>
      <c r="P1574" t="inlineStr">
        <is>
          <t>6905b4dd1b78790001c59f68</t>
        </is>
      </c>
      <c r="Q1574"/>
      <c r="R1574" t="inlineStr">
        <is>
          <t>14周</t>
        </is>
      </c>
      <c r="S1574" t="inlineStr">
        <is>
          <t>70.54</t>
        </is>
      </c>
      <c r="T1574" t="inlineStr">
        <is>
          <t>母婴亲子</t>
        </is>
      </c>
      <c r="U1574" t="inlineStr">
        <is>
          <t>玩具早教</t>
        </is>
      </c>
      <c r="V1574" s="3">
        <v>46112.78107638889</v>
      </c>
      <c r="W1574" t="inlineStr">
        <is>
          <t>2026-Q1</t>
        </is>
      </c>
    </row>
    <row r="1575" ht="25.5" customHeight="1">
      <c r="A1575" t="inlineStr">
        <is>
          <t>Taaoi儿童大厨房玩具套装煮饭做饭冰块咖啡女孩益智生日新年礼物</t>
        </is>
      </c>
      <c r="B1575" t="inlineStr">
        <is>
          <t>recveCblQ9Yslf.jpg</t>
        </is>
      </c>
      <c r="C1575" s="2" t="str">
        <f>=HYPERLINK("https://xhslink.com/m/1K7TvTOS1j0", "https://xhslink.com/m/1K7TvTOS1j0")</f>
        <v>https://xhslink.com/m/1K7TvTOS1j0</v>
      </c>
      <c r="D1575"/>
      <c r="E1575">
        <v>3138</v>
      </c>
      <c r="F1575">
        <v>238</v>
      </c>
      <c r="G1575">
        <v>135</v>
      </c>
      <c r="H1575">
        <v>200</v>
      </c>
      <c r="I1575" t="inlineStr">
        <is>
          <t>益智玩具</t>
        </is>
      </c>
      <c r="J1575" t="inlineStr">
        <is>
          <t>0.06</t>
        </is>
      </c>
      <c r="K1575"/>
      <c r="L1575" t="inlineStr">
        <is>
          <t>Taaol Baby的店</t>
        </is>
      </c>
      <c r="M1575">
        <v>10000</v>
      </c>
      <c r="N1575">
        <v>4.52</v>
      </c>
      <c r="O1575">
        <v>155000</v>
      </c>
      <c r="P1575" t="inlineStr">
        <is>
          <t>6906d8111b78790001cfab9b</t>
        </is>
      </c>
      <c r="Q1575" t="inlineStr">
        <is>
          <t>🚫重复</t>
        </is>
      </c>
      <c r="R1575" t="inlineStr">
        <is>
          <t>14周</t>
        </is>
      </c>
      <c r="S1575" t="inlineStr">
        <is>
          <t>0.31</t>
        </is>
      </c>
      <c r="T1575" t="inlineStr">
        <is>
          <t>家居生活</t>
        </is>
      </c>
      <c r="U1575" t="inlineStr">
        <is>
          <t>厨房餐饮</t>
        </is>
      </c>
      <c r="V1575" s="3">
        <v>46112.78107638889</v>
      </c>
      <c r="W1575" t="inlineStr">
        <is>
          <t>2026-Q1</t>
        </is>
      </c>
    </row>
    <row r="1576" ht="25.5" customHeight="1">
      <c r="A1576" t="inlineStr">
        <is>
          <t>锦衣香舍 · 儿童枕头6月-15岁宝宝四季通用婴儿枕头幼儿园小学生专用硅胶枕头</t>
        </is>
      </c>
      <c r="B1576" t="inlineStr">
        <is>
          <t>recveCblQ9Z8Dq.jpg</t>
        </is>
      </c>
      <c r="C1576" s="2" t="str">
        <f>=HYPERLINK("https://xhslink.com/m/9vrCOTJEbcB", "https://xhslink.com/m/9vrCOTJEbcB")</f>
        <v>https://xhslink.com/m/9vrCOTJEbcB</v>
      </c>
      <c r="D1576"/>
      <c r="E1576">
        <v>37000</v>
      </c>
      <c r="F1576">
        <v>129</v>
      </c>
      <c r="G1576">
        <v>89</v>
      </c>
      <c r="H1576">
        <v>200</v>
      </c>
      <c r="I1576" t="inlineStr">
        <is>
          <t>婴儿用品</t>
        </is>
      </c>
      <c r="J1576" t="inlineStr">
        <is>
          <t>0.01</t>
        </is>
      </c>
      <c r="K1576" t="inlineStr">
        <is>
          <t>🔥低粉爆款</t>
        </is>
      </c>
      <c r="L1576" t="inlineStr">
        <is>
          <t>锦衣香舍旗舰店</t>
        </is>
      </c>
      <c r="M1576">
        <v>2524</v>
      </c>
      <c r="N1576">
        <v>4.51</v>
      </c>
      <c r="O1576">
        <v>41000</v>
      </c>
      <c r="P1576" t="inlineStr">
        <is>
          <t>67a71e7d29b9f70001fdf5d5</t>
        </is>
      </c>
      <c r="Q1576"/>
      <c r="R1576" t="inlineStr">
        <is>
          <t>14周</t>
        </is>
      </c>
      <c r="S1576" t="inlineStr">
        <is>
          <t>14.66</t>
        </is>
      </c>
      <c r="T1576" t="inlineStr">
        <is>
          <t>母婴亲子</t>
        </is>
      </c>
      <c r="U1576" t="inlineStr">
        <is>
          <t>童装童鞋</t>
        </is>
      </c>
      <c r="V1576" s="3">
        <v>46112.78107638889</v>
      </c>
      <c r="W1576" t="inlineStr">
        <is>
          <t>2026-Q1</t>
        </is>
      </c>
    </row>
    <row r="1577" ht="25.5" customHeight="1">
      <c r="A1577" t="inlineStr">
        <is>
          <t>新生儿定型枕婴儿防偏头0-6-12个月矫正头型宝宝睡圆头凉枕</t>
        </is>
      </c>
      <c r="B1577" t="inlineStr">
        <is>
          <t>recveCblQ9zUWH.jpg</t>
        </is>
      </c>
      <c r="C1577" s="2" t="str">
        <f>=HYPERLINK("https://xhslink.com/m/5RolLVhnsuR", "https://xhslink.com/m/5RolLVhnsuR")</f>
        <v>https://xhslink.com/m/5RolLVhnsuR</v>
      </c>
      <c r="D1577"/>
      <c r="E1577">
        <v>28000</v>
      </c>
      <c r="F1577">
        <v>39.9</v>
      </c>
      <c r="G1577">
        <v>29.9</v>
      </c>
      <c r="H1577">
        <v>200</v>
      </c>
      <c r="I1577" t="inlineStr">
        <is>
          <t>婴儿用品</t>
        </is>
      </c>
      <c r="J1577" t="inlineStr">
        <is>
          <t>0.01</t>
        </is>
      </c>
      <c r="K1577"/>
      <c r="L1577" t="inlineStr">
        <is>
          <t>爱心妈咪母婴的店</t>
        </is>
      </c>
      <c r="M1577">
        <v>38000</v>
      </c>
      <c r="N1577">
        <v>4.54</v>
      </c>
      <c r="O1577">
        <v>58000</v>
      </c>
      <c r="P1577" t="inlineStr">
        <is>
          <t>687512597398810001ac2bfc</t>
        </is>
      </c>
      <c r="Q1577"/>
      <c r="R1577" t="inlineStr">
        <is>
          <t>14周</t>
        </is>
      </c>
      <c r="S1577" t="inlineStr">
        <is>
          <t>0.74</t>
        </is>
      </c>
      <c r="T1577" t="inlineStr">
        <is>
          <t>母婴亲子</t>
        </is>
      </c>
      <c r="U1577" t="inlineStr">
        <is>
          <t>童装童鞋</t>
        </is>
      </c>
      <c r="V1577" s="3">
        <v>46112.78107638889</v>
      </c>
      <c r="W1577" t="inlineStr">
        <is>
          <t>2026-Q1</t>
        </is>
      </c>
    </row>
    <row r="1578" ht="25.5" customHeight="1">
      <c r="A1578" t="inlineStr">
        <is>
          <t>婴儿小褥子（牛奶丝豆豆褥子）</t>
        </is>
      </c>
      <c r="B1578" t="inlineStr">
        <is>
          <t>recveCblQ9hLV7.jpg</t>
        </is>
      </c>
      <c r="C1578" s="2" t="str">
        <f>=HYPERLINK("https://xhslink.com/m/2AENhFFuWEv", "https://xhslink.com/m/2AENhFFuWEv")</f>
        <v>https://xhslink.com/m/2AENhFFuWEv</v>
      </c>
      <c r="D1578"/>
      <c r="E1578">
        <v>20000</v>
      </c>
      <c r="F1578">
        <v>21.9</v>
      </c>
      <c r="G1578"/>
      <c r="H1578">
        <v>200</v>
      </c>
      <c r="I1578" t="inlineStr">
        <is>
          <t>婴儿用品</t>
        </is>
      </c>
      <c r="J1578" t="inlineStr">
        <is>
          <t>0.01</t>
        </is>
      </c>
      <c r="K1578"/>
      <c r="L1578" t="inlineStr">
        <is>
          <t>一baby母婴的店</t>
        </is>
      </c>
      <c r="M1578">
        <v>7203</v>
      </c>
      <c r="N1578">
        <v>3.99</v>
      </c>
      <c r="O1578">
        <v>39000</v>
      </c>
      <c r="P1578" t="inlineStr">
        <is>
          <t>64be8ddeb713ce0001fbb4d6</t>
        </is>
      </c>
      <c r="Q1578"/>
      <c r="R1578" t="inlineStr">
        <is>
          <t>14周</t>
        </is>
      </c>
      <c r="S1578" t="inlineStr">
        <is>
          <t>2.78</t>
        </is>
      </c>
      <c r="T1578" t="inlineStr">
        <is>
          <t>美食滋补</t>
        </is>
      </c>
      <c r="U1578" t="inlineStr">
        <is>
          <t>酒水冲饮</t>
        </is>
      </c>
      <c r="V1578" s="3">
        <v>46112.78107638889</v>
      </c>
      <c r="W1578" t="inlineStr">
        <is>
          <t>2026-Q1</t>
        </is>
      </c>
    </row>
    <row r="1579" ht="25.5" customHeight="1">
      <c r="A1579" t="inlineStr">
        <is>
          <t>恐龙泡沫飞机枪户外耐摔玩具手抛滑翔男孩女孩儿童弹射玩具枪</t>
        </is>
      </c>
      <c r="B1579" t="inlineStr">
        <is>
          <t>recveCblQ9cf15.jpg</t>
        </is>
      </c>
      <c r="C1579" s="2" t="str">
        <f>=HYPERLINK("https://xhslink.com/m/3f0l8o3JPOb", "https://xhslink.com/m/3f0l8o3JPOb")</f>
        <v>https://xhslink.com/m/3f0l8o3JPOb</v>
      </c>
      <c r="D1579"/>
      <c r="E1579">
        <v>5939</v>
      </c>
      <c r="F1579">
        <v>18.8</v>
      </c>
      <c r="G1579">
        <v>16.54</v>
      </c>
      <c r="H1579">
        <v>200</v>
      </c>
      <c r="I1579" t="inlineStr">
        <is>
          <t>宝宝玩具</t>
        </is>
      </c>
      <c r="J1579" t="inlineStr">
        <is>
          <t>0.03</t>
        </is>
      </c>
      <c r="K1579" t="inlineStr">
        <is>
          <t>🔥低粉爆款</t>
        </is>
      </c>
      <c r="L1579" t="inlineStr">
        <is>
          <t>彩虹🌈玩具魔法屋的店</t>
        </is>
      </c>
      <c r="M1579">
        <v>526</v>
      </c>
      <c r="N1579">
        <v>4.54</v>
      </c>
      <c r="O1579">
        <v>5836</v>
      </c>
      <c r="P1579" t="inlineStr">
        <is>
          <t>695caac944a5020001f3f7f6</t>
        </is>
      </c>
      <c r="Q1579"/>
      <c r="R1579" t="inlineStr">
        <is>
          <t>14周</t>
        </is>
      </c>
      <c r="S1579" t="inlineStr">
        <is>
          <t>11.29</t>
        </is>
      </c>
      <c r="T1579" t="inlineStr">
        <is>
          <t>母婴亲子</t>
        </is>
      </c>
      <c r="U1579" t="inlineStr">
        <is>
          <t>童装童鞋</t>
        </is>
      </c>
      <c r="V1579" s="3">
        <v>46112.78107638889</v>
      </c>
      <c r="W1579" t="inlineStr">
        <is>
          <t>2026-Q1</t>
        </is>
      </c>
    </row>
    <row r="1580" ht="25.5" customHeight="1">
      <c r="A1580" t="inlineStr">
        <is>
          <t>【儿保推荐6月+】 蒙氏早教启蒙忙碌书撕不烂安静书撕撕书故事书</t>
        </is>
      </c>
      <c r="B1580" t="inlineStr">
        <is>
          <t>recveCblQ9rDdg.jpg</t>
        </is>
      </c>
      <c r="C1580" s="2" t="str">
        <f>=HYPERLINK("https://xhslink.com/m/yvc8gstQYj", "https://xhslink.com/m/yvc8gstQYj")</f>
        <v>https://xhslink.com/m/yvc8gstQYj</v>
      </c>
      <c r="D1580"/>
      <c r="E1580">
        <v>17000</v>
      </c>
      <c r="F1580">
        <v>79.9</v>
      </c>
      <c r="G1580">
        <v>69.9</v>
      </c>
      <c r="H1580">
        <v>200</v>
      </c>
      <c r="I1580" t="inlineStr">
        <is>
          <t>早教</t>
        </is>
      </c>
      <c r="J1580" t="inlineStr">
        <is>
          <t>0.01</t>
        </is>
      </c>
      <c r="K1580" t="inlineStr">
        <is>
          <t>🔥低粉爆款</t>
        </is>
      </c>
      <c r="L1580" t="inlineStr">
        <is>
          <t>满满崽崽的妈咪的店</t>
        </is>
      </c>
      <c r="M1580">
        <v>1657</v>
      </c>
      <c r="N1580">
        <v>4.68</v>
      </c>
      <c r="O1580">
        <v>37000</v>
      </c>
      <c r="P1580" t="inlineStr">
        <is>
          <t>69513708dd18440001fc77c6</t>
        </is>
      </c>
      <c r="Q1580" t="inlineStr">
        <is>
          <t>🚫重复</t>
        </is>
      </c>
      <c r="R1580" t="inlineStr">
        <is>
          <t>14周</t>
        </is>
      </c>
      <c r="S1580" t="inlineStr">
        <is>
          <t>10.26</t>
        </is>
      </c>
      <c r="T1580" t="inlineStr">
        <is>
          <t>母婴亲子</t>
        </is>
      </c>
      <c r="U1580" t="inlineStr">
        <is>
          <t>婴幼用品</t>
        </is>
      </c>
      <c r="V1580" s="3">
        <v>46112.78107638889</v>
      </c>
      <c r="W1580" t="inlineStr">
        <is>
          <t>2026-Q1</t>
        </is>
      </c>
    </row>
    <row r="1581" ht="25.5" customHeight="1">
      <c r="A1581" t="inlineStr">
        <is>
          <t>小样酸Q糖怀旧小零食果味软糖儿童小零食橡皮糖软糖办公室零食</t>
        </is>
      </c>
      <c r="B1581" t="inlineStr">
        <is>
          <t>recveCblQ9E0i4.jpg</t>
        </is>
      </c>
      <c r="C1581" s="2" t="str">
        <f>=HYPERLINK("https://xhslink.com/m/1QhqLziMHjq", "https://xhslink.com/m/1QhqLziMHjq")</f>
        <v>https://xhslink.com/m/1QhqLziMHjq</v>
      </c>
      <c r="D1581"/>
      <c r="E1581">
        <v>20000</v>
      </c>
      <c r="F1581">
        <v>5.9</v>
      </c>
      <c r="G1581">
        <v>4.9</v>
      </c>
      <c r="H1581">
        <v>200</v>
      </c>
      <c r="I1581" t="inlineStr">
        <is>
          <t>零食</t>
        </is>
      </c>
      <c r="J1581" t="inlineStr">
        <is>
          <t>0.01</t>
        </is>
      </c>
      <c r="K1581" t="inlineStr">
        <is>
          <t>🔥低粉爆款</t>
        </is>
      </c>
      <c r="L1581" t="inlineStr">
        <is>
          <t>吃饱饱小卖部的店</t>
        </is>
      </c>
      <c r="M1581">
        <v>1023</v>
      </c>
      <c r="N1581">
        <v>4.5</v>
      </c>
      <c r="O1581">
        <v>26000</v>
      </c>
      <c r="P1581" t="inlineStr">
        <is>
          <t>68d4d2efc34eef0015443fbb</t>
        </is>
      </c>
      <c r="Q1581" t="inlineStr">
        <is>
          <t>🚫重复</t>
        </is>
      </c>
      <c r="R1581" t="inlineStr">
        <is>
          <t>14周</t>
        </is>
      </c>
      <c r="S1581" t="inlineStr">
        <is>
          <t>19.55</t>
        </is>
      </c>
      <c r="T1581" t="inlineStr">
        <is>
          <t>美食滋补</t>
        </is>
      </c>
      <c r="U1581" t="inlineStr">
        <is>
          <t>休闲零食</t>
        </is>
      </c>
      <c r="V1581" s="3">
        <v>46112.78107638889</v>
      </c>
      <c r="W1581" t="inlineStr">
        <is>
          <t>2026-Q1</t>
        </is>
      </c>
    </row>
    <row r="1582" ht="25.5" customHeight="1">
      <c r="A1582" t="inlineStr">
        <is>
          <t>新款春日来信波点蝴蝶结香蕉夹甜美约会发夹扎高马尾甜美发饰13cm</t>
        </is>
      </c>
      <c r="B1582" t="inlineStr">
        <is>
          <t>recveCblQ9y36n.jpg</t>
        </is>
      </c>
      <c r="C1582" s="2" t="str">
        <f>=HYPERLINK("https://xhslink.com/m/18d5fed3ctz", "https://xhslink.com/m/18d5fed3ctz")</f>
        <v>https://xhslink.com/m/18d5fed3ctz</v>
      </c>
      <c r="D1582"/>
      <c r="E1582">
        <v>306</v>
      </c>
      <c r="F1582">
        <v>26.8</v>
      </c>
      <c r="G1582">
        <v>16.8</v>
      </c>
      <c r="H1582">
        <v>200</v>
      </c>
      <c r="I1582" t="inlineStr">
        <is>
          <t>发夹</t>
        </is>
      </c>
      <c r="J1582" t="inlineStr">
        <is>
          <t>0.65</t>
        </is>
      </c>
      <c r="K1582"/>
      <c r="L1582" t="inlineStr">
        <is>
          <t>fairy mu的店的店</t>
        </is>
      </c>
      <c r="M1582">
        <v>46000</v>
      </c>
      <c r="N1582">
        <v>4.54</v>
      </c>
      <c r="O1582">
        <v>334000</v>
      </c>
      <c r="P1582" t="inlineStr">
        <is>
          <t>69b60c1d05ddcd000141a86f</t>
        </is>
      </c>
      <c r="Q1582" t="inlineStr">
        <is>
          <t>🚫重复</t>
        </is>
      </c>
      <c r="R1582" t="inlineStr">
        <is>
          <t>14周</t>
        </is>
      </c>
      <c r="S1582" t="inlineStr">
        <is>
          <t>0.01</t>
        </is>
      </c>
      <c r="T1582" t="inlineStr">
        <is>
          <t>服饰穿搭</t>
        </is>
      </c>
      <c r="U1582" t="inlineStr">
        <is>
          <t>配饰</t>
        </is>
      </c>
      <c r="V1582" s="3">
        <v>46112.78107638889</v>
      </c>
      <c r="W1582" t="inlineStr">
        <is>
          <t>2026-Q1</t>
        </is>
      </c>
    </row>
    <row r="1583" ht="25.5" customHeight="1">
      <c r="A1583" t="inlineStr">
        <is>
          <t>PUPU•冰淇淋碗ins韩系陶瓷釉下彩奶油可爱酸奶碗泡面碗早餐碗</t>
        </is>
      </c>
      <c r="B1583" t="inlineStr">
        <is>
          <t>recveKOBkW0U3w.jpg</t>
        </is>
      </c>
      <c r="C1583" s="2" t="str">
        <f>=HYPERLINK("https://xhslink.com/m/4y5XH6XMeu4", "https://xhslink.com/m/4y5XH6XMeu4")</f>
        <v>https://xhslink.com/m/4y5XH6XMeu4</v>
      </c>
      <c r="D1583"/>
      <c r="E1583">
        <v>33000</v>
      </c>
      <c r="F1583">
        <v>22.99</v>
      </c>
      <c r="G1583">
        <v>7.99</v>
      </c>
      <c r="H1583">
        <v>200</v>
      </c>
      <c r="I1583" t="inlineStr">
        <is>
          <t>碗</t>
        </is>
      </c>
      <c r="J1583" t="inlineStr">
        <is>
          <t>0.01</t>
        </is>
      </c>
      <c r="K1583" t="inlineStr">
        <is>
          <t>🔥低粉爆款</t>
        </is>
      </c>
      <c r="L1583" t="inlineStr">
        <is>
          <t>Pupu Mimi*的店</t>
        </is>
      </c>
      <c r="M1583">
        <v>7421</v>
      </c>
      <c r="N1583">
        <v>4.64</v>
      </c>
      <c r="O1583">
        <v>83000</v>
      </c>
      <c r="P1583" t="inlineStr">
        <is>
          <t>6800b2d6190ed7000147f0e3</t>
        </is>
      </c>
      <c r="Q1583" t="inlineStr">
        <is>
          <t>🚫重复</t>
        </is>
      </c>
      <c r="R1583" t="inlineStr">
        <is>
          <t>14周</t>
        </is>
      </c>
      <c r="S1583" t="inlineStr">
        <is>
          <t>4.45</t>
        </is>
      </c>
      <c r="T1583" t="inlineStr">
        <is>
          <t>家居生活</t>
        </is>
      </c>
      <c r="U1583" t="inlineStr">
        <is>
          <t>厨房餐饮</t>
        </is>
      </c>
      <c r="V1583" s="3">
        <v>46112.78107638889</v>
      </c>
      <c r="W1583" t="inlineStr">
        <is>
          <t>2026-Q1</t>
        </is>
      </c>
    </row>
    <row r="1584" ht="25.5" customHeight="1">
      <c r="A1584" t="inlineStr">
        <is>
          <t>必吃榜!0防腐鲜吊龙原切猪肉脯潮汕办公室追剧零食吃肉的陈肉肉</t>
        </is>
      </c>
      <c r="B1584" t="inlineStr">
        <is>
          <t>recveKOBkWEFXn.jpg</t>
        </is>
      </c>
      <c r="C1584" s="2" t="str">
        <f>=HYPERLINK("https://xhslink.com/m/5db5jqUrwCE", "https://xhslink.com/m/5db5jqUrwCE")</f>
        <v>https://xhslink.com/m/5db5jqUrwCE</v>
      </c>
      <c r="D1584"/>
      <c r="E1584">
        <v>145000</v>
      </c>
      <c r="F1584">
        <v>20</v>
      </c>
      <c r="G1584">
        <v>7.8</v>
      </c>
      <c r="H1584">
        <v>200</v>
      </c>
      <c r="I1584" t="inlineStr">
        <is>
          <t>卤味肉干</t>
        </is>
      </c>
      <c r="J1584" t="inlineStr">
        <is>
          <t>0.00</t>
        </is>
      </c>
      <c r="K1584" t="inlineStr">
        <is>
          <t>🔥低粉爆款</t>
        </is>
      </c>
      <c r="L1584" t="inlineStr">
        <is>
          <t>吃肉的陈肉肉食品的店</t>
        </is>
      </c>
      <c r="M1584">
        <v>5378</v>
      </c>
      <c r="N1584">
        <v>4.51</v>
      </c>
      <c r="O1584">
        <v>227000</v>
      </c>
      <c r="P1584" t="inlineStr">
        <is>
          <t>685449c41520c30001a7851a</t>
        </is>
      </c>
      <c r="Q1584" t="inlineStr">
        <is>
          <t>🚫重复</t>
        </is>
      </c>
      <c r="R1584" t="inlineStr">
        <is>
          <t>14周</t>
        </is>
      </c>
      <c r="S1584" t="inlineStr">
        <is>
          <t>26.96</t>
        </is>
      </c>
      <c r="T1584" t="inlineStr">
        <is>
          <t>美食滋补</t>
        </is>
      </c>
      <c r="U1584" t="inlineStr">
        <is>
          <t>休闲零食</t>
        </is>
      </c>
      <c r="V1584" s="3">
        <v>46112.78107638889</v>
      </c>
      <c r="W1584" t="inlineStr">
        <is>
          <t>2026-Q1</t>
        </is>
      </c>
    </row>
    <row r="1585" ht="25.5" customHeight="1">
      <c r="A1585" t="inlineStr">
        <is>
          <t>蝴蝶洋牡丹「可选色」（4单一个运费）0度不拍保温不售后</t>
        </is>
      </c>
      <c r="B1585" t="inlineStr">
        <is>
          <t>recveKOBkWY4lA.jpg</t>
        </is>
      </c>
      <c r="C1585" s="2" t="str">
        <f>=HYPERLINK("https://xhslink.com/m/5FrOetQNDHJ", "https://xhslink.com/m/5FrOetQNDHJ")</f>
        <v>https://xhslink.com/m/5FrOetQNDHJ</v>
      </c>
      <c r="D1585"/>
      <c r="E1585">
        <v>7630</v>
      </c>
      <c r="F1585">
        <v>8.99</v>
      </c>
      <c r="G1585"/>
      <c r="H1585">
        <v>200</v>
      </c>
      <c r="I1585" t="inlineStr">
        <is>
          <t>花花草草</t>
        </is>
      </c>
      <c r="J1585" t="inlineStr">
        <is>
          <t>0.03</t>
        </is>
      </c>
      <c r="K1585"/>
      <c r="L1585" t="inlineStr">
        <is>
          <t>康健卖花了的店</t>
        </is>
      </c>
      <c r="M1585">
        <v>46000</v>
      </c>
      <c r="N1585">
        <v>4.16</v>
      </c>
      <c r="O1585">
        <v>167000</v>
      </c>
      <c r="P1585" t="inlineStr">
        <is>
          <t>695763e7b2492100016f2537</t>
        </is>
      </c>
      <c r="Q1585" t="inlineStr">
        <is>
          <t>🚫重复</t>
        </is>
      </c>
      <c r="R1585" t="inlineStr">
        <is>
          <t>14周</t>
        </is>
      </c>
      <c r="S1585" t="inlineStr">
        <is>
          <t>0.17</t>
        </is>
      </c>
      <c r="T1585" t="inlineStr">
        <is>
          <t>家居生活</t>
        </is>
      </c>
      <c r="U1585" t="inlineStr">
        <is>
          <t>家具家装</t>
        </is>
      </c>
      <c r="V1585" s="3">
        <v>46112.78107638889</v>
      </c>
      <c r="W1585" t="inlineStr">
        <is>
          <t>2026-Q1</t>
        </is>
      </c>
    </row>
    <row r="1586" ht="25.5" customHeight="1">
      <c r="A1586" t="inlineStr">
        <is>
          <t>金属衣架防滑袜子内衣裤夹帽夹晾晒宿舍必备好物晾衣架家用衣架</t>
        </is>
      </c>
      <c r="B1586" t="inlineStr">
        <is>
          <t>recveKOBkWeHQN.jpg</t>
        </is>
      </c>
      <c r="C1586" s="2" t="str">
        <f>=HYPERLINK("https://xhslink.com/m/YSARENoDc1", "https://xhslink.com/m/YSARENoDc1")</f>
        <v>https://xhslink.com/m/YSARENoDc1</v>
      </c>
      <c r="D1586"/>
      <c r="E1586">
        <v>345</v>
      </c>
      <c r="F1586">
        <v>26.9</v>
      </c>
      <c r="G1586">
        <v>16.9</v>
      </c>
      <c r="H1586">
        <v>200</v>
      </c>
      <c r="I1586" t="inlineStr">
        <is>
          <t>卧室好物</t>
        </is>
      </c>
      <c r="J1586" t="inlineStr">
        <is>
          <t>0.58</t>
        </is>
      </c>
      <c r="K1586"/>
      <c r="L1586" t="inlineStr">
        <is>
          <t>兔兔种草日记的店</t>
        </is>
      </c>
      <c r="M1586">
        <v>357</v>
      </c>
      <c r="N1586">
        <v>4.62</v>
      </c>
      <c r="O1586">
        <v>40000</v>
      </c>
      <c r="P1586" t="inlineStr">
        <is>
          <t>69a9a4dc0775cd0015c34e2b</t>
        </is>
      </c>
      <c r="Q1586"/>
      <c r="R1586" t="inlineStr">
        <is>
          <t>14周</t>
        </is>
      </c>
      <c r="S1586" t="inlineStr">
        <is>
          <t>0.97</t>
        </is>
      </c>
      <c r="T1586" t="inlineStr">
        <is>
          <t>家居生活</t>
        </is>
      </c>
      <c r="U1586" t="inlineStr">
        <is>
          <t>家居日用</t>
        </is>
      </c>
      <c r="V1586" s="3">
        <v>46112.78107638889</v>
      </c>
      <c r="W1586" t="inlineStr">
        <is>
          <t>2026-Q1</t>
        </is>
      </c>
    </row>
    <row r="1587" ht="25.5" customHeight="1">
      <c r="A1587" t="inlineStr">
        <is>
          <t>多巴胺小推车可移动书架置物架落地零食客厅收纳架卧室床头储物架</t>
        </is>
      </c>
      <c r="B1587" t="inlineStr">
        <is>
          <t>recveKOBkWcyjT.jpg</t>
        </is>
      </c>
      <c r="C1587" s="2" t="str">
        <f>=HYPERLINK("https://xhslink.com/m/7ih3Oe0illD", "https://xhslink.com/m/7ih3Oe0illD")</f>
        <v>https://xhslink.com/m/7ih3Oe0illD</v>
      </c>
      <c r="D1587"/>
      <c r="E1587">
        <v>12000</v>
      </c>
      <c r="F1587">
        <v>17.9</v>
      </c>
      <c r="G1587">
        <v>12.9</v>
      </c>
      <c r="H1587">
        <v>200</v>
      </c>
      <c r="I1587" t="inlineStr">
        <is>
          <t>卧室好物</t>
        </is>
      </c>
      <c r="J1587" t="inlineStr">
        <is>
          <t>0.02</t>
        </is>
      </c>
      <c r="K1587" t="inlineStr">
        <is>
          <t>🔥低粉爆款</t>
        </is>
      </c>
      <c r="L1587" t="inlineStr">
        <is>
          <t>贝忆商贸行的店</t>
        </is>
      </c>
      <c r="M1587">
        <v>198</v>
      </c>
      <c r="N1587">
        <v>4.54</v>
      </c>
      <c r="O1587">
        <v>27000</v>
      </c>
      <c r="P1587" t="inlineStr">
        <is>
          <t>69270292b8c5080001836bc6</t>
        </is>
      </c>
      <c r="Q1587" t="inlineStr">
        <is>
          <t>🚫重复</t>
        </is>
      </c>
      <c r="R1587" t="inlineStr">
        <is>
          <t>14周</t>
        </is>
      </c>
      <c r="S1587" t="inlineStr">
        <is>
          <t>60.61</t>
        </is>
      </c>
      <c r="T1587" t="inlineStr">
        <is>
          <t>家居生活</t>
        </is>
      </c>
      <c r="U1587" t="inlineStr">
        <is>
          <t>家居日用</t>
        </is>
      </c>
      <c r="V1587" s="3">
        <v>46112.78107638889</v>
      </c>
      <c r="W1587" t="inlineStr">
        <is>
          <t>2026-Q1</t>
        </is>
      </c>
    </row>
    <row r="1588" ht="25.5" customHeight="1">
      <c r="A1588" t="inlineStr">
        <is>
          <t>高腰显瘦长腿弹力直筒牛仔裤窄版直筒裤</t>
        </is>
      </c>
      <c r="B1588" t="inlineStr">
        <is>
          <t>recveKOBkWJUEK.jpg</t>
        </is>
      </c>
      <c r="C1588" s="2" t="str">
        <f>=HYPERLINK("https://xhslink.com/m/7JFTp1m9xV7", "https://xhslink.com/m/7JFTp1m9xV7")</f>
        <v>https://xhslink.com/m/7JFTp1m9xV7</v>
      </c>
      <c r="D1588"/>
      <c r="E1588">
        <v>49000</v>
      </c>
      <c r="F1588">
        <v>99</v>
      </c>
      <c r="G1588"/>
      <c r="H1588">
        <v>200</v>
      </c>
      <c r="I1588" t="inlineStr">
        <is>
          <t>牛仔裤</t>
        </is>
      </c>
      <c r="J1588" t="inlineStr">
        <is>
          <t>0.00</t>
        </is>
      </c>
      <c r="K1588"/>
      <c r="L1588" t="inlineStr">
        <is>
          <t>裤王的店</t>
        </is>
      </c>
      <c r="M1588">
        <v>87000</v>
      </c>
      <c r="N1588">
        <v>4.58</v>
      </c>
      <c r="O1588">
        <v>165000</v>
      </c>
      <c r="P1588" t="inlineStr">
        <is>
          <t>653691014d26f80001f2e32a</t>
        </is>
      </c>
      <c r="Q1588" t="inlineStr">
        <is>
          <t>🚫重复</t>
        </is>
      </c>
      <c r="R1588" t="inlineStr">
        <is>
          <t>14周</t>
        </is>
      </c>
      <c r="S1588" t="inlineStr">
        <is>
          <t>0.56</t>
        </is>
      </c>
      <c r="T1588" t="inlineStr">
        <is>
          <t>服饰穿搭</t>
        </is>
      </c>
      <c r="U1588" t="inlineStr">
        <is>
          <t>女装</t>
        </is>
      </c>
      <c r="V1588" s="3">
        <v>46112.78107638889</v>
      </c>
      <c r="W1588" t="inlineStr">
        <is>
          <t>2026-Q1</t>
        </is>
      </c>
    </row>
    <row r="1589" ht="25.5" customHeight="1">
      <c r="A1589" t="inlineStr">
        <is>
          <t>法式白色衬衫女2026夏季新款设计感小众短袖衬衣中袖五分袖上衣</t>
        </is>
      </c>
      <c r="B1589" t="inlineStr">
        <is>
          <t>recveKOBkWMCIj.jpg</t>
        </is>
      </c>
      <c r="C1589" s="2" t="str">
        <f>=HYPERLINK("https://xhslink.com/m/1aCayZWXmne", "https://xhslink.com/m/1aCayZWXmne")</f>
        <v>https://xhslink.com/m/1aCayZWXmne</v>
      </c>
      <c r="D1589"/>
      <c r="E1589">
        <v>26000</v>
      </c>
      <c r="F1589">
        <v>89</v>
      </c>
      <c r="G1589"/>
      <c r="H1589">
        <v>200</v>
      </c>
      <c r="I1589" t="inlineStr">
        <is>
          <t>衬衫</t>
        </is>
      </c>
      <c r="J1589" t="inlineStr">
        <is>
          <t>0.01</t>
        </is>
      </c>
      <c r="K1589"/>
      <c r="L1589" t="inlineStr">
        <is>
          <t>KK穿搭分享~的店</t>
        </is>
      </c>
      <c r="M1589">
        <v>595000</v>
      </c>
      <c r="N1589">
        <v>4.59</v>
      </c>
      <c r="O1589">
        <v>3054000</v>
      </c>
      <c r="P1589" t="inlineStr">
        <is>
          <t>663a3f0c392bd50001b2d968</t>
        </is>
      </c>
      <c r="Q1589" t="inlineStr">
        <is>
          <t>🚫重复</t>
        </is>
      </c>
      <c r="R1589" t="inlineStr">
        <is>
          <t>14周</t>
        </is>
      </c>
      <c r="S1589" t="inlineStr">
        <is>
          <t>0.04</t>
        </is>
      </c>
      <c r="T1589" t="inlineStr">
        <is>
          <t>服饰穿搭</t>
        </is>
      </c>
      <c r="U1589" t="inlineStr">
        <is>
          <t>女装</t>
        </is>
      </c>
      <c r="V1589" s="3">
        <v>46112.78107638889</v>
      </c>
      <c r="W1589" t="inlineStr">
        <is>
          <t>2026-Q1</t>
        </is>
      </c>
    </row>
    <row r="1590" ht="25.5" customHeight="1">
      <c r="A1590" t="inlineStr">
        <is>
          <t>温温原创 W2506-重工花边拼接手工压褶百搭文艺长袖时尚温柔衬衫</t>
        </is>
      </c>
      <c r="B1590" t="inlineStr">
        <is>
          <t>recveKOBkWNI6Z.jpg</t>
        </is>
      </c>
      <c r="C1590" s="2" t="str">
        <f>=HYPERLINK("https://xhslink.com/m/l5lLF7in06", "https://xhslink.com/m/l5lLF7in06")</f>
        <v>https://xhslink.com/m/l5lLF7in06</v>
      </c>
      <c r="D1590"/>
      <c r="E1590">
        <v>2408</v>
      </c>
      <c r="F1590">
        <v>89.9</v>
      </c>
      <c r="G1590"/>
      <c r="H1590">
        <v>200</v>
      </c>
      <c r="I1590" t="inlineStr">
        <is>
          <t>衬衫</t>
        </is>
      </c>
      <c r="J1590" t="inlineStr">
        <is>
          <t>0.08</t>
        </is>
      </c>
      <c r="K1590" t="inlineStr">
        <is>
          <t>🔥低粉爆款</t>
        </is>
      </c>
      <c r="L1590" t="inlineStr">
        <is>
          <t>小文姐女装三店的店</t>
        </is>
      </c>
      <c r="M1590">
        <v>116</v>
      </c>
      <c r="N1590">
        <v>4.44</v>
      </c>
      <c r="O1590">
        <v>51000</v>
      </c>
      <c r="P1590" t="inlineStr">
        <is>
          <t>69b9e39d11534f000178cdba</t>
        </is>
      </c>
      <c r="Q1590"/>
      <c r="R1590" t="inlineStr">
        <is>
          <t>14周</t>
        </is>
      </c>
      <c r="S1590" t="inlineStr">
        <is>
          <t>20.76</t>
        </is>
      </c>
      <c r="T1590" t="inlineStr">
        <is>
          <t>服饰穿搭</t>
        </is>
      </c>
      <c r="U1590" t="inlineStr">
        <is>
          <t>女装</t>
        </is>
      </c>
      <c r="V1590" s="3">
        <v>46112.78107638889</v>
      </c>
      <c r="W1590" t="inlineStr">
        <is>
          <t>2026-Q1</t>
        </is>
      </c>
    </row>
    <row r="1591" ht="25.5" customHeight="1">
      <c r="A1591" t="inlineStr">
        <is>
          <t>《四月物语》夏日嫩绿色串珠项链叠戴锁骨链女小众夏天新中式</t>
        </is>
      </c>
      <c r="B1591" t="inlineStr">
        <is>
          <t>recveKOBkW4v9K.jpg</t>
        </is>
      </c>
      <c r="C1591" s="2" t="str">
        <f>=HYPERLINK("https://xhslink.com/m/5iwV0mbgKGO", "https://xhslink.com/m/5iwV0mbgKGO")</f>
        <v>https://xhslink.com/m/5iwV0mbgKGO</v>
      </c>
      <c r="D1591"/>
      <c r="E1591">
        <v>9288</v>
      </c>
      <c r="F1591">
        <v>36.9</v>
      </c>
      <c r="G1591">
        <v>28.23</v>
      </c>
      <c r="H1591">
        <v>200</v>
      </c>
      <c r="I1591" t="inlineStr">
        <is>
          <t>饰品</t>
        </is>
      </c>
      <c r="J1591" t="inlineStr">
        <is>
          <t>0.02</t>
        </is>
      </c>
      <c r="K1591"/>
      <c r="L1591" t="inlineStr">
        <is>
          <t>Coisinii心动商店的店</t>
        </is>
      </c>
      <c r="M1591">
        <v>12000</v>
      </c>
      <c r="N1591">
        <v>4.53</v>
      </c>
      <c r="O1591">
        <v>21000</v>
      </c>
      <c r="P1591" t="inlineStr">
        <is>
          <t>6688c497d2166e000180e3bd</t>
        </is>
      </c>
      <c r="Q1591" t="inlineStr">
        <is>
          <t>🚫重复</t>
        </is>
      </c>
      <c r="R1591" t="inlineStr">
        <is>
          <t>14周</t>
        </is>
      </c>
      <c r="S1591" t="inlineStr">
        <is>
          <t>0.77</t>
        </is>
      </c>
      <c r="T1591" t="inlineStr">
        <is>
          <t>服饰穿搭</t>
        </is>
      </c>
      <c r="U1591" t="inlineStr">
        <is>
          <t>配饰</t>
        </is>
      </c>
      <c r="V1591" s="3">
        <v>46112.78107638889</v>
      </c>
      <c r="W1591" t="inlineStr">
        <is>
          <t>2026-Q1</t>
        </is>
      </c>
    </row>
    <row r="1592" ht="25.5" customHeight="1">
      <c r="A1592" t="inlineStr">
        <is>
          <t>28个韩系少女百搭鸭嘴侧边夹关～发32个～个别断货～补充新款发出</t>
        </is>
      </c>
      <c r="B1592" t="inlineStr">
        <is>
          <t>recveKOBkWGb7C.jpg</t>
        </is>
      </c>
      <c r="C1592" s="2" t="str">
        <f>=HYPERLINK("https://xhslink.com/m/9Tq5Bti8zib", "https://xhslink.com/m/9Tq5Bti8zib")</f>
        <v>https://xhslink.com/m/9Tq5Bti8zib</v>
      </c>
      <c r="D1592"/>
      <c r="E1592">
        <v>26000</v>
      </c>
      <c r="F1592">
        <v>22.99</v>
      </c>
      <c r="G1592">
        <v>12.99</v>
      </c>
      <c r="H1592">
        <v>200</v>
      </c>
      <c r="I1592" t="inlineStr">
        <is>
          <t>发夹</t>
        </is>
      </c>
      <c r="J1592" t="inlineStr">
        <is>
          <t>0.01</t>
        </is>
      </c>
      <c r="K1592"/>
      <c r="L1592" t="inlineStr">
        <is>
          <t>monice的店</t>
        </is>
      </c>
      <c r="M1592">
        <v>13000</v>
      </c>
      <c r="N1592">
        <v>4.6</v>
      </c>
      <c r="O1592">
        <v>110000</v>
      </c>
      <c r="P1592" t="inlineStr">
        <is>
          <t>68bac61695220f0001fb3077</t>
        </is>
      </c>
      <c r="Q1592"/>
      <c r="R1592" t="inlineStr">
        <is>
          <t>14周</t>
        </is>
      </c>
      <c r="S1592" t="inlineStr">
        <is>
          <t>2.00</t>
        </is>
      </c>
      <c r="T1592" t="inlineStr">
        <is>
          <t>服饰穿搭</t>
        </is>
      </c>
      <c r="U1592" t="inlineStr">
        <is>
          <t>配饰</t>
        </is>
      </c>
      <c r="V1592" s="3">
        <v>46112.78107638889</v>
      </c>
      <c r="W1592" t="inlineStr">
        <is>
          <t>2026-Q1</t>
        </is>
      </c>
    </row>
    <row r="1593" ht="25.5" customHeight="1">
      <c r="A1593" t="inlineStr">
        <is>
          <t>【全新升级】超气质法式方扣中空单鞋女平底鞋</t>
        </is>
      </c>
      <c r="B1593" t="inlineStr">
        <is>
          <t>recveKOBkW2Bku.jpg</t>
        </is>
      </c>
      <c r="C1593" s="2" t="str">
        <f>=HYPERLINK("https://xhslink.com/m/347bW2MevLw", "https://xhslink.com/m/347bW2MevLw")</f>
        <v>https://xhslink.com/m/347bW2MevLw</v>
      </c>
      <c r="D1593"/>
      <c r="E1593">
        <v>8856</v>
      </c>
      <c r="F1593">
        <v>198</v>
      </c>
      <c r="G1593">
        <v>138</v>
      </c>
      <c r="H1593">
        <v>200</v>
      </c>
      <c r="I1593" t="inlineStr">
        <is>
          <t>鞋靴</t>
        </is>
      </c>
      <c r="J1593" t="inlineStr">
        <is>
          <t>0.02</t>
        </is>
      </c>
      <c r="K1593" t="inlineStr">
        <is>
          <t>🔥低粉爆款</t>
        </is>
      </c>
      <c r="L1593" t="inlineStr">
        <is>
          <t>小红薯68F96F71的店</t>
        </is>
      </c>
      <c r="M1593">
        <v>2813</v>
      </c>
      <c r="N1593">
        <v>4.56</v>
      </c>
      <c r="O1593">
        <v>33000</v>
      </c>
      <c r="P1593" t="inlineStr">
        <is>
          <t>6864cec9877417000149d74e</t>
        </is>
      </c>
      <c r="Q1593" t="inlineStr">
        <is>
          <t>🚫重复</t>
        </is>
      </c>
      <c r="R1593" t="inlineStr">
        <is>
          <t>14周</t>
        </is>
      </c>
      <c r="S1593" t="inlineStr">
        <is>
          <t>3.15</t>
        </is>
      </c>
      <c r="T1593" t="inlineStr">
        <is>
          <t>服饰穿搭</t>
        </is>
      </c>
      <c r="U1593" t="inlineStr">
        <is>
          <t>鞋靴箱包</t>
        </is>
      </c>
      <c r="V1593" s="3">
        <v>46112.78107638889</v>
      </c>
      <c r="W1593" t="inlineStr">
        <is>
          <t>2026-Q1</t>
        </is>
      </c>
    </row>
    <row r="1594" ht="25.5" customHeight="1">
      <c r="A1594" t="inlineStr">
        <is>
          <t>老友记独家原创设计陶瓷杯碗马克杯一人食创意餐具生日礼物礼盒</t>
        </is>
      </c>
      <c r="B1594" t="inlineStr">
        <is>
          <t>recveKOBkWBpz8.jpg</t>
        </is>
      </c>
      <c r="C1594" s="2" t="str">
        <f>=HYPERLINK("https://xhslink.com/m/AfvaCiyzKHh", "https://xhslink.com/m/AfvaCiyzKHh")</f>
        <v>https://xhslink.com/m/AfvaCiyzKHh</v>
      </c>
      <c r="D1594"/>
      <c r="E1594">
        <v>3595</v>
      </c>
      <c r="F1594">
        <v>138.8</v>
      </c>
      <c r="G1594"/>
      <c r="H1594">
        <v>200</v>
      </c>
      <c r="I1594" t="inlineStr">
        <is>
          <t>礼物</t>
        </is>
      </c>
      <c r="J1594" t="inlineStr">
        <is>
          <t>0.06</t>
        </is>
      </c>
      <c r="K1594"/>
      <c r="L1594" t="inlineStr">
        <is>
          <t>姓crap名bag的店</t>
        </is>
      </c>
      <c r="M1594">
        <v>12000</v>
      </c>
      <c r="N1594">
        <v>4.35</v>
      </c>
      <c r="O1594">
        <v>10000</v>
      </c>
      <c r="P1594" t="inlineStr">
        <is>
          <t>68fcb991e37943000189fe40</t>
        </is>
      </c>
      <c r="Q1594"/>
      <c r="R1594" t="inlineStr">
        <is>
          <t>14周</t>
        </is>
      </c>
      <c r="S1594" t="inlineStr">
        <is>
          <t>0.30</t>
        </is>
      </c>
      <c r="T1594" t="inlineStr">
        <is>
          <t>家居生活</t>
        </is>
      </c>
      <c r="U1594" t="inlineStr">
        <is>
          <t>厨房餐饮</t>
        </is>
      </c>
      <c r="V1594" s="3">
        <v>46112.78107638889</v>
      </c>
      <c r="W1594" t="inlineStr">
        <is>
          <t>2026-Q1</t>
        </is>
      </c>
    </row>
    <row r="1595" ht="25.5" customHeight="1">
      <c r="A1595" t="inlineStr">
        <is>
          <t>三合一户外冲锋衣可拆卸内胆女保暖软壳防风防水情侣秋冬户外夹克</t>
        </is>
      </c>
      <c r="B1595" t="inlineStr">
        <is>
          <t>recveKOBkW9yKt.jpg</t>
        </is>
      </c>
      <c r="C1595" s="2" t="str">
        <f>=HYPERLINK("https://xhslink.com/m/1edsdgqHIy6", "https://xhslink.com/m/1edsdgqHIy6")</f>
        <v>https://xhslink.com/m/1edsdgqHIy6</v>
      </c>
      <c r="D1595"/>
      <c r="E1595">
        <v>38000</v>
      </c>
      <c r="F1595">
        <v>99</v>
      </c>
      <c r="G1595"/>
      <c r="H1595">
        <v>200</v>
      </c>
      <c r="I1595" t="inlineStr">
        <is>
          <t>户外运动</t>
        </is>
      </c>
      <c r="J1595" t="inlineStr">
        <is>
          <t>0.01</t>
        </is>
      </c>
      <c r="K1595"/>
      <c r="L1595" t="inlineStr">
        <is>
          <t>潇潇呀～的店</t>
        </is>
      </c>
      <c r="M1595">
        <v>87000</v>
      </c>
      <c r="N1595">
        <v>4.54</v>
      </c>
      <c r="O1595">
        <v>84000</v>
      </c>
      <c r="P1595" t="inlineStr">
        <is>
          <t>683ae30f413fa00001a205e2</t>
        </is>
      </c>
      <c r="Q1595" t="inlineStr">
        <is>
          <t>🚫重复</t>
        </is>
      </c>
      <c r="R1595" t="inlineStr">
        <is>
          <t>14周</t>
        </is>
      </c>
      <c r="S1595" t="inlineStr">
        <is>
          <t>0.44</t>
        </is>
      </c>
      <c r="T1595" t="inlineStr">
        <is>
          <t>服饰穿搭</t>
        </is>
      </c>
      <c r="U1595" t="inlineStr">
        <is>
          <t>女装</t>
        </is>
      </c>
      <c r="V1595" s="3">
        <v>46112.78107638889</v>
      </c>
      <c r="W1595" t="inlineStr">
        <is>
          <t>2026-Q1</t>
        </is>
      </c>
    </row>
    <row r="1596" ht="25.5" customHeight="1">
      <c r="A1596" t="inlineStr">
        <is>
          <t>日单可收纳遮阳渔夫帽防风防水户外出游登山徒步旅行收纳男女同款</t>
        </is>
      </c>
      <c r="B1596" t="inlineStr">
        <is>
          <t>recveKOBkWg6XE.jpg</t>
        </is>
      </c>
      <c r="C1596" s="2" t="str">
        <f>=HYPERLINK("https://xhslink.com/m/1OyLH2P8vP3", "https://xhslink.com/m/1OyLH2P8vP3")</f>
        <v>https://xhslink.com/m/1OyLH2P8vP3</v>
      </c>
      <c r="D1596"/>
      <c r="E1596">
        <v>23000</v>
      </c>
      <c r="F1596">
        <v>34.9</v>
      </c>
      <c r="G1596">
        <v>29.9</v>
      </c>
      <c r="H1596">
        <v>200</v>
      </c>
      <c r="I1596" t="inlineStr">
        <is>
          <t>户外运动</t>
        </is>
      </c>
      <c r="J1596" t="inlineStr">
        <is>
          <t>0.01</t>
        </is>
      </c>
      <c r="K1596"/>
      <c r="L1596" t="inlineStr">
        <is>
          <t>是二喜呀的店</t>
        </is>
      </c>
      <c r="M1596">
        <v>48000</v>
      </c>
      <c r="N1596">
        <v>4.59</v>
      </c>
      <c r="O1596">
        <v>256000</v>
      </c>
      <c r="P1596" t="inlineStr">
        <is>
          <t>688439b8e08d4d00014a992b</t>
        </is>
      </c>
      <c r="Q1596" t="inlineStr">
        <is>
          <t>🚫重复</t>
        </is>
      </c>
      <c r="R1596" t="inlineStr">
        <is>
          <t>14周</t>
        </is>
      </c>
      <c r="S1596" t="inlineStr">
        <is>
          <t>0.48</t>
        </is>
      </c>
      <c r="T1596" t="inlineStr">
        <is>
          <t>家居生活</t>
        </is>
      </c>
      <c r="U1596" t="inlineStr">
        <is>
          <t>家居日用</t>
        </is>
      </c>
      <c r="V1596" s="3">
        <v>46112.78107638889</v>
      </c>
      <c r="W1596" t="inlineStr">
        <is>
          <t>2026-Q1</t>
        </is>
      </c>
    </row>
    <row r="1597" ht="25.5" customHeight="1">
      <c r="A1597" t="inlineStr">
        <is>
          <t>轻便户外徒步登山包运动休闲双肩包男女旅行出游背包学生小书包</t>
        </is>
      </c>
      <c r="B1597" t="inlineStr">
        <is>
          <t>recveKOBkW3X0s.jpg</t>
        </is>
      </c>
      <c r="C1597" s="2" t="str">
        <f>=HYPERLINK("https://xhslink.com/m/xWTCOeIrA9", "https://xhslink.com/m/xWTCOeIrA9")</f>
        <v>https://xhslink.com/m/xWTCOeIrA9</v>
      </c>
      <c r="D1597"/>
      <c r="E1597">
        <v>1762</v>
      </c>
      <c r="F1597">
        <v>50</v>
      </c>
      <c r="G1597">
        <v>45</v>
      </c>
      <c r="H1597">
        <v>200</v>
      </c>
      <c r="I1597" t="inlineStr">
        <is>
          <t>户外运动</t>
        </is>
      </c>
      <c r="J1597" t="inlineStr">
        <is>
          <t>0.11</t>
        </is>
      </c>
      <c r="K1597"/>
      <c r="L1597" t="inlineStr">
        <is>
          <t>Mu沐沐的店</t>
        </is>
      </c>
      <c r="M1597">
        <v>3559</v>
      </c>
      <c r="N1597">
        <v>4.54</v>
      </c>
      <c r="O1597">
        <v>47000</v>
      </c>
      <c r="P1597" t="inlineStr">
        <is>
          <t>68713e8464e96a0001e48b6e</t>
        </is>
      </c>
      <c r="Q1597" t="inlineStr">
        <is>
          <t>🚫重复</t>
        </is>
      </c>
      <c r="R1597" t="inlineStr">
        <is>
          <t>14周</t>
        </is>
      </c>
      <c r="S1597" t="inlineStr">
        <is>
          <t>0.50</t>
        </is>
      </c>
      <c r="T1597" t="inlineStr">
        <is>
          <t>服饰穿搭</t>
        </is>
      </c>
      <c r="U1597" t="inlineStr">
        <is>
          <t>鞋靴箱包</t>
        </is>
      </c>
      <c r="V1597" s="3">
        <v>46112.78107638889</v>
      </c>
      <c r="W1597" t="inlineStr">
        <is>
          <t>2026-Q1</t>
        </is>
      </c>
    </row>
    <row r="1598" ht="25.5" customHeight="1">
      <c r="A1598" t="inlineStr">
        <is>
          <t>糖豆拼豆补充包2.6mm小豆Coco/Mard/黄豆豆大厂通用融合拼豆现货</t>
        </is>
      </c>
      <c r="B1598" t="inlineStr">
        <is>
          <t>recveKOBkWhmKz.jpg</t>
        </is>
      </c>
      <c r="C1598" s="2" t="str">
        <f>=HYPERLINK("https://xhslink.com/m/5EdImHG7h0F", "https://xhslink.com/m/5EdImHG7h0F")</f>
        <v>https://xhslink.com/m/5EdImHG7h0F</v>
      </c>
      <c r="D1598"/>
      <c r="E1598">
        <v>74000</v>
      </c>
      <c r="F1598">
        <v>318</v>
      </c>
      <c r="G1598"/>
      <c r="H1598">
        <v>200</v>
      </c>
      <c r="I1598" t="inlineStr">
        <is>
          <t>拼豆</t>
        </is>
      </c>
      <c r="J1598" t="inlineStr">
        <is>
          <t>0.00</t>
        </is>
      </c>
      <c r="K1598" t="inlineStr">
        <is>
          <t>🔥低粉爆款</t>
        </is>
      </c>
      <c r="L1598" t="inlineStr">
        <is>
          <t>糖豆拼豆的店</t>
        </is>
      </c>
      <c r="M1598">
        <v>24000</v>
      </c>
      <c r="N1598">
        <v>4.7</v>
      </c>
      <c r="O1598">
        <v>145000</v>
      </c>
      <c r="P1598" t="inlineStr">
        <is>
          <t>68175b6b46684b000190bc2b</t>
        </is>
      </c>
      <c r="Q1598"/>
      <c r="R1598" t="inlineStr">
        <is>
          <t>14周</t>
        </is>
      </c>
      <c r="S1598" t="inlineStr">
        <is>
          <t>3.08</t>
        </is>
      </c>
      <c r="T1598" t="inlineStr">
        <is>
          <t>运动潮玩</t>
        </is>
      </c>
      <c r="U1598" t="inlineStr">
        <is>
          <t>潮玩手办</t>
        </is>
      </c>
      <c r="V1598" s="3">
        <v>46112.78107638889</v>
      </c>
      <c r="W1598" t="inlineStr">
        <is>
          <t>2026-Q1</t>
        </is>
      </c>
    </row>
    <row r="1599" ht="25.5" customHeight="1">
      <c r="A1599" t="inlineStr">
        <is>
          <t>【24小时内速发】拼豆神H系列2.6mm补充包</t>
        </is>
      </c>
      <c r="B1599" t="inlineStr">
        <is>
          <t>recveKOBkWQjtZ.jpg</t>
        </is>
      </c>
      <c r="C1599" s="2" t="str">
        <f>=HYPERLINK("https://xhslink.com/m/1vDO1K53ZfU", "https://xhslink.com/m/1vDO1K53ZfU")</f>
        <v>https://xhslink.com/m/1vDO1K53ZfU</v>
      </c>
      <c r="D1599"/>
      <c r="E1599">
        <v>62000</v>
      </c>
      <c r="F1599">
        <v>203</v>
      </c>
      <c r="G1599"/>
      <c r="H1599">
        <v>200</v>
      </c>
      <c r="I1599" t="inlineStr">
        <is>
          <t>拼豆</t>
        </is>
      </c>
      <c r="J1599" t="inlineStr">
        <is>
          <t>0.00</t>
        </is>
      </c>
      <c r="K1599" t="inlineStr">
        <is>
          <t>🔥低粉爆款</t>
        </is>
      </c>
      <c r="L1599" t="inlineStr">
        <is>
          <t>我不是拼豆神的店</t>
        </is>
      </c>
      <c r="M1599">
        <v>13000</v>
      </c>
      <c r="N1599">
        <v>4.73</v>
      </c>
      <c r="O1599">
        <v>318000</v>
      </c>
      <c r="P1599" t="inlineStr">
        <is>
          <t>69ac14cd70850a000114cb12</t>
        </is>
      </c>
      <c r="Q1599" t="inlineStr">
        <is>
          <t>🚫重复</t>
        </is>
      </c>
      <c r="R1599" t="inlineStr">
        <is>
          <t>14周</t>
        </is>
      </c>
      <c r="S1599" t="inlineStr">
        <is>
          <t>4.77</t>
        </is>
      </c>
      <c r="T1599" t="inlineStr">
        <is>
          <t>运动潮玩</t>
        </is>
      </c>
      <c r="U1599" t="inlineStr">
        <is>
          <t>潮玩手办</t>
        </is>
      </c>
      <c r="V1599" s="3">
        <v>46112.78107638889</v>
      </c>
      <c r="W1599" t="inlineStr">
        <is>
          <t>2026-Q1</t>
        </is>
      </c>
    </row>
    <row r="1600" ht="25.5" customHeight="1">
      <c r="A1600" t="inlineStr">
        <is>
          <t>火星拼豆套装 融合豆 MARD漫漫咪小窝COCO黄豆豆DODO通用221色</t>
        </is>
      </c>
      <c r="B1600" t="inlineStr">
        <is>
          <t>recveKOBkWEUw0.jpg</t>
        </is>
      </c>
      <c r="C1600" s="2" t="str">
        <f>=HYPERLINK("https://xhslink.com/m/W0qmR1aY1M", "https://xhslink.com/m/W0qmR1aY1M")</f>
        <v>https://xhslink.com/m/W0qmR1aY1M</v>
      </c>
      <c r="D1600"/>
      <c r="E1600">
        <v>4537</v>
      </c>
      <c r="F1600">
        <v>216.58</v>
      </c>
      <c r="G1600"/>
      <c r="H1600">
        <v>200</v>
      </c>
      <c r="I1600" t="inlineStr">
        <is>
          <t>拼豆</t>
        </is>
      </c>
      <c r="J1600" t="inlineStr">
        <is>
          <t>0.04</t>
        </is>
      </c>
      <c r="K1600"/>
      <c r="L1600" t="inlineStr">
        <is>
          <t>火星拼豆的店</t>
        </is>
      </c>
      <c r="M1600">
        <v>3386</v>
      </c>
      <c r="N1600">
        <v>4.53</v>
      </c>
      <c r="O1600">
        <v>34000</v>
      </c>
      <c r="P1600" t="inlineStr">
        <is>
          <t>696b474019260d00011e6c51</t>
        </is>
      </c>
      <c r="Q1600" t="inlineStr">
        <is>
          <t>🚫重复</t>
        </is>
      </c>
      <c r="R1600" t="inlineStr">
        <is>
          <t>14周</t>
        </is>
      </c>
      <c r="S1600" t="inlineStr">
        <is>
          <t>1.34</t>
        </is>
      </c>
      <c r="T1600" t="inlineStr">
        <is>
          <t>运动潮玩</t>
        </is>
      </c>
      <c r="U1600" t="inlineStr">
        <is>
          <t>潮玩手办</t>
        </is>
      </c>
      <c r="V1600" s="3">
        <v>46112.78107638889</v>
      </c>
      <c r="W1600" t="inlineStr">
        <is>
          <t>2026-Q1</t>
        </is>
      </c>
    </row>
    <row r="1601" ht="25.5" customHeight="1">
      <c r="A1601" t="inlineStr">
        <is>
          <t>【221色】小森林221色拼豆补充包融合豆豆手工diy益智大厂拼豆</t>
        </is>
      </c>
      <c r="B1601" t="inlineStr">
        <is>
          <t>recveKOBkW0DY6.jpg</t>
        </is>
      </c>
      <c r="C1601" s="2" t="str">
        <f>=HYPERLINK("https://xhslink.com/m/1RmwOJJS3K0", "https://xhslink.com/m/1RmwOJJS3K0")</f>
        <v>https://xhslink.com/m/1RmwOJJS3K0</v>
      </c>
      <c r="D1601"/>
      <c r="E1601">
        <v>2288</v>
      </c>
      <c r="F1601">
        <v>243.1</v>
      </c>
      <c r="G1601"/>
      <c r="H1601">
        <v>200</v>
      </c>
      <c r="I1601" t="inlineStr">
        <is>
          <t>拼豆</t>
        </is>
      </c>
      <c r="J1601" t="inlineStr">
        <is>
          <t>0.09</t>
        </is>
      </c>
      <c r="K1601"/>
      <c r="L1601" t="inlineStr">
        <is>
          <t>小森林拼豆的店</t>
        </is>
      </c>
      <c r="M1601">
        <v>37000</v>
      </c>
      <c r="N1601">
        <v>4.59</v>
      </c>
      <c r="O1601">
        <v>46000</v>
      </c>
      <c r="P1601" t="inlineStr">
        <is>
          <t>6927f523eb0d800001ac12d6</t>
        </is>
      </c>
      <c r="Q1601"/>
      <c r="R1601" t="inlineStr">
        <is>
          <t>14周</t>
        </is>
      </c>
      <c r="S1601" t="inlineStr">
        <is>
          <t>0.06</t>
        </is>
      </c>
      <c r="T1601" t="inlineStr">
        <is>
          <t>运动潮玩</t>
        </is>
      </c>
      <c r="U1601" t="inlineStr">
        <is>
          <t>潮玩手办</t>
        </is>
      </c>
      <c r="V1601" s="3">
        <v>46112.78107638889</v>
      </c>
      <c r="W1601" t="inlineStr">
        <is>
          <t>2026-Q1</t>
        </is>
      </c>
    </row>
    <row r="1602" ht="25.5" customHeight="1">
      <c r="A1602" t="inlineStr">
        <is>
          <t>林间盏 · 玉肌膏丨"做人呢，最要紧的就是开心" 丨少脾气 情绪好都好 · 【1瓶】1月量 | 基础养</t>
        </is>
      </c>
      <c r="B1602" t="inlineStr">
        <is>
          <t>recveKOBkWbf3l.jpg</t>
        </is>
      </c>
      <c r="C1602" s="2" t="str">
        <f>=HYPERLINK("https://www.xiaohongshu.com/goods-detail/62b5302e776dfb000148a067", "https://www.xiaohongshu.com/goods-detail/62b5302e776dfb000148a067")</f>
        <v>https://www.xiaohongshu.com/goods-detail/62b5302e776dfb000148a067</v>
      </c>
      <c r="D1602"/>
      <c r="E1602">
        <v>27000</v>
      </c>
      <c r="F1602">
        <v>198</v>
      </c>
      <c r="G1602">
        <v>174.24</v>
      </c>
      <c r="H1602">
        <v>200</v>
      </c>
      <c r="I1602" t="inlineStr">
        <is>
          <t>养身膏</t>
        </is>
      </c>
      <c r="J1602" t="inlineStr">
        <is>
          <t>0.01</t>
        </is>
      </c>
      <c r="K1602"/>
      <c r="L1602" t="inlineStr">
        <is>
          <t>林间盏旗舰店</t>
        </is>
      </c>
      <c r="M1602">
        <v>533000</v>
      </c>
      <c r="N1602">
        <v>4.56</v>
      </c>
      <c r="O1602">
        <v>506000</v>
      </c>
      <c r="P1602" t="inlineStr">
        <is>
          <t>62b5302e776dfb000148a067</t>
        </is>
      </c>
      <c r="Q1602" t="inlineStr">
        <is>
          <t>🚫重复</t>
        </is>
      </c>
      <c r="R1602" t="inlineStr">
        <is>
          <t>14周</t>
        </is>
      </c>
      <c r="S1602" t="inlineStr">
        <is>
          <t>0.05</t>
        </is>
      </c>
      <c r="T1602" t="inlineStr">
        <is>
          <t>美食滋补</t>
        </is>
      </c>
      <c r="U1602" t="inlineStr">
        <is>
          <t>营养滋补</t>
        </is>
      </c>
      <c r="V1602" s="3">
        <v>46112.78107638889</v>
      </c>
      <c r="W1602" t="inlineStr">
        <is>
          <t>2026-Q1</t>
        </is>
      </c>
    </row>
    <row r="1603" ht="25.5" customHeight="1">
      <c r="A1603" t="inlineStr">
        <is>
          <t>【 新品特惠 】西梅润通膏｜西梅膏｜西梅｜ 不加糖不加水 · 一瓶体验装（前200单）</t>
        </is>
      </c>
      <c r="B1603" t="inlineStr">
        <is>
          <t>recveKOBkWW5SR.jpg</t>
        </is>
      </c>
      <c r="C1603" s="2" t="str">
        <f>=HYPERLINK("https://www.xiaohongshu.com/goods-detail/690e09ef74195c0001b1db12", "https://www.xiaohongshu.com/goods-detail/690e09ef74195c0001b1db12")</f>
        <v>https://www.xiaohongshu.com/goods-detail/690e09ef74195c0001b1db12</v>
      </c>
      <c r="D1603"/>
      <c r="E1603">
        <v>15000</v>
      </c>
      <c r="F1603">
        <v>120</v>
      </c>
      <c r="G1603">
        <v>35</v>
      </c>
      <c r="H1603">
        <v>200</v>
      </c>
      <c r="I1603" t="inlineStr">
        <is>
          <t>养身膏</t>
        </is>
      </c>
      <c r="J1603" t="inlineStr">
        <is>
          <t>0.01</t>
        </is>
      </c>
      <c r="K1603"/>
      <c r="L1603" t="inlineStr">
        <is>
          <t>上善食养的店</t>
        </is>
      </c>
      <c r="M1603">
        <v>8586</v>
      </c>
      <c r="N1603">
        <v>4.74</v>
      </c>
      <c r="O1603">
        <v>58000</v>
      </c>
      <c r="P1603" t="inlineStr">
        <is>
          <t>690e09ef74195c0001b1db12</t>
        </is>
      </c>
      <c r="Q1603"/>
      <c r="R1603" t="inlineStr">
        <is>
          <t>14周</t>
        </is>
      </c>
      <c r="S1603" t="inlineStr">
        <is>
          <t>1.75</t>
        </is>
      </c>
      <c r="T1603" t="inlineStr">
        <is>
          <t>美食滋补</t>
        </is>
      </c>
      <c r="U1603" t="inlineStr">
        <is>
          <t>营养滋补</t>
        </is>
      </c>
      <c r="V1603" s="3">
        <v>46112.78107638889</v>
      </c>
      <c r="W1603" t="inlineStr">
        <is>
          <t>2026-Q1</t>
        </is>
      </c>
    </row>
    <row r="1604" ht="25.5" customHeight="1">
      <c r="A1604" t="inlineStr">
        <is>
          <t>【神仙喇叭裤】显瘦微喇瑜伽裤运动高腰提臀紧身裤无尴尬线外穿</t>
        </is>
      </c>
      <c r="B1604" t="inlineStr">
        <is>
          <t>recveKOBkWEVHf.jpg</t>
        </is>
      </c>
      <c r="C1604" s="2" t="str">
        <f>=HYPERLINK("https://xhslink.com/m/5Jecy4RA78S", "https://xhslink.com/m/5Jecy4RA78S")</f>
        <v>https://xhslink.com/m/5Jecy4RA78S</v>
      </c>
      <c r="D1604"/>
      <c r="E1604">
        <v>15000</v>
      </c>
      <c r="F1604">
        <v>159</v>
      </c>
      <c r="G1604">
        <v>89</v>
      </c>
      <c r="H1604">
        <v>200</v>
      </c>
      <c r="I1604" t="inlineStr">
        <is>
          <t>运动裤</t>
        </is>
      </c>
      <c r="J1604" t="inlineStr">
        <is>
          <t>0.01</t>
        </is>
      </c>
      <c r="K1604"/>
      <c r="L1604" t="inlineStr">
        <is>
          <t>阿彩妮的店</t>
        </is>
      </c>
      <c r="M1604">
        <v>20000</v>
      </c>
      <c r="N1604">
        <v>4.44</v>
      </c>
      <c r="O1604">
        <v>111000</v>
      </c>
      <c r="P1604" t="inlineStr">
        <is>
          <t>6808c63e4b4d640001ecb53d</t>
        </is>
      </c>
      <c r="Q1604" t="inlineStr">
        <is>
          <t>🚫重复</t>
        </is>
      </c>
      <c r="R1604" t="inlineStr">
        <is>
          <t>14周</t>
        </is>
      </c>
      <c r="S1604" t="inlineStr">
        <is>
          <t>0.75</t>
        </is>
      </c>
      <c r="T1604" t="inlineStr">
        <is>
          <t>服饰穿搭</t>
        </is>
      </c>
      <c r="U1604" t="inlineStr">
        <is>
          <t>女装</t>
        </is>
      </c>
      <c r="V1604" s="3">
        <v>46112.78107638889</v>
      </c>
      <c r="W1604" t="inlineStr">
        <is>
          <t>2026-Q1</t>
        </is>
      </c>
    </row>
    <row r="1605" ht="25.5" customHeight="1">
      <c r="A1605" t="inlineStr">
        <is>
          <t>运动短袖T恤女瑜伽服跑步健身t修身显瘦2026四季可穿普拉提上衣女</t>
        </is>
      </c>
      <c r="B1605" t="inlineStr">
        <is>
          <t>recveKOBkWBtzx.jpg</t>
        </is>
      </c>
      <c r="C1605" s="2" t="str">
        <f>=HYPERLINK("https://xhslink.com/m/4YyN82s8KPU", "https://xhslink.com/m/4YyN82s8KPU")</f>
        <v>https://xhslink.com/m/4YyN82s8KPU</v>
      </c>
      <c r="D1605"/>
      <c r="E1605">
        <v>10000</v>
      </c>
      <c r="F1605">
        <v>35.1</v>
      </c>
      <c r="G1605">
        <v>29.83</v>
      </c>
      <c r="H1605">
        <v>200</v>
      </c>
      <c r="I1605" t="inlineStr">
        <is>
          <t>运动T袖</t>
        </is>
      </c>
      <c r="J1605" t="inlineStr">
        <is>
          <t>0.02</t>
        </is>
      </c>
      <c r="K1605"/>
      <c r="L1605" t="inlineStr">
        <is>
          <t>云感Yoga瑜伽的店</t>
        </is>
      </c>
      <c r="M1605">
        <v>25000</v>
      </c>
      <c r="N1605">
        <v>4.59</v>
      </c>
      <c r="O1605">
        <v>302000</v>
      </c>
      <c r="P1605" t="inlineStr">
        <is>
          <t>682b220c7c4a000001a2e138</t>
        </is>
      </c>
      <c r="Q1605" t="inlineStr">
        <is>
          <t>🚫重复</t>
        </is>
      </c>
      <c r="R1605" t="inlineStr">
        <is>
          <t>14周</t>
        </is>
      </c>
      <c r="S1605" t="inlineStr">
        <is>
          <t>0.40</t>
        </is>
      </c>
      <c r="T1605" t="inlineStr">
        <is>
          <t>运动潮玩</t>
        </is>
      </c>
      <c r="U1605" t="inlineStr">
        <is>
          <t>运动户外装备</t>
        </is>
      </c>
      <c r="V1605" s="3">
        <v>46112.78107638889</v>
      </c>
      <c r="W1605" t="inlineStr">
        <is>
          <t>2026-Q1</t>
        </is>
      </c>
    </row>
    <row r="1606" ht="25.5" customHeight="1">
      <c r="A1606" t="inlineStr">
        <is>
          <t>【呼吸长T】瑜伽速干正肩长袖H版型透气圆领运动T恤瑜伽普拉提</t>
        </is>
      </c>
      <c r="B1606" t="inlineStr">
        <is>
          <t>recveKOBkWW6u4.jpg</t>
        </is>
      </c>
      <c r="C1606" s="2" t="str">
        <f>=HYPERLINK("https://xhslink.com/m/7BYh0DzM39x", "https://xhslink.com/m/7BYh0DzM39x")</f>
        <v>https://xhslink.com/m/7BYh0DzM39x</v>
      </c>
      <c r="D1606"/>
      <c r="E1606">
        <v>28000</v>
      </c>
      <c r="F1606">
        <v>69.9</v>
      </c>
      <c r="G1606">
        <v>49.9</v>
      </c>
      <c r="H1606">
        <v>200</v>
      </c>
      <c r="I1606" t="inlineStr">
        <is>
          <t>运动T袖</t>
        </is>
      </c>
      <c r="J1606" t="inlineStr">
        <is>
          <t>0.01</t>
        </is>
      </c>
      <c r="K1606" t="inlineStr">
        <is>
          <t>🔥低粉爆款</t>
        </is>
      </c>
      <c r="L1606" t="inlineStr">
        <is>
          <t>manny曼妮Yoga的店</t>
        </is>
      </c>
      <c r="M1606">
        <v>2554</v>
      </c>
      <c r="N1606">
        <v>4.58</v>
      </c>
      <c r="O1606">
        <v>70000</v>
      </c>
      <c r="P1606" t="inlineStr">
        <is>
          <t>689edc9ad3dd4d00013a9516</t>
        </is>
      </c>
      <c r="Q1606" t="inlineStr">
        <is>
          <t>🚫重复</t>
        </is>
      </c>
      <c r="R1606" t="inlineStr">
        <is>
          <t>14周</t>
        </is>
      </c>
      <c r="S1606" t="inlineStr">
        <is>
          <t>10.96</t>
        </is>
      </c>
      <c r="T1606" t="inlineStr">
        <is>
          <t>服饰穿搭</t>
        </is>
      </c>
      <c r="U1606" t="inlineStr">
        <is>
          <t>女装</t>
        </is>
      </c>
      <c r="V1606" s="3">
        <v>46112.78107638889</v>
      </c>
      <c r="W1606" t="inlineStr">
        <is>
          <t>2026-Q1</t>
        </is>
      </c>
    </row>
    <row r="1607" ht="25.5" customHeight="1">
      <c r="A1607" t="inlineStr">
        <is>
          <t>正肩运动短袖T恤修身显瘦打底上衣</t>
        </is>
      </c>
      <c r="B1607" t="inlineStr">
        <is>
          <t>recveKOBkWvEds.jpg</t>
        </is>
      </c>
      <c r="C1607" s="2" t="str">
        <f>=HYPERLINK("https://xhslink.com/m/10ynunxjauY", "https://xhslink.com/m/10ynunxjauY")</f>
        <v>https://xhslink.com/m/10ynunxjauY</v>
      </c>
      <c r="D1607"/>
      <c r="E1607">
        <v>43000</v>
      </c>
      <c r="F1607">
        <v>99</v>
      </c>
      <c r="G1607">
        <v>89.1</v>
      </c>
      <c r="H1607">
        <v>200</v>
      </c>
      <c r="I1607" t="inlineStr">
        <is>
          <t>运动T袖</t>
        </is>
      </c>
      <c r="J1607" t="inlineStr">
        <is>
          <t>0.00</t>
        </is>
      </c>
      <c r="K1607"/>
      <c r="L1607" t="inlineStr">
        <is>
          <t>Jim Kennet的店</t>
        </is>
      </c>
      <c r="M1607">
        <v>81000</v>
      </c>
      <c r="N1607">
        <v>4.54</v>
      </c>
      <c r="O1607">
        <v>112000</v>
      </c>
      <c r="P1607" t="inlineStr">
        <is>
          <t>67da569a08549900015026ff</t>
        </is>
      </c>
      <c r="Q1607"/>
      <c r="R1607" t="inlineStr">
        <is>
          <t>14周</t>
        </is>
      </c>
      <c r="S1607" t="inlineStr">
        <is>
          <t>0.53</t>
        </is>
      </c>
      <c r="T1607" t="inlineStr">
        <is>
          <t>服饰穿搭</t>
        </is>
      </c>
      <c r="U1607" t="inlineStr">
        <is>
          <t>女装</t>
        </is>
      </c>
      <c r="V1607" s="3">
        <v>46112.78107638889</v>
      </c>
      <c r="W1607" t="inlineStr">
        <is>
          <t>2026-Q1</t>
        </is>
      </c>
    </row>
    <row r="1608" ht="25.5" customHeight="1">
      <c r="A1608" t="inlineStr">
        <is>
          <t>瑜伽服运动健身跑步速干衣T恤紧身短袖上衣修身</t>
        </is>
      </c>
      <c r="B1608" t="inlineStr">
        <is>
          <t>recveNVqEwZGWm.jpg</t>
        </is>
      </c>
      <c r="C1608" s="2" t="str">
        <f>=HYPERLINK("https://xhslink.com/m/oBYrFFjTLG", "https://xhslink.com/m/oBYrFFjTLG")</f>
        <v>https://xhslink.com/m/oBYrFFjTLG</v>
      </c>
      <c r="D1608"/>
      <c r="E1608">
        <v>2717</v>
      </c>
      <c r="F1608">
        <v>69.9</v>
      </c>
      <c r="G1608">
        <v>49</v>
      </c>
      <c r="H1608">
        <v>200</v>
      </c>
      <c r="I1608" t="inlineStr">
        <is>
          <t>速干T恤</t>
        </is>
      </c>
      <c r="J1608" t="inlineStr">
        <is>
          <t>0.07</t>
        </is>
      </c>
      <c r="K1608" t="inlineStr">
        <is>
          <t>🔥低粉爆款</t>
        </is>
      </c>
      <c r="L1608" t="inlineStr">
        <is>
          <t>跳跳马达的店</t>
        </is>
      </c>
      <c r="M1608">
        <v>147</v>
      </c>
      <c r="N1608">
        <v>4.67</v>
      </c>
      <c r="O1608">
        <v>2809</v>
      </c>
      <c r="P1608" t="inlineStr">
        <is>
          <t>69a6a3e5e1706c0015ba330a</t>
        </is>
      </c>
      <c r="Q1608" t="inlineStr">
        <is>
          <t>🚫重复</t>
        </is>
      </c>
      <c r="R1608" t="inlineStr">
        <is>
          <t>14周</t>
        </is>
      </c>
      <c r="S1608" t="inlineStr">
        <is>
          <t>18.48</t>
        </is>
      </c>
      <c r="T1608" t="inlineStr">
        <is>
          <t>运动潮玩</t>
        </is>
      </c>
      <c r="U1608" t="inlineStr">
        <is>
          <t>运动户外装备</t>
        </is>
      </c>
      <c r="V1608" s="3">
        <v>46112.78107638889</v>
      </c>
      <c r="W1608" t="inlineStr">
        <is>
          <t>2026-Q1</t>
        </is>
      </c>
    </row>
    <row r="1609" ht="25.5" customHeight="1">
      <c r="A1609" t="inlineStr">
        <is>
          <t>【孤品捡漏专区】天然水晶手串原创设计款 默认微瑕 介意勿拍</t>
        </is>
      </c>
      <c r="B1609" t="inlineStr">
        <is>
          <t>recveNXG9t0OKH.jpg</t>
        </is>
      </c>
      <c r="C1609" s="2" t="str">
        <f>=HYPERLINK("https://xhslink.com/m/9WPw45UPnlA", "https://xhslink.com/m/9WPw45UPnlA")</f>
        <v>https://xhslink.com/m/9WPw45UPnlA</v>
      </c>
      <c r="D1609"/>
      <c r="E1609">
        <v>24000</v>
      </c>
      <c r="F1609">
        <v>39.9</v>
      </c>
      <c r="G1609"/>
      <c r="H1609">
        <v>200</v>
      </c>
      <c r="I1609" t="inlineStr">
        <is>
          <t>水晶</t>
        </is>
      </c>
      <c r="J1609" t="inlineStr">
        <is>
          <t>0.01</t>
        </is>
      </c>
      <c r="K1609"/>
      <c r="L1609" t="inlineStr">
        <is>
          <t>FENGL水晶定制的店</t>
        </is>
      </c>
      <c r="M1609">
        <v>21000</v>
      </c>
      <c r="N1609">
        <v>4.42</v>
      </c>
      <c r="O1609">
        <v>53000</v>
      </c>
      <c r="P1609" t="inlineStr">
        <is>
          <t>681df2f410039a0001163bce</t>
        </is>
      </c>
      <c r="Q1609" t="inlineStr">
        <is>
          <t>🚫重复</t>
        </is>
      </c>
      <c r="R1609" t="inlineStr">
        <is>
          <t>14周</t>
        </is>
      </c>
      <c r="S1609" t="inlineStr">
        <is>
          <t>1.14</t>
        </is>
      </c>
      <c r="T1609" t="inlineStr">
        <is>
          <t>服饰穿搭</t>
        </is>
      </c>
      <c r="U1609" t="inlineStr">
        <is>
          <t>配饰</t>
        </is>
      </c>
      <c r="V1609" s="3">
        <v>46112.78107638889</v>
      </c>
      <c r="W1609" t="inlineStr">
        <is>
          <t>2026-Q1</t>
        </is>
      </c>
    </row>
    <row r="1610" ht="25.5" customHeight="1">
      <c r="A1610" t="inlineStr">
        <is>
          <t>其他 · 【活性酒酿】传统古法酿造醪糟/酒酿/月子酒 顺丰包邮</t>
        </is>
      </c>
      <c r="B1610" t="inlineStr">
        <is>
          <t>recveNXG9tWhc1.jpg</t>
        </is>
      </c>
      <c r="C1610" s="2" t="str">
        <f>=HYPERLINK("https://xhslink.com/m/1FOWA1C5DU9", "https://xhslink.com/m/1FOWA1C5DU9")</f>
        <v>https://xhslink.com/m/1FOWA1C5DU9</v>
      </c>
      <c r="D1610"/>
      <c r="E1610">
        <v>11000</v>
      </c>
      <c r="F1610">
        <v>35.8</v>
      </c>
      <c r="G1610">
        <v>34.8</v>
      </c>
      <c r="H1610">
        <v>200</v>
      </c>
      <c r="I1610" t="inlineStr">
        <is>
          <t>饮品</t>
        </is>
      </c>
      <c r="J1610" t="inlineStr">
        <is>
          <t>0.02</t>
        </is>
      </c>
      <c r="K1610" t="inlineStr">
        <is>
          <t>🔥低粉爆款</t>
        </is>
      </c>
      <c r="L1610" t="inlineStr">
        <is>
          <t>外婆的手工酒酿的店</t>
        </is>
      </c>
      <c r="M1610">
        <v>1573</v>
      </c>
      <c r="N1610">
        <v>4.69</v>
      </c>
      <c r="O1610">
        <v>12000</v>
      </c>
      <c r="P1610" t="inlineStr">
        <is>
          <t>68bfe3aa2773df0001f1d430</t>
        </is>
      </c>
      <c r="Q1610" t="inlineStr">
        <is>
          <t>🚫重复</t>
        </is>
      </c>
      <c r="R1610" t="inlineStr">
        <is>
          <t>14周</t>
        </is>
      </c>
      <c r="S1610" t="inlineStr">
        <is>
          <t>6.99</t>
        </is>
      </c>
      <c r="T1610" t="inlineStr">
        <is>
          <t>美食滋补</t>
        </is>
      </c>
      <c r="U1610" t="inlineStr">
        <is>
          <t>酒水冲饮</t>
        </is>
      </c>
      <c r="V1610" s="3">
        <v>46112.78107638889</v>
      </c>
      <c r="W1610" t="inlineStr">
        <is>
          <t>2026-Q1</t>
        </is>
      </c>
    </row>
    <row r="1611" ht="25.5" customHeight="1">
      <c r="A1611" t="inlineStr">
        <is>
          <t>啡否 · 【油脂王】完全无酸深度烘焙意式咖啡豆|美式拿铁拉花</t>
        </is>
      </c>
      <c r="B1611" t="inlineStr">
        <is>
          <t>recveNXG9te2Sv.jpg</t>
        </is>
      </c>
      <c r="C1611" s="2" t="str">
        <f>=HYPERLINK("https://xhslink.com/m/gxnbMzhlTc", "https://xhslink.com/m/gxnbMzhlTc")</f>
        <v>https://xhslink.com/m/gxnbMzhlTc</v>
      </c>
      <c r="D1611"/>
      <c r="E1611">
        <v>63000</v>
      </c>
      <c r="F1611">
        <v>239</v>
      </c>
      <c r="G1611">
        <v>177</v>
      </c>
      <c r="H1611">
        <v>200</v>
      </c>
      <c r="I1611" t="inlineStr">
        <is>
          <t>饮品</t>
        </is>
      </c>
      <c r="J1611" t="inlineStr">
        <is>
          <t>0.00</t>
        </is>
      </c>
      <c r="K1611" t="inlineStr">
        <is>
          <t>🔥低粉爆款</t>
        </is>
      </c>
      <c r="L1611" t="inlineStr">
        <is>
          <t>FIFO咖啡豆的店</t>
        </is>
      </c>
      <c r="M1611">
        <v>14000</v>
      </c>
      <c r="N1611">
        <v>4.78</v>
      </c>
      <c r="O1611">
        <v>161000</v>
      </c>
      <c r="P1611" t="inlineStr">
        <is>
          <t>68be8573d471ac000124347e</t>
        </is>
      </c>
      <c r="Q1611"/>
      <c r="R1611" t="inlineStr">
        <is>
          <t>14周</t>
        </is>
      </c>
      <c r="S1611" t="inlineStr">
        <is>
          <t>4.50</t>
        </is>
      </c>
      <c r="T1611" t="inlineStr">
        <is>
          <t>家居生活</t>
        </is>
      </c>
      <c r="U1611" t="inlineStr">
        <is>
          <t>厨房餐饮</t>
        </is>
      </c>
      <c r="V1611" s="3">
        <v>46112.78107638889</v>
      </c>
      <c r="W1611" t="inlineStr">
        <is>
          <t>2026-Q1</t>
        </is>
      </c>
    </row>
    <row r="1612" ht="25.5" customHeight="1">
      <c r="A1612" t="inlineStr">
        <is>
          <t>芙山飘恋【夏日彩咖】阿拉比卡袋装彩虹咖啡速溶黑咖啡提神醇香美</t>
        </is>
      </c>
      <c r="B1612" t="inlineStr">
        <is>
          <t>recveNXG9tKaLQ.jpg</t>
        </is>
      </c>
      <c r="C1612" s="2" t="str">
        <f>=HYPERLINK("https://xhslink.com/m/ATt2Gsn9oKA", "https://xhslink.com/m/ATt2Gsn9oKA")</f>
        <v>https://xhslink.com/m/ATt2Gsn9oKA</v>
      </c>
      <c r="D1612"/>
      <c r="E1612">
        <v>15000</v>
      </c>
      <c r="F1612">
        <v>29.9</v>
      </c>
      <c r="G1612"/>
      <c r="H1612">
        <v>200</v>
      </c>
      <c r="I1612" t="inlineStr">
        <is>
          <t>饮品</t>
        </is>
      </c>
      <c r="J1612" t="inlineStr">
        <is>
          <t>0.01</t>
        </is>
      </c>
      <c r="K1612"/>
      <c r="L1612" t="inlineStr">
        <is>
          <t>小苏低卡轻食记的店</t>
        </is>
      </c>
      <c r="M1612">
        <v>31000</v>
      </c>
      <c r="N1612">
        <v>4.38</v>
      </c>
      <c r="O1612">
        <v>287000</v>
      </c>
      <c r="P1612" t="inlineStr">
        <is>
          <t>68730ea9897c110015e2ad0b</t>
        </is>
      </c>
      <c r="Q1612" t="inlineStr">
        <is>
          <t>🚫重复</t>
        </is>
      </c>
      <c r="R1612" t="inlineStr">
        <is>
          <t>14周</t>
        </is>
      </c>
      <c r="S1612" t="inlineStr">
        <is>
          <t>0.48</t>
        </is>
      </c>
      <c r="T1612" t="inlineStr">
        <is>
          <t>美食滋补</t>
        </is>
      </c>
      <c r="U1612" t="inlineStr">
        <is>
          <t>酒水冲饮</t>
        </is>
      </c>
      <c r="V1612" s="3">
        <v>46112.78107638889</v>
      </c>
      <c r="W1612" t="inlineStr">
        <is>
          <t>2026-Q1</t>
        </is>
      </c>
    </row>
    <row r="1613" ht="25.5" customHeight="1">
      <c r="A1613" t="inlineStr">
        <is>
          <t>seven七七【升级版3.0】正肩T恤【基础系天花板】纯欲圆领短袖</t>
        </is>
      </c>
      <c r="B1613" t="inlineStr">
        <is>
          <t>recveNXG9thW5Z.jpg</t>
        </is>
      </c>
      <c r="C1613" s="2" t="str">
        <f>=HYPERLINK("https://xhslink.com/m/KAd1cQmiyr", "https://xhslink.com/m/KAd1cQmiyr")</f>
        <v>https://xhslink.com/m/KAd1cQmiyr</v>
      </c>
      <c r="D1613"/>
      <c r="E1613">
        <v>109000</v>
      </c>
      <c r="F1613">
        <v>39.9</v>
      </c>
      <c r="G1613">
        <v>35</v>
      </c>
      <c r="H1613">
        <v>200</v>
      </c>
      <c r="I1613" t="inlineStr">
        <is>
          <t>T恤</t>
        </is>
      </c>
      <c r="J1613" t="inlineStr">
        <is>
          <t>0.00</t>
        </is>
      </c>
      <c r="K1613" t="inlineStr">
        <is>
          <t>🔥低粉爆款</t>
        </is>
      </c>
      <c r="L1613" t="inlineStr">
        <is>
          <t>Seven七七家的店</t>
        </is>
      </c>
      <c r="M1613">
        <v>31000</v>
      </c>
      <c r="N1613">
        <v>4.51</v>
      </c>
      <c r="O1613">
        <v>210000</v>
      </c>
      <c r="P1613" t="inlineStr">
        <is>
          <t>65bcabde3ae27c0001d53207</t>
        </is>
      </c>
      <c r="Q1613"/>
      <c r="R1613" t="inlineStr">
        <is>
          <t>14周</t>
        </is>
      </c>
      <c r="S1613" t="inlineStr">
        <is>
          <t>3.52</t>
        </is>
      </c>
      <c r="T1613" t="inlineStr">
        <is>
          <t>服饰穿搭</t>
        </is>
      </c>
      <c r="U1613" t="inlineStr">
        <is>
          <t>女装</t>
        </is>
      </c>
      <c r="V1613" s="3">
        <v>46112.78107638889</v>
      </c>
      <c r="W1613" t="inlineStr">
        <is>
          <t>2026-Q1</t>
        </is>
      </c>
    </row>
    <row r="1614" ht="25.5" customHeight="1">
      <c r="A1614" t="inlineStr">
        <is>
          <t>Amin Studios【2.0升级版】纯棉百搭显瘦打底衫内搭休闲长袖T恤女</t>
        </is>
      </c>
      <c r="B1614" t="inlineStr">
        <is>
          <t>recveNXG9tr0fl.jpg</t>
        </is>
      </c>
      <c r="C1614" s="2" t="str">
        <f>=HYPERLINK("https://xhslink.com/m/4EJSqtbUITA", "https://xhslink.com/m/4EJSqtbUITA")</f>
        <v>https://xhslink.com/m/4EJSqtbUITA</v>
      </c>
      <c r="D1614"/>
      <c r="E1614">
        <v>10000</v>
      </c>
      <c r="F1614">
        <v>79</v>
      </c>
      <c r="G1614"/>
      <c r="H1614">
        <v>200</v>
      </c>
      <c r="I1614" t="inlineStr">
        <is>
          <t>T恤</t>
        </is>
      </c>
      <c r="J1614" t="inlineStr">
        <is>
          <t>0.02</t>
        </is>
      </c>
      <c r="K1614"/>
      <c r="L1614" t="inlineStr">
        <is>
          <t>Amin Studios的店</t>
        </is>
      </c>
      <c r="M1614">
        <v>4230</v>
      </c>
      <c r="N1614">
        <v>4.51</v>
      </c>
      <c r="O1614">
        <v>20000</v>
      </c>
      <c r="P1614" t="inlineStr">
        <is>
          <t>693cd4fe7a38a60001fd70b0</t>
        </is>
      </c>
      <c r="Q1614" t="inlineStr">
        <is>
          <t>🚫重复</t>
        </is>
      </c>
      <c r="R1614" t="inlineStr">
        <is>
          <t>14周</t>
        </is>
      </c>
      <c r="S1614" t="inlineStr">
        <is>
          <t>2.36</t>
        </is>
      </c>
      <c r="T1614" t="inlineStr">
        <is>
          <t>服饰穿搭</t>
        </is>
      </c>
      <c r="U1614" t="inlineStr">
        <is>
          <t>女装</t>
        </is>
      </c>
      <c r="V1614" s="3">
        <v>46112.78107638889</v>
      </c>
      <c r="W1614" t="inlineStr">
        <is>
          <t>2026-Q1</t>
        </is>
      </c>
    </row>
    <row r="1615" ht="25.5" customHeight="1">
      <c r="A1615" t="inlineStr">
        <is>
          <t>美式重磅纯棉短袖t恤女夏季新款宽松卡通ins国潮牌小众半袖上衣</t>
        </is>
      </c>
      <c r="B1615" t="inlineStr">
        <is>
          <t>recveNXG9tp0Ky.jpg</t>
        </is>
      </c>
      <c r="C1615" s="2" t="str">
        <f>=HYPERLINK("https://xhslink.com/m/ATDTefdGJHp", "https://xhslink.com/m/ATDTefdGJHp")</f>
        <v>https://xhslink.com/m/ATDTefdGJHp</v>
      </c>
      <c r="D1615"/>
      <c r="E1615">
        <v>4272</v>
      </c>
      <c r="F1615">
        <v>30.8</v>
      </c>
      <c r="G1615">
        <v>28.8</v>
      </c>
      <c r="H1615">
        <v>200</v>
      </c>
      <c r="I1615" t="inlineStr">
        <is>
          <t>T恤</t>
        </is>
      </c>
      <c r="J1615" t="inlineStr">
        <is>
          <t>0.05</t>
        </is>
      </c>
      <c r="K1615"/>
      <c r="L1615" t="inlineStr">
        <is>
          <t>XIAO詹原创工作室的店</t>
        </is>
      </c>
      <c r="M1615">
        <v>531000</v>
      </c>
      <c r="N1615">
        <v>4.54</v>
      </c>
      <c r="O1615">
        <v>1833000</v>
      </c>
      <c r="P1615" t="inlineStr">
        <is>
          <t>67c852d297592600010d9405</t>
        </is>
      </c>
      <c r="Q1615" t="inlineStr">
        <is>
          <t>🚫重复</t>
        </is>
      </c>
      <c r="R1615" t="inlineStr">
        <is>
          <t>14周</t>
        </is>
      </c>
      <c r="S1615" t="inlineStr">
        <is>
          <t>0.01</t>
        </is>
      </c>
      <c r="T1615" t="inlineStr">
        <is>
          <t>服饰穿搭</t>
        </is>
      </c>
      <c r="U1615" t="inlineStr">
        <is>
          <t>女装</t>
        </is>
      </c>
      <c r="V1615" s="3">
        <v>46112.78107638889</v>
      </c>
      <c r="W1615" t="inlineStr">
        <is>
          <t>2026-Q1</t>
        </is>
      </c>
    </row>
    <row r="1616" ht="25.5" customHeight="1">
      <c r="A1616" t="inlineStr">
        <is>
          <t>SANJINR叁金耳【独家条纹】显瘦V领纽扣宽松长袖T恤大码微胖上衣</t>
        </is>
      </c>
      <c r="B1616" t="inlineStr">
        <is>
          <t>recveNXG9timwc.jpg</t>
        </is>
      </c>
      <c r="C1616" s="2" t="str">
        <f>=HYPERLINK("https://xhslink.com/m/7b0r30taMne", "https://xhslink.com/m/7b0r30taMne")</f>
        <v>https://xhslink.com/m/7b0r30taMne</v>
      </c>
      <c r="D1616"/>
      <c r="E1616">
        <v>4534</v>
      </c>
      <c r="F1616">
        <v>79.9</v>
      </c>
      <c r="G1616"/>
      <c r="H1616">
        <v>200</v>
      </c>
      <c r="I1616" t="inlineStr">
        <is>
          <t>T恤</t>
        </is>
      </c>
      <c r="J1616" t="inlineStr">
        <is>
          <t>0.04</t>
        </is>
      </c>
      <c r="K1616"/>
      <c r="L1616" t="inlineStr">
        <is>
          <t>叁金耳的店</t>
        </is>
      </c>
      <c r="M1616">
        <v>30000</v>
      </c>
      <c r="N1616">
        <v>4.51</v>
      </c>
      <c r="O1616">
        <v>58000</v>
      </c>
      <c r="P1616" t="inlineStr">
        <is>
          <t>68cbd51d55f59b0001201c6b</t>
        </is>
      </c>
      <c r="Q1616"/>
      <c r="R1616" t="inlineStr">
        <is>
          <t>14周</t>
        </is>
      </c>
      <c r="S1616" t="inlineStr">
        <is>
          <t>0.15</t>
        </is>
      </c>
      <c r="T1616" t="inlineStr">
        <is>
          <t>服饰穿搭</t>
        </is>
      </c>
      <c r="U1616" t="inlineStr">
        <is>
          <t>女装</t>
        </is>
      </c>
      <c r="V1616" s="3">
        <v>46112.78107638889</v>
      </c>
      <c r="W1616" t="inlineStr">
        <is>
          <t>2026-Q1</t>
        </is>
      </c>
    </row>
    <row r="1617" ht="25.5" customHeight="1">
      <c r="A1617" t="inlineStr">
        <is>
          <t>不小心就练那么大了猫meme波点 印花男女健身房冰凉感短袖宽松T恤</t>
        </is>
      </c>
      <c r="B1617" t="inlineStr">
        <is>
          <t>recveNXG9tUy7D.jpg</t>
        </is>
      </c>
      <c r="C1617" s="2" t="str">
        <f>=HYPERLINK("https://xhslink.com/m/4sJfvSqA6Gm", "https://xhslink.com/m/4sJfvSqA6Gm")</f>
        <v>https://xhslink.com/m/4sJfvSqA6Gm</v>
      </c>
      <c r="D1617"/>
      <c r="E1617">
        <v>3224</v>
      </c>
      <c r="F1617">
        <v>99.88</v>
      </c>
      <c r="G1617">
        <v>69.88</v>
      </c>
      <c r="H1617">
        <v>200</v>
      </c>
      <c r="I1617" t="inlineStr">
        <is>
          <t>T恤</t>
        </is>
      </c>
      <c r="J1617" t="inlineStr">
        <is>
          <t>0.06</t>
        </is>
      </c>
      <c r="K1617"/>
      <c r="L1617" t="inlineStr">
        <is>
          <t>CreaWear线上店的店</t>
        </is>
      </c>
      <c r="M1617">
        <v>2376</v>
      </c>
      <c r="N1617">
        <v>4.64</v>
      </c>
      <c r="O1617">
        <v>10000</v>
      </c>
      <c r="P1617" t="inlineStr">
        <is>
          <t>68c69437c34eef00159d627a</t>
        </is>
      </c>
      <c r="Q1617" t="inlineStr">
        <is>
          <t>🚫重复</t>
        </is>
      </c>
      <c r="R1617" t="inlineStr">
        <is>
          <t>14周</t>
        </is>
      </c>
      <c r="S1617" t="inlineStr">
        <is>
          <t>1.36</t>
        </is>
      </c>
      <c r="T1617" t="inlineStr">
        <is>
          <t>服饰穿搭</t>
        </is>
      </c>
      <c r="U1617" t="inlineStr">
        <is>
          <t>女装</t>
        </is>
      </c>
      <c r="V1617" s="3">
        <v>46112.78107638889</v>
      </c>
      <c r="W1617" t="inlineStr">
        <is>
          <t>2026-Q1</t>
        </is>
      </c>
    </row>
    <row r="1618" ht="25.5" customHeight="1">
      <c r="A1618" t="inlineStr">
        <is>
          <t>「慕斯棉9色短袖T」韩系！简约纯色显瘦女士短袖T恤</t>
        </is>
      </c>
      <c r="B1618" t="inlineStr">
        <is>
          <t>recveNXG9tQKDx.jpg</t>
        </is>
      </c>
      <c r="C1618" s="2" t="str">
        <f>=HYPERLINK("https://xhslink.com/m/7j9lU49iABA", "https://xhslink.com/m/7j9lU49iABA")</f>
        <v>https://xhslink.com/m/7j9lU49iABA</v>
      </c>
      <c r="D1618"/>
      <c r="E1618">
        <v>3515</v>
      </c>
      <c r="F1618">
        <v>49.9</v>
      </c>
      <c r="G1618">
        <v>29.9</v>
      </c>
      <c r="H1618">
        <v>200</v>
      </c>
      <c r="I1618" t="inlineStr">
        <is>
          <t>T恤</t>
        </is>
      </c>
      <c r="J1618" t="inlineStr">
        <is>
          <t>0.06</t>
        </is>
      </c>
      <c r="K1618" t="inlineStr">
        <is>
          <t>🔥低粉爆款</t>
        </is>
      </c>
      <c r="L1618" t="inlineStr">
        <is>
          <t>有有studio三号店的店</t>
        </is>
      </c>
      <c r="M1618">
        <v>47</v>
      </c>
      <c r="N1618">
        <v>4.23</v>
      </c>
      <c r="O1618">
        <v>19000</v>
      </c>
      <c r="P1618" t="inlineStr">
        <is>
          <t>69b8fd200775cd0015a846c1</t>
        </is>
      </c>
      <c r="Q1618" t="inlineStr">
        <is>
          <t>🚫重复</t>
        </is>
      </c>
      <c r="R1618" t="inlineStr">
        <is>
          <t>14周</t>
        </is>
      </c>
      <c r="S1618" t="inlineStr">
        <is>
          <t>74.79</t>
        </is>
      </c>
      <c r="T1618" t="inlineStr">
        <is>
          <t>服饰穿搭</t>
        </is>
      </c>
      <c r="U1618" t="inlineStr">
        <is>
          <t>女装</t>
        </is>
      </c>
      <c r="V1618" s="3">
        <v>46112.78107638889</v>
      </c>
      <c r="W1618" t="inlineStr">
        <is>
          <t>2026-Q1</t>
        </is>
      </c>
    </row>
    <row r="1619" ht="25.5" customHeight="1">
      <c r="A1619" t="inlineStr">
        <is>
          <t>「马蹄子正肩T」韩系！插件袖净版休闲百搭女士短袖T恤</t>
        </is>
      </c>
      <c r="B1619" t="inlineStr">
        <is>
          <t>recveNXG9tLdf7.jpg</t>
        </is>
      </c>
      <c r="C1619" s="2" t="str">
        <f>=HYPERLINK("https://xhslink.com/m/AhT9xYEbicX", "https://xhslink.com/m/AhT9xYEbicX")</f>
        <v>https://xhslink.com/m/AhT9xYEbicX</v>
      </c>
      <c r="D1619"/>
      <c r="E1619">
        <v>3449</v>
      </c>
      <c r="F1619">
        <v>49.9</v>
      </c>
      <c r="G1619">
        <v>29.9</v>
      </c>
      <c r="H1619">
        <v>200</v>
      </c>
      <c r="I1619" t="inlineStr">
        <is>
          <t>T恤</t>
        </is>
      </c>
      <c r="J1619" t="inlineStr">
        <is>
          <t>0.06</t>
        </is>
      </c>
      <c r="K1619" t="inlineStr">
        <is>
          <t>🔥低粉爆款</t>
        </is>
      </c>
      <c r="L1619" t="inlineStr">
        <is>
          <t>有有studio三号店的店</t>
        </is>
      </c>
      <c r="M1619">
        <v>47</v>
      </c>
      <c r="N1619">
        <v>4.23</v>
      </c>
      <c r="O1619">
        <v>19000</v>
      </c>
      <c r="P1619" t="inlineStr">
        <is>
          <t>69b900e2c3604d0015b525a6</t>
        </is>
      </c>
      <c r="Q1619" t="inlineStr">
        <is>
          <t>🚫重复</t>
        </is>
      </c>
      <c r="R1619" t="inlineStr">
        <is>
          <t>14周</t>
        </is>
      </c>
      <c r="S1619" t="inlineStr">
        <is>
          <t>73.38</t>
        </is>
      </c>
      <c r="T1619" t="inlineStr">
        <is>
          <t>服饰穿搭</t>
        </is>
      </c>
      <c r="U1619" t="inlineStr">
        <is>
          <t>女装</t>
        </is>
      </c>
      <c r="V1619" s="3">
        <v>46112.78107638889</v>
      </c>
      <c r="W1619" t="inlineStr">
        <is>
          <t>2026-Q1</t>
        </is>
      </c>
    </row>
    <row r="1620" ht="25.5" customHeight="1">
      <c r="A1620" t="inlineStr">
        <is>
          <t>无火香薰家用香熏高级酒店精油卧室卫生间客厅持久留香摆件除味女</t>
        </is>
      </c>
      <c r="B1620" t="inlineStr">
        <is>
          <t>recveNXG9tRSED.jpg</t>
        </is>
      </c>
      <c r="C1620" s="2" t="str">
        <f>=HYPERLINK("https://xhslink.com/m/5yHDtc54vJ7", "https://xhslink.com/m/5yHDtc54vJ7")</f>
        <v>https://xhslink.com/m/5yHDtc54vJ7</v>
      </c>
      <c r="D1620"/>
      <c r="E1620">
        <v>40000</v>
      </c>
      <c r="F1620">
        <v>128</v>
      </c>
      <c r="G1620">
        <v>72</v>
      </c>
      <c r="H1620">
        <v>200</v>
      </c>
      <c r="I1620" t="inlineStr">
        <is>
          <t>香薰</t>
        </is>
      </c>
      <c r="J1620" t="inlineStr">
        <is>
          <t>0.01</t>
        </is>
      </c>
      <c r="K1620" t="inlineStr">
        <is>
          <t>🔥低粉爆款</t>
        </is>
      </c>
      <c r="L1620" t="inlineStr">
        <is>
          <t>Quivenic奇闻纪的店</t>
        </is>
      </c>
      <c r="M1620">
        <v>5256</v>
      </c>
      <c r="N1620">
        <v>4.6</v>
      </c>
      <c r="O1620">
        <v>113000</v>
      </c>
      <c r="P1620" t="inlineStr">
        <is>
          <t>69465043110a7f0001433529</t>
        </is>
      </c>
      <c r="Q1620" t="inlineStr">
        <is>
          <t>🚫重复</t>
        </is>
      </c>
      <c r="R1620" t="inlineStr">
        <is>
          <t>14周</t>
        </is>
      </c>
      <c r="S1620" t="inlineStr">
        <is>
          <t>7.61</t>
        </is>
      </c>
      <c r="T1620" t="inlineStr">
        <is>
          <t>家居生活</t>
        </is>
      </c>
      <c r="U1620" t="inlineStr">
        <is>
          <t>家居日用</t>
        </is>
      </c>
      <c r="V1620" s="3">
        <v>46112.78107638889</v>
      </c>
      <c r="W1620" t="inlineStr">
        <is>
          <t>2026-Q1</t>
        </is>
      </c>
    </row>
    <row r="1621" ht="25.5" customHeight="1">
      <c r="A1621" t="inlineStr">
        <is>
          <t>囧宝CUTEPOL · 【sta除臭因子】天然纳基矿砂无尘结团紧实除臭强宠物通用猫砂</t>
        </is>
      </c>
      <c r="B1621" t="inlineStr">
        <is>
          <t>recveNXG9td9rl.jpg</t>
        </is>
      </c>
      <c r="C1621" s="2" t="str">
        <f>=HYPERLINK("https://xhslink.com/m/8BredGUhdIz", "https://xhslink.com/m/8BredGUhdIz")</f>
        <v>https://xhslink.com/m/8BredGUhdIz</v>
      </c>
      <c r="D1621"/>
      <c r="E1621">
        <v>211000</v>
      </c>
      <c r="F1621">
        <v>15.9</v>
      </c>
      <c r="G1621">
        <v>11.9</v>
      </c>
      <c r="H1621">
        <v>200</v>
      </c>
      <c r="I1621" t="inlineStr">
        <is>
          <t>除臭猫砂</t>
        </is>
      </c>
      <c r="J1621" t="inlineStr">
        <is>
          <t>0.00</t>
        </is>
      </c>
      <c r="K1621" t="inlineStr">
        <is>
          <t>🔥低粉爆款</t>
        </is>
      </c>
      <c r="L1621" t="inlineStr">
        <is>
          <t>囧宝 CUTEPOL旗舰店</t>
        </is>
      </c>
      <c r="M1621">
        <v>15000</v>
      </c>
      <c r="N1621">
        <v>4.33</v>
      </c>
      <c r="O1621">
        <v>249000</v>
      </c>
      <c r="P1621" t="inlineStr">
        <is>
          <t>68f2f381ae1c1700019c852e</t>
        </is>
      </c>
      <c r="Q1621"/>
      <c r="R1621" t="inlineStr">
        <is>
          <t>14周</t>
        </is>
      </c>
      <c r="S1621" t="inlineStr">
        <is>
          <t>14.07</t>
        </is>
      </c>
      <c r="T1621" t="inlineStr">
        <is>
          <t>家居生活</t>
        </is>
      </c>
      <c r="U1621" t="inlineStr">
        <is>
          <t>宠物用品</t>
        </is>
      </c>
      <c r="V1621" s="3">
        <v>46112.78107638889</v>
      </c>
      <c r="W1621" t="inlineStr">
        <is>
          <t>2026-Q1</t>
        </is>
      </c>
    </row>
    <row r="1622" ht="25.5" customHeight="1">
      <c r="A1622" t="inlineStr">
        <is>
          <t>猫咪饮水机 | 自动续水 不锈钢 防回流 好清洗 高颜值 原创设计</t>
        </is>
      </c>
      <c r="B1622" t="inlineStr">
        <is>
          <t>recveNXG9tx1Tv.jpg</t>
        </is>
      </c>
      <c r="C1622" s="2" t="str">
        <f>=HYPERLINK("https://xhslink.com/m/5JZ7g9GR4OM", "https://xhslink.com/m/5JZ7g9GR4OM")</f>
        <v>https://xhslink.com/m/5JZ7g9GR4OM</v>
      </c>
      <c r="D1622"/>
      <c r="E1622">
        <v>9625</v>
      </c>
      <c r="F1622">
        <v>35.9</v>
      </c>
      <c r="G1622">
        <v>31.59</v>
      </c>
      <c r="H1622">
        <v>200</v>
      </c>
      <c r="I1622" t="inlineStr">
        <is>
          <t>猫咪饮水机</t>
        </is>
      </c>
      <c r="J1622" t="inlineStr">
        <is>
          <t>0.02</t>
        </is>
      </c>
      <c r="K1622" t="inlineStr">
        <is>
          <t>🔥低粉爆款</t>
        </is>
      </c>
      <c r="L1622" t="inlineStr">
        <is>
          <t>喵一斑「猫咪饮水机」的店</t>
        </is>
      </c>
      <c r="M1622">
        <v>810</v>
      </c>
      <c r="N1622">
        <v>4.59</v>
      </c>
      <c r="O1622">
        <v>12000</v>
      </c>
      <c r="P1622" t="inlineStr">
        <is>
          <t>68dbf04af8d1f000013ee062</t>
        </is>
      </c>
      <c r="Q1622"/>
      <c r="R1622" t="inlineStr">
        <is>
          <t>14周</t>
        </is>
      </c>
      <c r="S1622" t="inlineStr">
        <is>
          <t>11.88</t>
        </is>
      </c>
      <c r="T1622" t="inlineStr">
        <is>
          <t>家居生活</t>
        </is>
      </c>
      <c r="U1622" t="inlineStr">
        <is>
          <t>宠物用品</t>
        </is>
      </c>
      <c r="V1622" s="3">
        <v>46112.78107638889</v>
      </c>
      <c r="W1622" t="inlineStr">
        <is>
          <t>2026-Q1</t>
        </is>
      </c>
    </row>
    <row r="1623" ht="25.5" customHeight="1">
      <c r="A1623" t="inlineStr">
        <is>
          <t>深灰色微喇运动卫裤女春季2026新款高腰显瘦喇叭裤子休闲垂感女裤</t>
        </is>
      </c>
      <c r="B1623" t="inlineStr">
        <is>
          <t>recveNXG9t0xfY.jpg</t>
        </is>
      </c>
      <c r="C1623" s="2" t="str">
        <f>=HYPERLINK("https://xhslink.com/m/ogZFalxWgX", "https://xhslink.com/m/ogZFalxWgX")</f>
        <v>https://xhslink.com/m/ogZFalxWgX</v>
      </c>
      <c r="D1623"/>
      <c r="E1623">
        <v>109000</v>
      </c>
      <c r="F1623">
        <v>114.2</v>
      </c>
      <c r="G1623">
        <v>79.9</v>
      </c>
      <c r="H1623">
        <v>200</v>
      </c>
      <c r="I1623" t="inlineStr">
        <is>
          <t>运动裤</t>
        </is>
      </c>
      <c r="J1623" t="inlineStr">
        <is>
          <t>0.00</t>
        </is>
      </c>
      <c r="K1623"/>
      <c r="L1623" t="inlineStr">
        <is>
          <t>小薯崽的店</t>
        </is>
      </c>
      <c r="M1623">
        <v>43000</v>
      </c>
      <c r="N1623">
        <v>4.57</v>
      </c>
      <c r="O1623">
        <v>339000</v>
      </c>
      <c r="P1623" t="inlineStr">
        <is>
          <t>660cefa1cca4850001a24317</t>
        </is>
      </c>
      <c r="Q1623" t="inlineStr">
        <is>
          <t>🚫重复</t>
        </is>
      </c>
      <c r="R1623" t="inlineStr">
        <is>
          <t>14周</t>
        </is>
      </c>
      <c r="S1623" t="inlineStr">
        <is>
          <t>2.53</t>
        </is>
      </c>
      <c r="T1623" t="inlineStr">
        <is>
          <t>服饰穿搭</t>
        </is>
      </c>
      <c r="U1623" t="inlineStr">
        <is>
          <t>女装</t>
        </is>
      </c>
      <c r="V1623" s="3">
        <v>46112.78107638889</v>
      </c>
      <c r="W1623" t="inlineStr">
        <is>
          <t>2026-Q1</t>
        </is>
      </c>
    </row>
    <row r="1624" ht="25.5" customHeight="1">
      <c r="A1624" t="inlineStr">
        <is>
          <t>直筒运动卫裤女春季2026新款高腰宽松女装窄版阔腿裤显瘦休闲裤子</t>
        </is>
      </c>
      <c r="B1624" t="inlineStr">
        <is>
          <t>recveNXG9tZ3dn.jpg</t>
        </is>
      </c>
      <c r="C1624" s="2" t="str">
        <f>=HYPERLINK("https://xhslink.com/m/38YcEWSXwWd", "https://xhslink.com/m/38YcEWSXwWd")</f>
        <v>https://xhslink.com/m/38YcEWSXwWd</v>
      </c>
      <c r="D1624"/>
      <c r="E1624">
        <v>86000</v>
      </c>
      <c r="F1624">
        <v>114.2</v>
      </c>
      <c r="G1624">
        <v>79.9</v>
      </c>
      <c r="H1624">
        <v>200</v>
      </c>
      <c r="I1624" t="inlineStr">
        <is>
          <t>运动裤</t>
        </is>
      </c>
      <c r="J1624" t="inlineStr">
        <is>
          <t>0.00</t>
        </is>
      </c>
      <c r="K1624"/>
      <c r="L1624" t="inlineStr">
        <is>
          <t>小薯崽的店</t>
        </is>
      </c>
      <c r="M1624">
        <v>43000</v>
      </c>
      <c r="N1624">
        <v>4.57</v>
      </c>
      <c r="O1624">
        <v>339000</v>
      </c>
      <c r="P1624" t="inlineStr">
        <is>
          <t>66d04a8e87b9bc00011ae4cf</t>
        </is>
      </c>
      <c r="Q1624" t="inlineStr">
        <is>
          <t>🚫重复</t>
        </is>
      </c>
      <c r="R1624" t="inlineStr">
        <is>
          <t>14周</t>
        </is>
      </c>
      <c r="S1624" t="inlineStr">
        <is>
          <t>2.00</t>
        </is>
      </c>
      <c r="T1624" t="inlineStr">
        <is>
          <t>服饰穿搭</t>
        </is>
      </c>
      <c r="U1624" t="inlineStr">
        <is>
          <t>女装</t>
        </is>
      </c>
      <c r="V1624" s="3">
        <v>46112.78107638889</v>
      </c>
      <c r="W1624" t="inlineStr">
        <is>
          <t>2026-Q1</t>
        </is>
      </c>
    </row>
    <row r="1625" ht="25.5" customHeight="1">
      <c r="A1625" t="inlineStr">
        <is>
          <t>经典华夫格保持干爽透气运动长袖T恤卫衣休闲圆领打底衫秋冬男士</t>
        </is>
      </c>
      <c r="B1625" t="inlineStr">
        <is>
          <t>recveNXG9tgHnc.jpg</t>
        </is>
      </c>
      <c r="C1625" s="2" t="str">
        <f>=HYPERLINK("https://xhslink.com/m/AQR4pbBWOr6", "https://xhslink.com/m/AQR4pbBWOr6")</f>
        <v>https://xhslink.com/m/AQR4pbBWOr6</v>
      </c>
      <c r="D1625"/>
      <c r="E1625">
        <v>669</v>
      </c>
      <c r="F1625">
        <v>49.9</v>
      </c>
      <c r="G1625"/>
      <c r="H1625">
        <v>200</v>
      </c>
      <c r="I1625" t="inlineStr">
        <is>
          <t>运动T恤</t>
        </is>
      </c>
      <c r="J1625" t="inlineStr">
        <is>
          <t>0.30</t>
        </is>
      </c>
      <c r="K1625"/>
      <c r="L1625" t="inlineStr">
        <is>
          <t>阿呜穿搭的店</t>
        </is>
      </c>
      <c r="M1625">
        <v>9654</v>
      </c>
      <c r="N1625">
        <v>4.48</v>
      </c>
      <c r="O1625">
        <v>38000</v>
      </c>
      <c r="P1625" t="inlineStr">
        <is>
          <t>69b28bd199f8fe000108e195</t>
        </is>
      </c>
      <c r="Q1625" t="inlineStr">
        <is>
          <t>🚫重复</t>
        </is>
      </c>
      <c r="R1625" t="inlineStr">
        <is>
          <t>14周</t>
        </is>
      </c>
      <c r="S1625" t="inlineStr">
        <is>
          <t>0.07</t>
        </is>
      </c>
      <c r="T1625" t="inlineStr">
        <is>
          <t>服饰穿搭</t>
        </is>
      </c>
      <c r="U1625" t="inlineStr">
        <is>
          <t>女装</t>
        </is>
      </c>
      <c r="V1625" s="3">
        <v>46112.78107638889</v>
      </c>
      <c r="W1625" t="inlineStr">
        <is>
          <t>2026-Q1</t>
        </is>
      </c>
    </row>
    <row r="1626" ht="25.5" customHeight="1">
      <c r="A1626" t="inlineStr">
        <is>
          <t>瑜伽服运动健身跑步速干衣T恤紧身短袖上衣修身</t>
        </is>
      </c>
      <c r="B1626" t="inlineStr">
        <is>
          <t>recveNXG9tSkoz.jpg</t>
        </is>
      </c>
      <c r="C1626" s="2" t="str">
        <f>=HYPERLINK("https://xhslink.com/m/4pz53HONePU", "https://xhslink.com/m/4pz53HONePU")</f>
        <v>https://xhslink.com/m/4pz53HONePU</v>
      </c>
      <c r="D1626"/>
      <c r="E1626">
        <v>2736</v>
      </c>
      <c r="F1626">
        <v>69.9</v>
      </c>
      <c r="G1626">
        <v>49</v>
      </c>
      <c r="H1626">
        <v>200</v>
      </c>
      <c r="I1626" t="inlineStr">
        <is>
          <t>运动T恤</t>
        </is>
      </c>
      <c r="J1626" t="inlineStr">
        <is>
          <t>0.07</t>
        </is>
      </c>
      <c r="K1626" t="inlineStr">
        <is>
          <t>🔥低粉爆款</t>
        </is>
      </c>
      <c r="L1626" t="inlineStr">
        <is>
          <t>跳跳马达的店</t>
        </is>
      </c>
      <c r="M1626">
        <v>147</v>
      </c>
      <c r="N1626">
        <v>4.67</v>
      </c>
      <c r="O1626">
        <v>2809</v>
      </c>
      <c r="P1626" t="inlineStr">
        <is>
          <t>69a6a3e5e1706c0015ba332c</t>
        </is>
      </c>
      <c r="Q1626" t="inlineStr">
        <is>
          <t>🚫重复</t>
        </is>
      </c>
      <c r="R1626" t="inlineStr">
        <is>
          <t>14周</t>
        </is>
      </c>
      <c r="S1626" t="inlineStr">
        <is>
          <t>18.61</t>
        </is>
      </c>
      <c r="T1626" t="inlineStr">
        <is>
          <t>运动潮玩</t>
        </is>
      </c>
      <c r="U1626" t="inlineStr">
        <is>
          <t>运动户外装备</t>
        </is>
      </c>
      <c r="V1626" s="3">
        <v>46112.78107638889</v>
      </c>
      <c r="W1626" t="inlineStr">
        <is>
          <t>2026-Q1</t>
        </is>
      </c>
    </row>
    <row r="1627" ht="25.5" customHeight="1">
      <c r="A1627" t="inlineStr">
        <is>
          <t>夏秋时尚裸感跑步瑜伽t恤女薄修身显瘦运动短袖气质圆领健身服女</t>
        </is>
      </c>
      <c r="B1627" t="inlineStr">
        <is>
          <t>recveNXG9tAasQ.jpg</t>
        </is>
      </c>
      <c r="C1627" s="2" t="str">
        <f>=HYPERLINK("https://xhslink.com/m/52Z3obHlIMQ", "https://xhslink.com/m/52Z3obHlIMQ")</f>
        <v>https://xhslink.com/m/52Z3obHlIMQ</v>
      </c>
      <c r="D1627"/>
      <c r="E1627">
        <v>4111</v>
      </c>
      <c r="F1627">
        <v>79</v>
      </c>
      <c r="G1627">
        <v>53</v>
      </c>
      <c r="H1627">
        <v>200</v>
      </c>
      <c r="I1627" t="inlineStr">
        <is>
          <t>运动T恤</t>
        </is>
      </c>
      <c r="J1627" t="inlineStr">
        <is>
          <t>0.05</t>
        </is>
      </c>
      <c r="K1627"/>
      <c r="L1627" t="inlineStr">
        <is>
          <t>漫跑爱丽丝的店</t>
        </is>
      </c>
      <c r="M1627">
        <v>2514</v>
      </c>
      <c r="N1627">
        <v>4.6</v>
      </c>
      <c r="O1627">
        <v>16000</v>
      </c>
      <c r="P1627" t="inlineStr">
        <is>
          <t>696c69bcf7c59e0001707e76</t>
        </is>
      </c>
      <c r="Q1627" t="inlineStr">
        <is>
          <t>🚫重复</t>
        </is>
      </c>
      <c r="R1627" t="inlineStr">
        <is>
          <t>14周</t>
        </is>
      </c>
      <c r="S1627" t="inlineStr">
        <is>
          <t>1.64</t>
        </is>
      </c>
      <c r="T1627" t="inlineStr">
        <is>
          <t>运动潮玩</t>
        </is>
      </c>
      <c r="U1627" t="inlineStr">
        <is>
          <t>运动户外装备</t>
        </is>
      </c>
      <c r="V1627" s="3">
        <v>46112.78107638889</v>
      </c>
      <c r="W1627" t="inlineStr">
        <is>
          <t>2026-Q1</t>
        </is>
      </c>
    </row>
    <row r="1628" ht="25.5" customHeight="1">
      <c r="A1628" t="inlineStr">
        <is>
          <t>天空岛3.0“大”系列造景贴纸格子间diy解压贴纸大人玩具贴画</t>
        </is>
      </c>
      <c r="B1628" t="inlineStr">
        <is>
          <t>recveNXG9tXeQz.jpg</t>
        </is>
      </c>
      <c r="C1628" s="2" t="str">
        <f>=HYPERLINK("https://xhslink.com/m/Z6YAIBMcd1", "https://xhslink.com/m/Z6YAIBMcd1")</f>
        <v>https://xhslink.com/m/Z6YAIBMcd1</v>
      </c>
      <c r="D1628"/>
      <c r="E1628">
        <v>48000</v>
      </c>
      <c r="F1628">
        <v>11.9</v>
      </c>
      <c r="G1628"/>
      <c r="H1628">
        <v>200</v>
      </c>
      <c r="I1628" t="inlineStr">
        <is>
          <t>玩具</t>
        </is>
      </c>
      <c r="J1628" t="inlineStr">
        <is>
          <t>0.00</t>
        </is>
      </c>
      <c r="K1628"/>
      <c r="L1628" t="inlineStr">
        <is>
          <t>天空岛文创的店</t>
        </is>
      </c>
      <c r="M1628">
        <v>67000</v>
      </c>
      <c r="N1628">
        <v>4.88</v>
      </c>
      <c r="O1628">
        <v>237000</v>
      </c>
      <c r="P1628" t="inlineStr">
        <is>
          <t>689a0b907313330001afc65d</t>
        </is>
      </c>
      <c r="Q1628" t="inlineStr">
        <is>
          <t>🚫重复</t>
        </is>
      </c>
      <c r="R1628" t="inlineStr">
        <is>
          <t>14周</t>
        </is>
      </c>
      <c r="S1628" t="inlineStr">
        <is>
          <t>0.72</t>
        </is>
      </c>
      <c r="T1628" t="inlineStr">
        <is>
          <t>母婴亲子</t>
        </is>
      </c>
      <c r="U1628" t="inlineStr">
        <is>
          <t>玩具早教</t>
        </is>
      </c>
      <c r="V1628" s="3">
        <v>46112.78107638889</v>
      </c>
      <c r="W1628" t="inlineStr">
        <is>
          <t>2026-Q1</t>
        </is>
      </c>
    </row>
    <row r="1629" ht="25.5" customHeight="1">
      <c r="A1629" t="inlineStr">
        <is>
          <t>2026春秋新款韩版百搭纯棉长袖衬衫高品质纯色宽松休闲衬衣</t>
        </is>
      </c>
      <c r="B1629" t="inlineStr">
        <is>
          <t>recveNXG9t8QkL.jpg</t>
        </is>
      </c>
      <c r="C1629" s="2" t="str">
        <f>=HYPERLINK("https://xhslink.com/m/8ro8032kDsm", "https://xhslink.com/m/8ro8032kDsm")</f>
        <v>https://xhslink.com/m/8ro8032kDsm</v>
      </c>
      <c r="D1629"/>
      <c r="E1629">
        <v>4176</v>
      </c>
      <c r="F1629">
        <v>69.9</v>
      </c>
      <c r="G1629"/>
      <c r="H1629">
        <v>200</v>
      </c>
      <c r="I1629" t="inlineStr">
        <is>
          <t>长袖上衣</t>
        </is>
      </c>
      <c r="J1629" t="inlineStr">
        <is>
          <t>0.05</t>
        </is>
      </c>
      <c r="K1629" t="inlineStr">
        <is>
          <t>🔥低粉爆款</t>
        </is>
      </c>
      <c r="L1629" t="inlineStr">
        <is>
          <t>明天穿什么雅的店</t>
        </is>
      </c>
      <c r="M1629">
        <v>297</v>
      </c>
      <c r="N1629">
        <v>4.6</v>
      </c>
      <c r="O1629">
        <v>4623</v>
      </c>
      <c r="P1629" t="inlineStr">
        <is>
          <t>693e8aa37a38a6000122b083</t>
        </is>
      </c>
      <c r="Q1629" t="inlineStr">
        <is>
          <t>🚫重复</t>
        </is>
      </c>
      <c r="R1629" t="inlineStr">
        <is>
          <t>14周</t>
        </is>
      </c>
      <c r="S1629" t="inlineStr">
        <is>
          <t>14.06</t>
        </is>
      </c>
      <c r="T1629" t="inlineStr">
        <is>
          <t>服饰穿搭</t>
        </is>
      </c>
      <c r="U1629" t="inlineStr">
        <is>
          <t>女装</t>
        </is>
      </c>
      <c r="V1629" s="3">
        <v>46112.78107638889</v>
      </c>
      <c r="W1629" t="inlineStr">
        <is>
          <t>2026-Q1</t>
        </is>
      </c>
    </row>
    <row r="1630" ht="25.5" customHeight="1">
      <c r="A1630" t="inlineStr">
        <is>
          <t>白色长袖半开领打底衫女2026早春新款设计感一粒纽显瘦减龄款上衣</t>
        </is>
      </c>
      <c r="B1630" t="inlineStr">
        <is>
          <t>recveNXG9trqOh.jpg</t>
        </is>
      </c>
      <c r="C1630" s="2" t="str">
        <f>=HYPERLINK("https://xhslink.com/m/5jOqe5stcMI", "https://xhslink.com/m/5jOqe5stcMI")</f>
        <v>https://xhslink.com/m/5jOqe5stcMI</v>
      </c>
      <c r="D1630"/>
      <c r="E1630">
        <v>10000</v>
      </c>
      <c r="F1630">
        <v>89</v>
      </c>
      <c r="G1630">
        <v>39.3</v>
      </c>
      <c r="H1630">
        <v>200</v>
      </c>
      <c r="I1630" t="inlineStr">
        <is>
          <t>长袖上衣</t>
        </is>
      </c>
      <c r="J1630" t="inlineStr">
        <is>
          <t>0.02</t>
        </is>
      </c>
      <c r="K1630" t="inlineStr">
        <is>
          <t>🔥低粉爆款</t>
        </is>
      </c>
      <c r="L1630" t="inlineStr">
        <is>
          <t>Zyn studio的店</t>
        </is>
      </c>
      <c r="M1630">
        <v>784</v>
      </c>
      <c r="N1630">
        <v>4.43</v>
      </c>
      <c r="O1630">
        <v>20000</v>
      </c>
      <c r="P1630" t="inlineStr">
        <is>
          <t>68b9915d8c33170001012497</t>
        </is>
      </c>
      <c r="Q1630"/>
      <c r="R1630" t="inlineStr">
        <is>
          <t>14周</t>
        </is>
      </c>
      <c r="S1630" t="inlineStr">
        <is>
          <t>12.76</t>
        </is>
      </c>
      <c r="T1630" t="inlineStr">
        <is>
          <t>服饰穿搭</t>
        </is>
      </c>
      <c r="U1630" t="inlineStr">
        <is>
          <t>女装</t>
        </is>
      </c>
      <c r="V1630" s="3">
        <v>46112.78107638889</v>
      </c>
      <c r="W1630" t="inlineStr">
        <is>
          <t>2026-Q1</t>
        </is>
      </c>
    </row>
    <row r="1631" ht="25.5" customHeight="1">
      <c r="A1631" t="inlineStr">
        <is>
          <t>前1.5w单立减40 木耳边白衬衫女设计感春夏新款长袖叠穿衬衣宽松</t>
        </is>
      </c>
      <c r="B1631" t="inlineStr">
        <is>
          <t>recveNXG9t5SPg.jpg</t>
        </is>
      </c>
      <c r="C1631" s="2" t="str">
        <f>=HYPERLINK("https://xhslink.com/m/xWKwiibePA", "https://xhslink.com/m/xWKwiibePA")</f>
        <v>https://xhslink.com/m/xWKwiibePA</v>
      </c>
      <c r="D1631"/>
      <c r="E1631">
        <v>13000</v>
      </c>
      <c r="F1631">
        <v>99.9</v>
      </c>
      <c r="G1631">
        <v>59.9</v>
      </c>
      <c r="H1631">
        <v>200</v>
      </c>
      <c r="I1631" t="inlineStr">
        <is>
          <t>长袖上衣</t>
        </is>
      </c>
      <c r="J1631" t="inlineStr">
        <is>
          <t>0.02</t>
        </is>
      </c>
      <c r="K1631" t="inlineStr">
        <is>
          <t>🔥低粉爆款</t>
        </is>
      </c>
      <c r="L1631" t="inlineStr">
        <is>
          <t>是欧尼酱呀的店</t>
        </is>
      </c>
      <c r="M1631">
        <v>2540</v>
      </c>
      <c r="N1631">
        <v>4.51</v>
      </c>
      <c r="O1631">
        <v>26000</v>
      </c>
      <c r="P1631" t="inlineStr">
        <is>
          <t>67b19f7b29b9f70001cd91bf</t>
        </is>
      </c>
      <c r="Q1631"/>
      <c r="R1631" t="inlineStr">
        <is>
          <t>14周</t>
        </is>
      </c>
      <c r="S1631" t="inlineStr">
        <is>
          <t>5.12</t>
        </is>
      </c>
      <c r="T1631" t="inlineStr">
        <is>
          <t>服饰穿搭</t>
        </is>
      </c>
      <c r="U1631" t="inlineStr">
        <is>
          <t>女装</t>
        </is>
      </c>
      <c r="V1631" s="3">
        <v>46112.78107638889</v>
      </c>
      <c r="W1631" t="inlineStr">
        <is>
          <t>2026-Q1</t>
        </is>
      </c>
    </row>
    <row r="1632" ht="25.5" customHeight="1">
      <c r="A1632" t="inlineStr">
        <is>
          <t>【前1万单立减50】春秋简约宽松慵懒风黑灰色卫衣开衫外套男女</t>
        </is>
      </c>
      <c r="B1632" t="inlineStr">
        <is>
          <t>recveNXG9tbU6V.jpg</t>
        </is>
      </c>
      <c r="C1632" s="2" t="str">
        <f>=HYPERLINK("https://xhslink.com/m/91oCsnwW1T", "https://xhslink.com/m/91oCsnwW1T")</f>
        <v>https://xhslink.com/m/91oCsnwW1T</v>
      </c>
      <c r="D1632"/>
      <c r="E1632">
        <v>19000</v>
      </c>
      <c r="F1632">
        <v>158</v>
      </c>
      <c r="G1632"/>
      <c r="H1632">
        <v>200</v>
      </c>
      <c r="I1632" t="inlineStr">
        <is>
          <t>外套</t>
        </is>
      </c>
      <c r="J1632" t="inlineStr">
        <is>
          <t>0.01</t>
        </is>
      </c>
      <c r="K1632"/>
      <c r="L1632" t="inlineStr">
        <is>
          <t>一只爆炸闫的店</t>
        </is>
      </c>
      <c r="M1632">
        <v>96000</v>
      </c>
      <c r="N1632">
        <v>4.39</v>
      </c>
      <c r="O1632">
        <v>608000</v>
      </c>
      <c r="P1632" t="inlineStr">
        <is>
          <t>66c4560caf7b580001b13383</t>
        </is>
      </c>
      <c r="Q1632" t="inlineStr">
        <is>
          <t>🚫重复</t>
        </is>
      </c>
      <c r="R1632" t="inlineStr">
        <is>
          <t>14周</t>
        </is>
      </c>
      <c r="S1632" t="inlineStr">
        <is>
          <t>0.20</t>
        </is>
      </c>
      <c r="T1632" t="inlineStr">
        <is>
          <t>服饰穿搭</t>
        </is>
      </c>
      <c r="U1632" t="inlineStr">
        <is>
          <t>女装</t>
        </is>
      </c>
      <c r="V1632" s="3">
        <v>46112.78107638889</v>
      </c>
      <c r="W1632" t="inlineStr">
        <is>
          <t>2026-Q1</t>
        </is>
      </c>
    </row>
    <row r="1633" ht="25.5" customHeight="1">
      <c r="A1633" t="inlineStr">
        <is>
          <t>卫衣外套女春秋季宽松慵懒风小个子短款连帽2026新款爆款拉链开衫</t>
        </is>
      </c>
      <c r="B1633" t="inlineStr">
        <is>
          <t>recveNXG9tn3gE.jpg</t>
        </is>
      </c>
      <c r="C1633" s="2" t="str">
        <f>=HYPERLINK("https://xhslink.com/m/16QAiIMPt6C", "https://xhslink.com/m/16QAiIMPt6C")</f>
        <v>https://xhslink.com/m/16QAiIMPt6C</v>
      </c>
      <c r="D1633"/>
      <c r="E1633">
        <v>11000</v>
      </c>
      <c r="F1633">
        <v>199.9</v>
      </c>
      <c r="G1633"/>
      <c r="H1633">
        <v>200</v>
      </c>
      <c r="I1633" t="inlineStr">
        <is>
          <t>外套</t>
        </is>
      </c>
      <c r="J1633" t="inlineStr">
        <is>
          <t>0.02</t>
        </is>
      </c>
      <c r="K1633" t="inlineStr">
        <is>
          <t>🔥低粉爆款</t>
        </is>
      </c>
      <c r="L1633" t="inlineStr">
        <is>
          <t>中山恋淑雅服饰的店</t>
        </is>
      </c>
      <c r="M1633">
        <v>3030</v>
      </c>
      <c r="N1633">
        <v>4.59</v>
      </c>
      <c r="O1633">
        <v>147000</v>
      </c>
      <c r="P1633" t="inlineStr">
        <is>
          <t>69551f17bfa5910001304a8c</t>
        </is>
      </c>
      <c r="Q1633" t="inlineStr">
        <is>
          <t>🚫重复</t>
        </is>
      </c>
      <c r="R1633" t="inlineStr">
        <is>
          <t>14周</t>
        </is>
      </c>
      <c r="S1633" t="inlineStr">
        <is>
          <t>3.63</t>
        </is>
      </c>
      <c r="T1633" t="inlineStr">
        <is>
          <t>服饰穿搭</t>
        </is>
      </c>
      <c r="U1633" t="inlineStr">
        <is>
          <t>女装</t>
        </is>
      </c>
      <c r="V1633" s="3">
        <v>46112.78107638889</v>
      </c>
      <c r="W1633" t="inlineStr">
        <is>
          <t>2026-Q1</t>
        </is>
      </c>
    </row>
    <row r="1634" ht="25.5" customHeight="1">
      <c r="A1634" t="inlineStr">
        <is>
          <t>半拉链大码连帽显瘦卫衣外套女新款纸片人穿搭</t>
        </is>
      </c>
      <c r="B1634" t="inlineStr">
        <is>
          <t>recveNXG9tHOND.jpg</t>
        </is>
      </c>
      <c r="C1634" s="2" t="str">
        <f>=HYPERLINK("https://xhslink.com/m/3vCQXFAcKam", "https://xhslink.com/m/3vCQXFAcKam")</f>
        <v>https://xhslink.com/m/3vCQXFAcKam</v>
      </c>
      <c r="D1634"/>
      <c r="E1634">
        <v>4576</v>
      </c>
      <c r="F1634">
        <v>129</v>
      </c>
      <c r="G1634"/>
      <c r="H1634">
        <v>200</v>
      </c>
      <c r="I1634" t="inlineStr">
        <is>
          <t>外套</t>
        </is>
      </c>
      <c r="J1634" t="inlineStr">
        <is>
          <t>0.04</t>
        </is>
      </c>
      <c r="K1634"/>
      <c r="L1634" t="inlineStr">
        <is>
          <t>夕文的店</t>
        </is>
      </c>
      <c r="M1634">
        <v>55000</v>
      </c>
      <c r="N1634">
        <v>4.64</v>
      </c>
      <c r="O1634">
        <v>268000</v>
      </c>
      <c r="P1634" t="inlineStr">
        <is>
          <t>68c2c46ce8b4ad00013a57b6</t>
        </is>
      </c>
      <c r="Q1634" t="inlineStr">
        <is>
          <t>🚫重复</t>
        </is>
      </c>
      <c r="R1634" t="inlineStr">
        <is>
          <t>14周</t>
        </is>
      </c>
      <c r="S1634" t="inlineStr">
        <is>
          <t>0.08</t>
        </is>
      </c>
      <c r="T1634" t="inlineStr">
        <is>
          <t>服饰穿搭</t>
        </is>
      </c>
      <c r="U1634" t="inlineStr">
        <is>
          <t>女装</t>
        </is>
      </c>
      <c r="V1634" s="3">
        <v>46112.78107638889</v>
      </c>
      <c r="W1634" t="inlineStr">
        <is>
          <t>2026-Q1</t>
        </is>
      </c>
    </row>
    <row r="1635" ht="25.5" customHeight="1">
      <c r="A1635" t="inlineStr">
        <is>
          <t>百搭条纹控开衫修身卫衣外套女2026流行韩系早秋季穿搭套装</t>
        </is>
      </c>
      <c r="B1635" t="inlineStr">
        <is>
          <t>recveNXG9tWPml.jpg</t>
        </is>
      </c>
      <c r="C1635" s="2" t="str">
        <f>=HYPERLINK("https://xhslink.com/m/6dvctlgEnuc", "https://xhslink.com/m/6dvctlgEnuc")</f>
        <v>https://xhslink.com/m/6dvctlgEnuc</v>
      </c>
      <c r="D1635"/>
      <c r="E1635">
        <v>693</v>
      </c>
      <c r="F1635">
        <v>79.9</v>
      </c>
      <c r="G1635">
        <v>69.9</v>
      </c>
      <c r="H1635">
        <v>200</v>
      </c>
      <c r="I1635" t="inlineStr">
        <is>
          <t>外套</t>
        </is>
      </c>
      <c r="J1635" t="inlineStr">
        <is>
          <t>0.29</t>
        </is>
      </c>
      <c r="K1635"/>
      <c r="L1635" t="inlineStr">
        <is>
          <t>白鸽BG的店</t>
        </is>
      </c>
      <c r="M1635">
        <v>16000</v>
      </c>
      <c r="N1635">
        <v>4.57</v>
      </c>
      <c r="O1635">
        <v>158000</v>
      </c>
      <c r="P1635" t="inlineStr">
        <is>
          <t>68b24d6011843c0001d88aba</t>
        </is>
      </c>
      <c r="Q1635"/>
      <c r="R1635" t="inlineStr">
        <is>
          <t>14周</t>
        </is>
      </c>
      <c r="S1635" t="inlineStr">
        <is>
          <t>0.04</t>
        </is>
      </c>
      <c r="T1635" t="inlineStr">
        <is>
          <t>服饰穿搭</t>
        </is>
      </c>
      <c r="U1635" t="inlineStr">
        <is>
          <t>女装</t>
        </is>
      </c>
      <c r="V1635" s="3">
        <v>46112.78107638889</v>
      </c>
      <c r="W1635" t="inlineStr">
        <is>
          <t>2026-Q1</t>
        </is>
      </c>
    </row>
    <row r="1636" ht="25.5" customHeight="1">
      <c r="A1636" t="inlineStr">
        <is>
          <t>UAN·复古贵气 哑光质感长款环保宽松皮衣 | 秋天氛围感 冬天抗风</t>
        </is>
      </c>
      <c r="B1636" t="inlineStr">
        <is>
          <t>recveNXG9tbjhp.jpg</t>
        </is>
      </c>
      <c r="C1636" s="2" t="str">
        <f>=HYPERLINK("https://xhslink.com/m/4h1JuwMywZ2", "https://xhslink.com/m/4h1JuwMywZ2")</f>
        <v>https://xhslink.com/m/4h1JuwMywZ2</v>
      </c>
      <c r="D1636"/>
      <c r="E1636">
        <v>14000</v>
      </c>
      <c r="F1636">
        <v>630</v>
      </c>
      <c r="G1636"/>
      <c r="H1636">
        <v>200</v>
      </c>
      <c r="I1636" t="inlineStr">
        <is>
          <t>外套</t>
        </is>
      </c>
      <c r="J1636" t="inlineStr">
        <is>
          <t>0.01</t>
        </is>
      </c>
      <c r="K1636"/>
      <c r="L1636" t="inlineStr">
        <is>
          <t>UAN STUDIO的店</t>
        </is>
      </c>
      <c r="M1636">
        <v>18000</v>
      </c>
      <c r="N1636">
        <v>4.27</v>
      </c>
      <c r="O1636">
        <v>76000</v>
      </c>
      <c r="P1636" t="inlineStr">
        <is>
          <t>694cd4418ff5d40001451b31</t>
        </is>
      </c>
      <c r="Q1636"/>
      <c r="R1636" t="inlineStr">
        <is>
          <t>14周</t>
        </is>
      </c>
      <c r="S1636" t="inlineStr">
        <is>
          <t>0.78</t>
        </is>
      </c>
      <c r="T1636" t="inlineStr">
        <is>
          <t>服饰穿搭</t>
        </is>
      </c>
      <c r="U1636" t="inlineStr">
        <is>
          <t>女装</t>
        </is>
      </c>
      <c r="V1636" s="3">
        <v>46112.78107638889</v>
      </c>
      <c r="W1636" t="inlineStr">
        <is>
          <t>2026-Q1</t>
        </is>
      </c>
    </row>
    <row r="1637" ht="25.5" customHeight="1">
      <c r="A1637" t="inlineStr">
        <is>
          <t>wana try · 绿野仙踪印花喇叭飘带袖仙女薄开衫（早春新品）</t>
        </is>
      </c>
      <c r="B1637" t="inlineStr">
        <is>
          <t>recveNXG9tTS06.jpg</t>
        </is>
      </c>
      <c r="C1637" s="2" t="str">
        <f>=HYPERLINK("https://xhslink.com/m/4xbZuLLFlfl", "https://xhslink.com/m/4xbZuLLFlfl")</f>
        <v>https://xhslink.com/m/4xbZuLLFlfl</v>
      </c>
      <c r="D1637"/>
      <c r="E1637">
        <v>3714</v>
      </c>
      <c r="F1637">
        <v>759</v>
      </c>
      <c r="G1637">
        <v>546</v>
      </c>
      <c r="H1637">
        <v>200</v>
      </c>
      <c r="I1637" t="inlineStr">
        <is>
          <t>外套</t>
        </is>
      </c>
      <c r="J1637" t="inlineStr">
        <is>
          <t>0.05</t>
        </is>
      </c>
      <c r="K1637"/>
      <c r="L1637" t="inlineStr">
        <is>
          <t>wana try的店</t>
        </is>
      </c>
      <c r="M1637">
        <v>193000</v>
      </c>
      <c r="N1637">
        <v>4.7</v>
      </c>
      <c r="O1637">
        <v>318000</v>
      </c>
      <c r="P1637" t="inlineStr">
        <is>
          <t>699eb5f34d1dca00017a1aff</t>
        </is>
      </c>
      <c r="Q1637"/>
      <c r="R1637" t="inlineStr">
        <is>
          <t>14周</t>
        </is>
      </c>
      <c r="S1637" t="inlineStr">
        <is>
          <t>0.02</t>
        </is>
      </c>
      <c r="T1637" t="inlineStr">
        <is>
          <t>服饰穿搭</t>
        </is>
      </c>
      <c r="U1637" t="inlineStr">
        <is>
          <t>女装</t>
        </is>
      </c>
      <c r="V1637" s="3">
        <v>46112.78107638889</v>
      </c>
      <c r="W1637" t="inlineStr">
        <is>
          <t>2026-Q1</t>
        </is>
      </c>
    </row>
    <row r="1638" ht="25.5" customHeight="1">
      <c r="A1638" t="inlineStr">
        <is>
          <t>八千步 · 全麦面包糕点吐司整箱早餐代餐饱腹粗粮低脂</t>
        </is>
      </c>
      <c r="B1638" t="inlineStr">
        <is>
          <t>recveNXG9tRANo.jpg</t>
        </is>
      </c>
      <c r="C1638" s="2" t="str">
        <f>=HYPERLINK("https://xhslink.com/m/8oBVLSC77D6", "https://xhslink.com/m/8oBVLSC77D6")</f>
        <v>https://xhslink.com/m/8oBVLSC77D6</v>
      </c>
      <c r="D1638"/>
      <c r="E1638">
        <v>42000</v>
      </c>
      <c r="F1638">
        <v>9.9</v>
      </c>
      <c r="G1638"/>
      <c r="H1638">
        <v>200</v>
      </c>
      <c r="I1638" t="inlineStr">
        <is>
          <t>早餐</t>
        </is>
      </c>
      <c r="J1638" t="inlineStr">
        <is>
          <t>0.00</t>
        </is>
      </c>
      <c r="K1638"/>
      <c r="L1638" t="inlineStr">
        <is>
          <t>八千步旗舰店</t>
        </is>
      </c>
      <c r="M1638">
        <v>45000</v>
      </c>
      <c r="N1638">
        <v>4.44</v>
      </c>
      <c r="O1638">
        <v>231000</v>
      </c>
      <c r="P1638" t="inlineStr">
        <is>
          <t>634370215b203e00015d4bb8</t>
        </is>
      </c>
      <c r="Q1638" t="inlineStr">
        <is>
          <t>🚫重复</t>
        </is>
      </c>
      <c r="R1638" t="inlineStr">
        <is>
          <t>14周</t>
        </is>
      </c>
      <c r="S1638" t="inlineStr">
        <is>
          <t>0.93</t>
        </is>
      </c>
      <c r="T1638" t="inlineStr">
        <is>
          <t>美食滋补</t>
        </is>
      </c>
      <c r="U1638" t="inlineStr">
        <is>
          <t>休闲零食</t>
        </is>
      </c>
      <c r="V1638" s="3">
        <v>46112.78107638889</v>
      </c>
      <c r="W1638" t="inlineStr">
        <is>
          <t>2026-Q1</t>
        </is>
      </c>
    </row>
    <row r="1639" ht="25.5" customHeight="1">
      <c r="A1639" t="inlineStr">
        <is>
          <t>叮叮懒人菜 · 【夏日轻食优选】双蛋白藜麦鸡排 低脂高蛋自律期好搭档</t>
        </is>
      </c>
      <c r="B1639" t="inlineStr">
        <is>
          <t>recveNXG9tixgV.jpg</t>
        </is>
      </c>
      <c r="C1639" s="2" t="str">
        <f>=HYPERLINK("https://xhslink.com/m/92EO7cWykM6", "https://xhslink.com/m/92EO7cWykM6")</f>
        <v>https://xhslink.com/m/92EO7cWykM6</v>
      </c>
      <c r="D1639"/>
      <c r="E1639">
        <v>21000</v>
      </c>
      <c r="F1639">
        <v>79.9</v>
      </c>
      <c r="G1639">
        <v>49.9</v>
      </c>
      <c r="H1639">
        <v>200</v>
      </c>
      <c r="I1639" t="inlineStr">
        <is>
          <t>早餐</t>
        </is>
      </c>
      <c r="J1639" t="inlineStr">
        <is>
          <t>0.01</t>
        </is>
      </c>
      <c r="K1639"/>
      <c r="L1639" t="inlineStr">
        <is>
          <t>叮叮懒人菜旗舰店</t>
        </is>
      </c>
      <c r="M1639">
        <v>76000</v>
      </c>
      <c r="N1639">
        <v>4.65</v>
      </c>
      <c r="O1639">
        <v>132000</v>
      </c>
      <c r="P1639" t="inlineStr">
        <is>
          <t>66a8907d548931000109dcfd</t>
        </is>
      </c>
      <c r="Q1639" t="inlineStr">
        <is>
          <t>🚫重复</t>
        </is>
      </c>
      <c r="R1639" t="inlineStr">
        <is>
          <t>14周</t>
        </is>
      </c>
      <c r="S1639" t="inlineStr">
        <is>
          <t>0.28</t>
        </is>
      </c>
      <c r="T1639" t="inlineStr">
        <is>
          <t>美食滋补</t>
        </is>
      </c>
      <c r="U1639" t="inlineStr">
        <is>
          <t>休闲零食</t>
        </is>
      </c>
      <c r="V1639" s="3">
        <v>46112.78107638889</v>
      </c>
      <c r="W1639" t="inlineStr">
        <is>
          <t>2026-Q1</t>
        </is>
      </c>
    </row>
    <row r="1640" ht="25.5" customHeight="1">
      <c r="A1640" t="inlineStr">
        <is>
          <t>低脂鸡肉薄皮肉燕小馄饨轻食健身鸡胸肉扁食云吞早餐半成品低卡</t>
        </is>
      </c>
      <c r="B1640" t="inlineStr">
        <is>
          <t>recveNXG9thGqb.jpg</t>
        </is>
      </c>
      <c r="C1640" s="2" t="str">
        <f>=HYPERLINK("https://xhslink.com/m/P7bPlbxuFa", "https://xhslink.com/m/P7bPlbxuFa")</f>
        <v>https://xhslink.com/m/P7bPlbxuFa</v>
      </c>
      <c r="D1640"/>
      <c r="E1640">
        <v>25000</v>
      </c>
      <c r="F1640">
        <v>99.9</v>
      </c>
      <c r="G1640"/>
      <c r="H1640">
        <v>200</v>
      </c>
      <c r="I1640" t="inlineStr">
        <is>
          <t>早餐</t>
        </is>
      </c>
      <c r="J1640" t="inlineStr">
        <is>
          <t>0.01</t>
        </is>
      </c>
      <c r="K1640" t="inlineStr">
        <is>
          <t>🔥低粉爆款</t>
        </is>
      </c>
      <c r="L1640" t="inlineStr">
        <is>
          <t>开心饼干（低卡轻食版）的店</t>
        </is>
      </c>
      <c r="M1640">
        <v>1365</v>
      </c>
      <c r="N1640">
        <v>4.57</v>
      </c>
      <c r="O1640">
        <v>25000</v>
      </c>
      <c r="P1640" t="inlineStr">
        <is>
          <t>67e3e783a2a5110001eb846b</t>
        </is>
      </c>
      <c r="Q1640" t="inlineStr">
        <is>
          <t>🚫重复</t>
        </is>
      </c>
      <c r="R1640" t="inlineStr">
        <is>
          <t>14周</t>
        </is>
      </c>
      <c r="S1640" t="inlineStr">
        <is>
          <t>18.32</t>
        </is>
      </c>
      <c r="T1640" t="inlineStr">
        <is>
          <t>美食滋补</t>
        </is>
      </c>
      <c r="U1640" t="inlineStr">
        <is>
          <t>休闲零食</t>
        </is>
      </c>
      <c r="V1640" s="3">
        <v>46112.78107638889</v>
      </c>
      <c r="W1640" t="inlineStr">
        <is>
          <t>2026-Q1</t>
        </is>
      </c>
    </row>
    <row r="1641" ht="25.5" customHeight="1">
      <c r="A1641" t="inlineStr">
        <is>
          <t>三只松鼠 · 【高蛋白21餐】七日全餐轻食套餐管理饱腹营养免煮健身</t>
        </is>
      </c>
      <c r="B1641" t="inlineStr">
        <is>
          <t>recveNXG9tGsOy.jpg</t>
        </is>
      </c>
      <c r="C1641" s="2" t="str">
        <f>=HYPERLINK("https://xhslink.com/m/4Kzcnmee7ca", "https://xhslink.com/m/4Kzcnmee7ca")</f>
        <v>https://xhslink.com/m/4Kzcnmee7ca</v>
      </c>
      <c r="D1641"/>
      <c r="E1641">
        <v>851</v>
      </c>
      <c r="F1641">
        <v>99.9</v>
      </c>
      <c r="G1641"/>
      <c r="H1641">
        <v>200</v>
      </c>
      <c r="I1641" t="inlineStr">
        <is>
          <t>健康餐</t>
        </is>
      </c>
      <c r="J1641" t="inlineStr">
        <is>
          <t>0.24</t>
        </is>
      </c>
      <c r="K1641"/>
      <c r="L1641" t="inlineStr">
        <is>
          <t>三只松鼠旗舰店</t>
        </is>
      </c>
      <c r="M1641">
        <v>65000</v>
      </c>
      <c r="N1641">
        <v>4.59</v>
      </c>
      <c r="O1641">
        <v>211000</v>
      </c>
      <c r="P1641" t="inlineStr">
        <is>
          <t>69731facb828e40001921b5e</t>
        </is>
      </c>
      <c r="Q1641"/>
      <c r="R1641" t="inlineStr">
        <is>
          <t>14周</t>
        </is>
      </c>
      <c r="S1641" t="inlineStr">
        <is>
          <t>0.01</t>
        </is>
      </c>
      <c r="T1641" t="inlineStr">
        <is>
          <t>美食滋补</t>
        </is>
      </c>
      <c r="U1641" t="inlineStr">
        <is>
          <t>休闲零食</t>
        </is>
      </c>
      <c r="V1641" s="3">
        <v>46112.78107638889</v>
      </c>
      <c r="W1641" t="inlineStr">
        <is>
          <t>2026-Q1</t>
        </is>
      </c>
    </row>
    <row r="1642" ht="25.5" customHeight="1">
      <c r="A1642" t="inlineStr">
        <is>
          <t>南瓜巧饼手工现做低脂健康即食早餐糕点饱腹感强的代餐速食小袋装</t>
        </is>
      </c>
      <c r="B1642" t="inlineStr">
        <is>
          <t>recveNXG9t0arZ.jpg</t>
        </is>
      </c>
      <c r="C1642" s="2" t="str">
        <f>=HYPERLINK("https://xhslink.com/m/2vFA6fEuVQK", "https://xhslink.com/m/2vFA6fEuVQK")</f>
        <v>https://xhslink.com/m/2vFA6fEuVQK</v>
      </c>
      <c r="D1642"/>
      <c r="E1642">
        <v>100000</v>
      </c>
      <c r="F1642">
        <v>36.9</v>
      </c>
      <c r="G1642">
        <v>29.9</v>
      </c>
      <c r="H1642">
        <v>200</v>
      </c>
      <c r="I1642" t="inlineStr">
        <is>
          <t>健康餐</t>
        </is>
      </c>
      <c r="J1642" t="inlineStr">
        <is>
          <t>0.00</t>
        </is>
      </c>
      <c r="K1642" t="inlineStr">
        <is>
          <t>🔥低粉爆款</t>
        </is>
      </c>
      <c r="L1642" t="inlineStr">
        <is>
          <t>嗦吧轻食荟的店</t>
        </is>
      </c>
      <c r="M1642">
        <v>7799</v>
      </c>
      <c r="N1642">
        <v>4.64</v>
      </c>
      <c r="O1642">
        <v>155000</v>
      </c>
      <c r="P1642" t="inlineStr">
        <is>
          <t>6847ba7c3aea53000161ef89</t>
        </is>
      </c>
      <c r="Q1642" t="inlineStr">
        <is>
          <t>🚫重复</t>
        </is>
      </c>
      <c r="R1642" t="inlineStr">
        <is>
          <t>14周</t>
        </is>
      </c>
      <c r="S1642" t="inlineStr">
        <is>
          <t>12.82</t>
        </is>
      </c>
      <c r="T1642" t="inlineStr">
        <is>
          <t>美食滋补</t>
        </is>
      </c>
      <c r="U1642" t="inlineStr">
        <is>
          <t>休闲零食</t>
        </is>
      </c>
      <c r="V1642" s="3">
        <v>46112.78107638889</v>
      </c>
      <c r="W1642" t="inlineStr">
        <is>
          <t>2026-Q1</t>
        </is>
      </c>
    </row>
    <row r="1643" ht="25.5" customHeight="1">
      <c r="A1643" t="inlineStr">
        <is>
          <t>WCHY AKKF · 超大帽子430G撞色款外套重磅连帽卫衣美式立体宽松情侣多口袋设计</t>
        </is>
      </c>
      <c r="B1643" t="inlineStr">
        <is>
          <t>recveNXG9t9wLQ.jpg</t>
        </is>
      </c>
      <c r="C1643" s="2" t="str">
        <f>=HYPERLINK("https://xhslink.com/m/8zYsfnCxcJn", "https://xhslink.com/m/8zYsfnCxcJn")</f>
        <v>https://xhslink.com/m/8zYsfnCxcJn</v>
      </c>
      <c r="D1643"/>
      <c r="E1643">
        <v>17000</v>
      </c>
      <c r="F1643">
        <v>128</v>
      </c>
      <c r="G1643">
        <v>98</v>
      </c>
      <c r="H1643">
        <v>200</v>
      </c>
      <c r="I1643" t="inlineStr">
        <is>
          <t>卫衣</t>
        </is>
      </c>
      <c r="J1643" t="inlineStr">
        <is>
          <t>0.01</t>
        </is>
      </c>
      <c r="K1643"/>
      <c r="L1643" t="inlineStr">
        <is>
          <t>WCHY AKKF线上店的店</t>
        </is>
      </c>
      <c r="M1643">
        <v>176000</v>
      </c>
      <c r="N1643">
        <v>4.47</v>
      </c>
      <c r="O1643">
        <v>195000</v>
      </c>
      <c r="P1643" t="inlineStr">
        <is>
          <t>6897111279bc4700017f3f52</t>
        </is>
      </c>
      <c r="Q1643"/>
      <c r="R1643" t="inlineStr">
        <is>
          <t>14周</t>
        </is>
      </c>
      <c r="S1643" t="inlineStr">
        <is>
          <t>0.10</t>
        </is>
      </c>
      <c r="T1643" t="inlineStr">
        <is>
          <t>服饰穿搭</t>
        </is>
      </c>
      <c r="U1643" t="inlineStr">
        <is>
          <t>女装</t>
        </is>
      </c>
      <c r="V1643" s="3">
        <v>46112.78107638889</v>
      </c>
      <c r="W1643" t="inlineStr">
        <is>
          <t>2026-Q1</t>
        </is>
      </c>
    </row>
    <row r="1644" ht="25.5" customHeight="1">
      <c r="A1644" t="inlineStr">
        <is>
          <t>YUMU 自制大容量尼龙降落伞托特腋下包包女 多隔层通勤单肩手提包</t>
        </is>
      </c>
      <c r="B1644" t="inlineStr">
        <is>
          <t>recveNXG9teicp.jpg</t>
        </is>
      </c>
      <c r="C1644" s="2" t="str">
        <f>=HYPERLINK("https://xhslink.com/m/AiqCpaGHtBF", "https://xhslink.com/m/AiqCpaGHtBF")</f>
        <v>https://xhslink.com/m/AiqCpaGHtBF</v>
      </c>
      <c r="D1644"/>
      <c r="E1644">
        <v>1262</v>
      </c>
      <c r="F1644">
        <v>215</v>
      </c>
      <c r="G1644">
        <v>185</v>
      </c>
      <c r="H1644">
        <v>200</v>
      </c>
      <c r="I1644" t="inlineStr">
        <is>
          <t>包包</t>
        </is>
      </c>
      <c r="J1644" t="inlineStr">
        <is>
          <t>0.16</t>
        </is>
      </c>
      <c r="K1644"/>
      <c r="L1644" t="inlineStr">
        <is>
          <t>YUMU与沐的店</t>
        </is>
      </c>
      <c r="M1644">
        <v>36000</v>
      </c>
      <c r="N1644">
        <v>4.63</v>
      </c>
      <c r="O1644">
        <v>36000</v>
      </c>
      <c r="P1644" t="inlineStr">
        <is>
          <t>69b29ede99f8fe00010c16ba</t>
        </is>
      </c>
      <c r="Q1644" t="inlineStr">
        <is>
          <t>🚫重复</t>
        </is>
      </c>
      <c r="R1644" t="inlineStr">
        <is>
          <t>14周</t>
        </is>
      </c>
      <c r="S1644" t="inlineStr">
        <is>
          <t>0.04</t>
        </is>
      </c>
      <c r="T1644" t="inlineStr">
        <is>
          <t>服饰穿搭</t>
        </is>
      </c>
      <c r="U1644" t="inlineStr">
        <is>
          <t>鞋靴箱包</t>
        </is>
      </c>
      <c r="V1644" s="3">
        <v>46112.78107638889</v>
      </c>
      <c r="W1644" t="inlineStr">
        <is>
          <t>2026-Q1</t>
        </is>
      </c>
    </row>
    <row r="1645" ht="25.5" customHeight="1">
      <c r="A1645" t="inlineStr">
        <is>
          <t>Diya · 居家健身迷你普拉提运动塑形瑜伽健身可拆卸瑜伽多功能训练柔体机</t>
        </is>
      </c>
      <c r="B1645" t="inlineStr">
        <is>
          <t>recveNXG9tr2Uf.jpg</t>
        </is>
      </c>
      <c r="C1645" s="2" t="str">
        <f>=HYPERLINK("https://xhslink.com/m/7gl1hWoK9re", "https://xhslink.com/m/7gl1hWoK9re")</f>
        <v>https://xhslink.com/m/7gl1hWoK9re</v>
      </c>
      <c r="D1645"/>
      <c r="E1645">
        <v>1063</v>
      </c>
      <c r="F1645">
        <v>1599</v>
      </c>
      <c r="G1645">
        <v>799</v>
      </c>
      <c r="H1645">
        <v>200</v>
      </c>
      <c r="I1645" t="inlineStr">
        <is>
          <t>瑜伽</t>
        </is>
      </c>
      <c r="J1645" t="inlineStr">
        <is>
          <t>0.19</t>
        </is>
      </c>
      <c r="K1645"/>
      <c r="L1645" t="inlineStr">
        <is>
          <t>Diya旗舰店</t>
        </is>
      </c>
      <c r="M1645">
        <v>3780</v>
      </c>
      <c r="N1645">
        <v>4.62</v>
      </c>
      <c r="O1645">
        <v>1117</v>
      </c>
      <c r="P1645" t="inlineStr">
        <is>
          <t>68a30dbe5251bf00014e14eb</t>
        </is>
      </c>
      <c r="Q1645"/>
      <c r="R1645" t="inlineStr">
        <is>
          <t>14周</t>
        </is>
      </c>
      <c r="S1645" t="inlineStr">
        <is>
          <t>0.28</t>
        </is>
      </c>
      <c r="T1645" t="inlineStr">
        <is>
          <t>运动潮玩</t>
        </is>
      </c>
      <c r="U1645" t="inlineStr">
        <is>
          <t>运动户外装备</t>
        </is>
      </c>
      <c r="V1645" s="3">
        <v>46112.78107638889</v>
      </c>
      <c r="W1645" t="inlineStr">
        <is>
          <t>2026-Q1</t>
        </is>
      </c>
    </row>
    <row r="1646" ht="25.5" customHeight="1">
      <c r="A1646" t="inlineStr">
        <is>
          <t>夏秋时尚裸感跑步瑜伽t恤女薄修身显瘦运动短袖气质圆领健身服女</t>
        </is>
      </c>
      <c r="B1646" t="inlineStr">
        <is>
          <t>recveNXG9tTc7i.jpg</t>
        </is>
      </c>
      <c r="C1646" s="2" t="str">
        <f>=HYPERLINK("https://xhslink.com/m/99Gi6Iv3Pwe", "https://xhslink.com/m/99Gi6Iv3Pwe")</f>
        <v>https://xhslink.com/m/99Gi6Iv3Pwe</v>
      </c>
      <c r="D1646"/>
      <c r="E1646">
        <v>4008</v>
      </c>
      <c r="F1646">
        <v>79</v>
      </c>
      <c r="G1646">
        <v>53</v>
      </c>
      <c r="H1646">
        <v>200</v>
      </c>
      <c r="I1646" t="inlineStr">
        <is>
          <t>瑜伽</t>
        </is>
      </c>
      <c r="J1646" t="inlineStr">
        <is>
          <t>0.05</t>
        </is>
      </c>
      <c r="K1646"/>
      <c r="L1646" t="inlineStr">
        <is>
          <t>漫跑爱丽丝的店</t>
        </is>
      </c>
      <c r="M1646">
        <v>2514</v>
      </c>
      <c r="N1646">
        <v>4.6</v>
      </c>
      <c r="O1646">
        <v>16000</v>
      </c>
      <c r="P1646" t="inlineStr">
        <is>
          <t>696c69bcf7c59e0001707e8e</t>
        </is>
      </c>
      <c r="Q1646" t="inlineStr">
        <is>
          <t>🚫重复</t>
        </is>
      </c>
      <c r="R1646" t="inlineStr">
        <is>
          <t>14周</t>
        </is>
      </c>
      <c r="S1646" t="inlineStr">
        <is>
          <t>1.59</t>
        </is>
      </c>
      <c r="T1646" t="inlineStr">
        <is>
          <t>运动潮玩</t>
        </is>
      </c>
      <c r="U1646" t="inlineStr">
        <is>
          <t>运动户外装备</t>
        </is>
      </c>
      <c r="V1646" s="3">
        <v>46112.78107638889</v>
      </c>
      <c r="W1646" t="inlineStr">
        <is>
          <t>2026-Q1</t>
        </is>
      </c>
    </row>
    <row r="1647" ht="25.5" customHeight="1">
      <c r="A1647" t="inlineStr">
        <is>
          <t>【前3w立减10】铜氨丝阔腿裤垂坠感显瘦春夏通勤宽松运动裤</t>
        </is>
      </c>
      <c r="B1647" t="inlineStr">
        <is>
          <t>recveNXG9tOuuG.jpg</t>
        </is>
      </c>
      <c r="C1647" s="2" t="str">
        <f>=HYPERLINK("https://xhslink.com/m/58bT4w6n5bF", "https://xhslink.com/m/58bT4w6n5bF")</f>
        <v>https://xhslink.com/m/58bT4w6n5bF</v>
      </c>
      <c r="D1647"/>
      <c r="E1647">
        <v>25000</v>
      </c>
      <c r="F1647">
        <v>89.9</v>
      </c>
      <c r="G1647">
        <v>79.9</v>
      </c>
      <c r="H1647">
        <v>200</v>
      </c>
      <c r="I1647" t="inlineStr">
        <is>
          <t>儿童运动裤</t>
        </is>
      </c>
      <c r="J1647" t="inlineStr">
        <is>
          <t>0.01</t>
        </is>
      </c>
      <c r="K1647"/>
      <c r="L1647" t="inlineStr">
        <is>
          <t>小橘姐穿搭lin的店</t>
        </is>
      </c>
      <c r="M1647">
        <v>8600</v>
      </c>
      <c r="N1647">
        <v>4.17</v>
      </c>
      <c r="O1647">
        <v>201000</v>
      </c>
      <c r="P1647" t="inlineStr">
        <is>
          <t>68d11bd4f0063900013fe7ef</t>
        </is>
      </c>
      <c r="Q1647" t="inlineStr">
        <is>
          <t>🚫重复</t>
        </is>
      </c>
      <c r="R1647" t="inlineStr">
        <is>
          <t>14周</t>
        </is>
      </c>
      <c r="S1647" t="inlineStr">
        <is>
          <t>2.91</t>
        </is>
      </c>
      <c r="T1647" t="inlineStr">
        <is>
          <t>服饰穿搭</t>
        </is>
      </c>
      <c r="U1647" t="inlineStr">
        <is>
          <t>女装</t>
        </is>
      </c>
      <c r="V1647" s="3">
        <v>46112.78107638889</v>
      </c>
      <c r="W1647" t="inlineStr">
        <is>
          <t>2026-Q1</t>
        </is>
      </c>
    </row>
    <row r="1648" ht="25.5" customHeight="1">
      <c r="A1648" t="inlineStr">
        <is>
          <t>三只松鼠 · 【到手28包】减脂期每日轻食组合7日装蜻蜓教练鸡腿肉好吃轻负担</t>
        </is>
      </c>
      <c r="B1648" t="inlineStr">
        <is>
          <t>recveNXG9tKQma.jpg</t>
        </is>
      </c>
      <c r="C1648" s="2" t="str">
        <f>=HYPERLINK("https://xhslink.com/m/3o1iCOM4aVZ", "https://xhslink.com/m/3o1iCOM4aVZ")</f>
        <v>https://xhslink.com/m/3o1iCOM4aVZ</v>
      </c>
      <c r="D1648"/>
      <c r="E1648">
        <v>19000</v>
      </c>
      <c r="F1648">
        <v>49.9</v>
      </c>
      <c r="G1648">
        <v>39.9</v>
      </c>
      <c r="H1648">
        <v>200</v>
      </c>
      <c r="I1648" t="inlineStr">
        <is>
          <t>减肥食物</t>
        </is>
      </c>
      <c r="J1648" t="inlineStr">
        <is>
          <t>0.01</t>
        </is>
      </c>
      <c r="K1648"/>
      <c r="L1648" t="inlineStr">
        <is>
          <t>呓语小零食铺子的店</t>
        </is>
      </c>
      <c r="M1648">
        <v>17000</v>
      </c>
      <c r="N1648">
        <v>4.51</v>
      </c>
      <c r="O1648">
        <v>297000</v>
      </c>
      <c r="P1648" t="inlineStr">
        <is>
          <t>67c2b2ecf2b3fa001531698b</t>
        </is>
      </c>
      <c r="Q1648" t="inlineStr">
        <is>
          <t>🚫重复</t>
        </is>
      </c>
      <c r="R1648" t="inlineStr">
        <is>
          <t>14周</t>
        </is>
      </c>
      <c r="S1648" t="inlineStr">
        <is>
          <t>1.12</t>
        </is>
      </c>
      <c r="T1648" t="inlineStr">
        <is>
          <t>美食滋补</t>
        </is>
      </c>
      <c r="U1648" t="inlineStr">
        <is>
          <t>休闲零食</t>
        </is>
      </c>
      <c r="V1648" s="3">
        <v>46112.78107638889</v>
      </c>
      <c r="W1648" t="inlineStr">
        <is>
          <t>2026-Q1</t>
        </is>
      </c>
    </row>
    <row r="1649" ht="25.5" customHeight="1">
      <c r="A1649" t="inlineStr">
        <is>
          <t>水一方 · 0糖烤虾手扒烤虾仁虾干即食低脂零食办公室解馋追剧</t>
        </is>
      </c>
      <c r="B1649" t="inlineStr">
        <is>
          <t>recveNXG9tq7TB.jpg</t>
        </is>
      </c>
      <c r="C1649" s="2" t="str">
        <f>=HYPERLINK("https://xhslink.com/m/6YFMoXyFTwA", "https://xhslink.com/m/6YFMoXyFTwA")</f>
        <v>https://xhslink.com/m/6YFMoXyFTwA</v>
      </c>
      <c r="D1649"/>
      <c r="E1649">
        <v>87000</v>
      </c>
      <c r="F1649">
        <v>239.9</v>
      </c>
      <c r="G1649">
        <v>149.9</v>
      </c>
      <c r="H1649">
        <v>200</v>
      </c>
      <c r="I1649" t="inlineStr">
        <is>
          <t>减肥食物</t>
        </is>
      </c>
      <c r="J1649" t="inlineStr">
        <is>
          <t>0.00</t>
        </is>
      </c>
      <c r="K1649"/>
      <c r="L1649" t="inlineStr">
        <is>
          <t>水一方零食旗舰店</t>
        </is>
      </c>
      <c r="M1649">
        <v>67000</v>
      </c>
      <c r="N1649">
        <v>4.56</v>
      </c>
      <c r="O1649">
        <v>342000</v>
      </c>
      <c r="P1649" t="inlineStr">
        <is>
          <t>68c3bce855f59b0001ebf0d2</t>
        </is>
      </c>
      <c r="Q1649" t="inlineStr">
        <is>
          <t>🚫重复</t>
        </is>
      </c>
      <c r="R1649" t="inlineStr">
        <is>
          <t>14周</t>
        </is>
      </c>
      <c r="S1649" t="inlineStr">
        <is>
          <t>1.30</t>
        </is>
      </c>
      <c r="T1649" t="inlineStr">
        <is>
          <t>美食滋补</t>
        </is>
      </c>
      <c r="U1649" t="inlineStr">
        <is>
          <t>休闲零食</t>
        </is>
      </c>
      <c r="V1649" s="3">
        <v>46112.78107638889</v>
      </c>
      <c r="W1649" t="inlineStr">
        <is>
          <t>2026-Q1</t>
        </is>
      </c>
    </row>
    <row r="1650" ht="25.5" customHeight="1">
      <c r="A1650" t="inlineStr">
        <is>
          <t>中澜ZHONGLAN · 水煮鸡胸肉多口味健身吃代餐饱腹零0减期肥低脂蒸卡速高蛋白钠</t>
        </is>
      </c>
      <c r="B1650" t="inlineStr">
        <is>
          <t>recveNXG9tBNGv.jpg</t>
        </is>
      </c>
      <c r="C1650" s="2" t="str">
        <f>=HYPERLINK("https://xhslink.com/m/1XxIPcyElpK", "https://xhslink.com/m/1XxIPcyElpK")</f>
        <v>https://xhslink.com/m/1XxIPcyElpK</v>
      </c>
      <c r="D1650"/>
      <c r="E1650">
        <v>2056</v>
      </c>
      <c r="F1650">
        <v>47.8</v>
      </c>
      <c r="G1650">
        <v>23.9</v>
      </c>
      <c r="H1650">
        <v>200</v>
      </c>
      <c r="I1650" t="inlineStr">
        <is>
          <t>减肥食物</t>
        </is>
      </c>
      <c r="J1650" t="inlineStr">
        <is>
          <t>0.10</t>
        </is>
      </c>
      <c r="K1650"/>
      <c r="L1650" t="inlineStr">
        <is>
          <t>中澜旗舰店</t>
        </is>
      </c>
      <c r="M1650">
        <v>1531</v>
      </c>
      <c r="N1650">
        <v>4.67</v>
      </c>
      <c r="O1650">
        <v>7622</v>
      </c>
      <c r="P1650" t="inlineStr">
        <is>
          <t>697c274c6d22e70001466bc3</t>
        </is>
      </c>
      <c r="Q1650" t="inlineStr">
        <is>
          <t>🚫重复</t>
        </is>
      </c>
      <c r="R1650" t="inlineStr">
        <is>
          <t>14周</t>
        </is>
      </c>
      <c r="S1650" t="inlineStr">
        <is>
          <t>1.34</t>
        </is>
      </c>
      <c r="T1650" t="inlineStr">
        <is>
          <t>美食滋补</t>
        </is>
      </c>
      <c r="U1650" t="inlineStr">
        <is>
          <t>休闲零食</t>
        </is>
      </c>
      <c r="V1650" s="3">
        <v>46112.78107638889</v>
      </c>
      <c r="W1650" t="inlineStr">
        <is>
          <t>2026-Q1</t>
        </is>
      </c>
    </row>
    <row r="1651" ht="25.5" customHeight="1">
      <c r="A1651" t="inlineStr">
        <is>
          <t>盒界 · 鲜蒸荔浦芋头开袋即食低脂0添加饱腹粗粮清蒸香芋休闲零食</t>
        </is>
      </c>
      <c r="B1651" t="inlineStr">
        <is>
          <t>recveNXG9tlpNf.jpg</t>
        </is>
      </c>
      <c r="C1651" s="2" t="str">
        <f>=HYPERLINK("https://xhslink.com/m/7I5ogjqlMZv", "https://xhslink.com/m/7I5ogjqlMZv")</f>
        <v>https://xhslink.com/m/7I5ogjqlMZv</v>
      </c>
      <c r="D1651"/>
      <c r="E1651">
        <v>12000</v>
      </c>
      <c r="F1651">
        <v>43.9</v>
      </c>
      <c r="G1651">
        <v>33.9</v>
      </c>
      <c r="H1651">
        <v>200</v>
      </c>
      <c r="I1651" t="inlineStr">
        <is>
          <t>减肥食物</t>
        </is>
      </c>
      <c r="J1651" t="inlineStr">
        <is>
          <t>0.02</t>
        </is>
      </c>
      <c r="K1651"/>
      <c r="L1651" t="inlineStr">
        <is>
          <t>盒界甄选的店</t>
        </is>
      </c>
      <c r="M1651">
        <v>6806</v>
      </c>
      <c r="N1651">
        <v>4.43</v>
      </c>
      <c r="O1651">
        <v>155000</v>
      </c>
      <c r="P1651" t="inlineStr">
        <is>
          <t>69366fbe02483f00012011a6</t>
        </is>
      </c>
      <c r="Q1651" t="inlineStr">
        <is>
          <t>🚫重复</t>
        </is>
      </c>
      <c r="R1651" t="inlineStr">
        <is>
          <t>14周</t>
        </is>
      </c>
      <c r="S1651" t="inlineStr">
        <is>
          <t>1.76</t>
        </is>
      </c>
      <c r="T1651" t="inlineStr">
        <is>
          <t>美食滋补</t>
        </is>
      </c>
      <c r="U1651" t="inlineStr">
        <is>
          <t>休闲零食</t>
        </is>
      </c>
      <c r="V1651" s="3">
        <v>46112.78107638889</v>
      </c>
      <c r="W1651" t="inlineStr">
        <is>
          <t>2026-Q1</t>
        </is>
      </c>
    </row>
    <row r="1652" ht="25.5" customHeight="1">
      <c r="A1652" t="inlineStr">
        <is>
          <t>糙能农场 · 【全新升级】九谷O脂荞麦面 九种粗粮谷物添加非油炸免煮低钠配方</t>
        </is>
      </c>
      <c r="B1652" t="inlineStr">
        <is>
          <t>recveNXG9tuaPp.jpg</t>
        </is>
      </c>
      <c r="C1652" s="2" t="str">
        <f>=HYPERLINK("https://xhslink.com/m/1bV6aOxWvLW", "https://xhslink.com/m/1bV6aOxWvLW")</f>
        <v>https://xhslink.com/m/1bV6aOxWvLW</v>
      </c>
      <c r="D1652"/>
      <c r="E1652">
        <v>105000</v>
      </c>
      <c r="F1652">
        <v>24.9</v>
      </c>
      <c r="G1652">
        <v>19.9</v>
      </c>
      <c r="H1652">
        <v>200</v>
      </c>
      <c r="I1652" t="inlineStr">
        <is>
          <t>减脂主食</t>
        </is>
      </c>
      <c r="J1652" t="inlineStr">
        <is>
          <t>0.00</t>
        </is>
      </c>
      <c r="K1652" t="inlineStr">
        <is>
          <t>🔥低粉爆款</t>
        </is>
      </c>
      <c r="L1652" t="inlineStr">
        <is>
          <t>糙能农场旗舰店</t>
        </is>
      </c>
      <c r="M1652">
        <v>9958</v>
      </c>
      <c r="N1652">
        <v>4.72</v>
      </c>
      <c r="O1652">
        <v>266000</v>
      </c>
      <c r="P1652" t="inlineStr">
        <is>
          <t>664afd7195742c00013317c5</t>
        </is>
      </c>
      <c r="Q1652" t="inlineStr">
        <is>
          <t>🚫重复</t>
        </is>
      </c>
      <c r="R1652" t="inlineStr">
        <is>
          <t>14周</t>
        </is>
      </c>
      <c r="S1652" t="inlineStr">
        <is>
          <t>10.54</t>
        </is>
      </c>
      <c r="T1652" t="inlineStr">
        <is>
          <t>美食滋补</t>
        </is>
      </c>
      <c r="U1652" t="inlineStr">
        <is>
          <t>休闲零食</t>
        </is>
      </c>
      <c r="V1652" s="3">
        <v>46112.78107638889</v>
      </c>
      <c r="W1652" t="inlineStr">
        <is>
          <t>2026-Q1</t>
        </is>
      </c>
    </row>
    <row r="1653" ht="25.5" customHeight="1">
      <c r="A1653" t="inlineStr">
        <is>
          <t>【非遗手作·微瑕特价】白妈草本洗发饼·2块装｜不含皂基皂垢硅油</t>
        </is>
      </c>
      <c r="B1653" t="inlineStr">
        <is>
          <t>recveTJWJN92bK.jpg</t>
        </is>
      </c>
      <c r="C1653" s="2" t="str">
        <f>=HYPERLINK("https://xhslink.com/m/5Aq9DEAGoL1", "https://xhslink.com/m/5Aq9DEAGoL1")</f>
        <v>https://xhslink.com/m/5Aq9DEAGoL1</v>
      </c>
      <c r="D1653"/>
      <c r="E1653">
        <v>6193</v>
      </c>
      <c r="F1653">
        <v>79.9</v>
      </c>
      <c r="G1653">
        <v>29.9</v>
      </c>
      <c r="H1653">
        <v>200</v>
      </c>
      <c r="I1653" t="inlineStr">
        <is>
          <t>洗头皂</t>
        </is>
      </c>
      <c r="J1653" t="inlineStr">
        <is>
          <t>0.03</t>
        </is>
      </c>
      <c r="K1653" t="inlineStr">
        <is>
          <t>🔥低粉爆款</t>
        </is>
      </c>
      <c r="L1653" t="inlineStr">
        <is>
          <t>白妈的店</t>
        </is>
      </c>
      <c r="M1653">
        <v>492</v>
      </c>
      <c r="N1653">
        <v>4.64</v>
      </c>
      <c r="O1653">
        <v>7492</v>
      </c>
      <c r="P1653" t="inlineStr">
        <is>
          <t>696754bf68700c00010b243b</t>
        </is>
      </c>
      <c r="Q1653"/>
      <c r="R1653" t="inlineStr">
        <is>
          <t>14周</t>
        </is>
      </c>
      <c r="S1653" t="inlineStr">
        <is>
          <t>12.59</t>
        </is>
      </c>
      <c r="T1653" t="inlineStr">
        <is>
          <t>美妆个护</t>
        </is>
      </c>
      <c r="U1653" t="inlineStr">
        <is>
          <t>个人护理</t>
        </is>
      </c>
      <c r="V1653" s="3">
        <v>46112.78107638889</v>
      </c>
      <c r="W1653" t="inlineStr">
        <is>
          <t>2026-Q1</t>
        </is>
      </c>
    </row>
    <row r="1654" ht="25.5" customHeight="1">
      <c r="A1654" t="inlineStr">
        <is>
          <t>法芮森洗发皂【草本植萃】乌斯曼草侧柏叶精华草本手工皂无硅油</t>
        </is>
      </c>
      <c r="B1654" t="inlineStr">
        <is>
          <t>recveTJWJNn3xr.jpg</t>
        </is>
      </c>
      <c r="C1654" s="2" t="str">
        <f>=HYPERLINK("https://xhslink.com/m/7EF3Rp0OKrF", "https://xhslink.com/m/7EF3Rp0OKrF")</f>
        <v>https://xhslink.com/m/7EF3Rp0OKrF</v>
      </c>
      <c r="D1654"/>
      <c r="E1654">
        <v>69000</v>
      </c>
      <c r="F1654">
        <v>39.9</v>
      </c>
      <c r="G1654"/>
      <c r="H1654">
        <v>200</v>
      </c>
      <c r="I1654" t="inlineStr">
        <is>
          <t>洗头皂</t>
        </is>
      </c>
      <c r="J1654" t="inlineStr">
        <is>
          <t>0.00</t>
        </is>
      </c>
      <c r="K1654" t="inlineStr">
        <is>
          <t>🔥低粉爆款</t>
        </is>
      </c>
      <c r="L1654" t="inlineStr">
        <is>
          <t>小可不口渴的店</t>
        </is>
      </c>
      <c r="M1654">
        <v>5326</v>
      </c>
      <c r="N1654">
        <v>4.49</v>
      </c>
      <c r="O1654">
        <v>80000</v>
      </c>
      <c r="P1654" t="inlineStr">
        <is>
          <t>692804a53501090001fbac7c</t>
        </is>
      </c>
      <c r="Q1654"/>
      <c r="R1654" t="inlineStr">
        <is>
          <t>14周</t>
        </is>
      </c>
      <c r="S1654" t="inlineStr">
        <is>
          <t>12.96</t>
        </is>
      </c>
      <c r="T1654" t="inlineStr">
        <is>
          <t>美妆个护</t>
        </is>
      </c>
      <c r="U1654" t="inlineStr">
        <is>
          <t>护肤彩妆</t>
        </is>
      </c>
      <c r="V1654" s="3">
        <v>46112.78107638889</v>
      </c>
      <c r="W1654" t="inlineStr">
        <is>
          <t>2026-Q1</t>
        </is>
      </c>
    </row>
    <row r="1655" ht="25.5" customHeight="1">
      <c r="A1655" t="inlineStr">
        <is>
          <t>仙丛 · Dekeo四色遮瑕膏学生党平价隐匿斑点痘印黑眼圈提亮泪沟凹陷遮瑕</t>
        </is>
      </c>
      <c r="B1655" t="inlineStr">
        <is>
          <t>recveTJWJNlBzS.jpg</t>
        </is>
      </c>
      <c r="C1655" s="2" t="str">
        <f>=HYPERLINK("https://xhslink.com/m/ArlcVMlMEOu", "https://xhslink.com/m/ArlcVMlMEOu")</f>
        <v>https://xhslink.com/m/ArlcVMlMEOu</v>
      </c>
      <c r="D1655"/>
      <c r="E1655">
        <v>26000</v>
      </c>
      <c r="F1655">
        <v>53.8</v>
      </c>
      <c r="G1655">
        <v>39.8</v>
      </c>
      <c r="H1655">
        <v>200</v>
      </c>
      <c r="I1655" t="inlineStr">
        <is>
          <t>遮瑕</t>
        </is>
      </c>
      <c r="J1655" t="inlineStr">
        <is>
          <t>0.01</t>
        </is>
      </c>
      <c r="K1655" t="inlineStr">
        <is>
          <t>🔥低粉爆款</t>
        </is>
      </c>
      <c r="L1655" t="inlineStr">
        <is>
          <t>仙丛旗舰店</t>
        </is>
      </c>
      <c r="M1655">
        <v>3225</v>
      </c>
      <c r="N1655">
        <v>4.63</v>
      </c>
      <c r="O1655">
        <v>269000</v>
      </c>
      <c r="P1655" t="inlineStr">
        <is>
          <t>69a7cf52094aed00018beb78</t>
        </is>
      </c>
      <c r="Q1655" t="inlineStr">
        <is>
          <t>🚫重复</t>
        </is>
      </c>
      <c r="R1655" t="inlineStr">
        <is>
          <t>14周</t>
        </is>
      </c>
      <c r="S1655" t="inlineStr">
        <is>
          <t>8.06</t>
        </is>
      </c>
      <c r="T1655" t="inlineStr">
        <is>
          <t>美妆个护</t>
        </is>
      </c>
      <c r="U1655" t="inlineStr">
        <is>
          <t>护肤彩妆</t>
        </is>
      </c>
      <c r="V1655" s="3">
        <v>46112.78107638889</v>
      </c>
      <c r="W1655" t="inlineStr">
        <is>
          <t>2026-Q1</t>
        </is>
      </c>
    </row>
    <row r="1656" ht="25.5" customHeight="1">
      <c r="A1656" t="inlineStr">
        <is>
          <t>MALU WILZ · 德国玛露遮瑕膏化妆师推荐 遮盖黑眼圈斑点痘印泪沟法令纹</t>
        </is>
      </c>
      <c r="B1656" t="inlineStr">
        <is>
          <t>recveTJWJNh8vY.jpg</t>
        </is>
      </c>
      <c r="C1656" s="2" t="str">
        <f>=HYPERLINK("https://xhslink.com/m/6CVoMtfMLXg", "https://xhslink.com/m/6CVoMtfMLXg")</f>
        <v>https://xhslink.com/m/6CVoMtfMLXg</v>
      </c>
      <c r="D1656"/>
      <c r="E1656">
        <v>20000</v>
      </c>
      <c r="F1656">
        <v>138</v>
      </c>
      <c r="G1656">
        <v>95</v>
      </c>
      <c r="H1656">
        <v>200</v>
      </c>
      <c r="I1656" t="inlineStr">
        <is>
          <t>遮瑕</t>
        </is>
      </c>
      <c r="J1656" t="inlineStr">
        <is>
          <t>0.01</t>
        </is>
      </c>
      <c r="K1656"/>
      <c r="L1656" t="inlineStr">
        <is>
          <t>MALU WILZ 玛露·维尔姿旗舰店</t>
        </is>
      </c>
      <c r="M1656">
        <v>36000</v>
      </c>
      <c r="N1656">
        <v>4.65</v>
      </c>
      <c r="O1656">
        <v>29000</v>
      </c>
      <c r="P1656" t="inlineStr">
        <is>
          <t>60f3f41485aa4e000131e540</t>
        </is>
      </c>
      <c r="Q1656" t="inlineStr">
        <is>
          <t>🚫重复</t>
        </is>
      </c>
      <c r="R1656" t="inlineStr">
        <is>
          <t>14周</t>
        </is>
      </c>
      <c r="S1656" t="inlineStr">
        <is>
          <t>0.56</t>
        </is>
      </c>
      <c r="T1656" t="inlineStr">
        <is>
          <t>美妆个护</t>
        </is>
      </c>
      <c r="U1656" t="inlineStr">
        <is>
          <t>护肤彩妆</t>
        </is>
      </c>
      <c r="V1656" s="3">
        <v>46112.78107638889</v>
      </c>
      <c r="W1656" t="inlineStr">
        <is>
          <t>2026-Q1</t>
        </is>
      </c>
    </row>
    <row r="1657" ht="25.5" customHeight="1">
      <c r="A1657" t="inlineStr">
        <is>
          <t>青涩色彩 · 遮瑕膏 买4颗赠送收纳盒·拆封不退不换1，10克</t>
        </is>
      </c>
      <c r="B1657" t="inlineStr">
        <is>
          <t>recveTJWJNM7ZF.jpg</t>
        </is>
      </c>
      <c r="C1657" s="2" t="str">
        <f>=HYPERLINK("https://xhslink.com/m/9TYs5YKyGXd", "https://xhslink.com/m/9TYs5YKyGXd")</f>
        <v>https://xhslink.com/m/9TYs5YKyGXd</v>
      </c>
      <c r="D1657"/>
      <c r="E1657">
        <v>92000</v>
      </c>
      <c r="F1657">
        <v>29</v>
      </c>
      <c r="G1657"/>
      <c r="H1657">
        <v>200</v>
      </c>
      <c r="I1657" t="inlineStr">
        <is>
          <t>遮瑕</t>
        </is>
      </c>
      <c r="J1657" t="inlineStr">
        <is>
          <t>0.00</t>
        </is>
      </c>
      <c r="K1657"/>
      <c r="L1657" t="inlineStr">
        <is>
          <t>青涩色彩的店</t>
        </is>
      </c>
      <c r="M1657">
        <v>124000</v>
      </c>
      <c r="N1657">
        <v>4.6</v>
      </c>
      <c r="O1657">
        <v>452000</v>
      </c>
      <c r="P1657" t="inlineStr">
        <is>
          <t>672b5bc96a6c180001008d78</t>
        </is>
      </c>
      <c r="Q1657" t="inlineStr">
        <is>
          <t>🚫重复</t>
        </is>
      </c>
      <c r="R1657" t="inlineStr">
        <is>
          <t>14周</t>
        </is>
      </c>
      <c r="S1657" t="inlineStr">
        <is>
          <t>0.74</t>
        </is>
      </c>
      <c r="T1657" t="inlineStr">
        <is>
          <t>美妆个护</t>
        </is>
      </c>
      <c r="U1657" t="inlineStr">
        <is>
          <t>护肤彩妆</t>
        </is>
      </c>
      <c r="V1657" s="3">
        <v>46112.78107638889</v>
      </c>
      <c r="W1657" t="inlineStr">
        <is>
          <t>2026-Q1</t>
        </is>
      </c>
    </row>
    <row r="1658" ht="25.5" customHeight="1">
      <c r="A1658" t="inlineStr">
        <is>
          <t>奕鸥 · 揉腹仪砭石艾灸加热腹部按摩器揉肚子神器促进肠蠕动便秘腹胀</t>
        </is>
      </c>
      <c r="B1658" t="inlineStr">
        <is>
          <t>recveTJWJNMQZs.jpg</t>
        </is>
      </c>
      <c r="C1658" s="2" t="str">
        <f>=HYPERLINK("https://xhslink.com/m/4lCFsVvqs0u", "https://xhslink.com/m/4lCFsVvqs0u")</f>
        <v>https://xhslink.com/m/4lCFsVvqs0u</v>
      </c>
      <c r="D1658"/>
      <c r="E1658">
        <v>25000</v>
      </c>
      <c r="F1658">
        <v>508</v>
      </c>
      <c r="G1658">
        <v>268</v>
      </c>
      <c r="H1658">
        <v>200</v>
      </c>
      <c r="I1658" t="inlineStr">
        <is>
          <t>艾灸肚子</t>
        </is>
      </c>
      <c r="J1658" t="inlineStr">
        <is>
          <t>0.01</t>
        </is>
      </c>
      <c r="K1658" t="inlineStr">
        <is>
          <t>🔥低粉爆款</t>
        </is>
      </c>
      <c r="L1658" t="inlineStr">
        <is>
          <t>POEO旗舰店</t>
        </is>
      </c>
      <c r="M1658">
        <v>5752</v>
      </c>
      <c r="N1658">
        <v>4.65</v>
      </c>
      <c r="O1658">
        <v>127000</v>
      </c>
      <c r="P1658" t="inlineStr">
        <is>
          <t>669b55664ce2400001ff5a19</t>
        </is>
      </c>
      <c r="Q1658"/>
      <c r="R1658" t="inlineStr">
        <is>
          <t>14周</t>
        </is>
      </c>
      <c r="S1658" t="inlineStr">
        <is>
          <t>4.35</t>
        </is>
      </c>
      <c r="T1658" t="inlineStr">
        <is>
          <t>美食滋补</t>
        </is>
      </c>
      <c r="U1658" t="inlineStr">
        <is>
          <t>营养滋补</t>
        </is>
      </c>
      <c r="V1658" s="3">
        <v>46112.78107638889</v>
      </c>
      <c r="W1658" t="inlineStr">
        <is>
          <t>2026-Q1</t>
        </is>
      </c>
    </row>
    <row r="1659" ht="25.5" customHeight="1">
      <c r="A1659" t="inlineStr">
        <is>
          <t>江中食疗 · 富铁红养饼干补铁营养红枣赤小豆办公室滋补零食养生早餐代餐</t>
        </is>
      </c>
      <c r="B1659" t="inlineStr">
        <is>
          <t>recveTJWJN7F3k.jpg</t>
        </is>
      </c>
      <c r="C1659" s="2" t="str">
        <f>=HYPERLINK("https://xhslink.com/m/50SjzDGaYfa", "https://xhslink.com/m/50SjzDGaYfa")</f>
        <v>https://xhslink.com/m/50SjzDGaYfa</v>
      </c>
      <c r="D1659"/>
      <c r="E1659">
        <v>3981</v>
      </c>
      <c r="F1659">
        <v>29.9</v>
      </c>
      <c r="G1659">
        <v>16.9</v>
      </c>
      <c r="H1659">
        <v>200</v>
      </c>
      <c r="I1659" t="inlineStr">
        <is>
          <t>养生零食</t>
        </is>
      </c>
      <c r="J1659" t="inlineStr">
        <is>
          <t>0.05</t>
        </is>
      </c>
      <c r="K1659"/>
      <c r="L1659" t="inlineStr">
        <is>
          <t>江中猴姑旗舰店</t>
        </is>
      </c>
      <c r="M1659">
        <v>30000</v>
      </c>
      <c r="N1659">
        <v>4.88</v>
      </c>
      <c r="O1659">
        <v>109000</v>
      </c>
      <c r="P1659" t="inlineStr">
        <is>
          <t>68e0a7eee0f3b20001ed606f</t>
        </is>
      </c>
      <c r="Q1659"/>
      <c r="R1659" t="inlineStr">
        <is>
          <t>14周</t>
        </is>
      </c>
      <c r="S1659" t="inlineStr">
        <is>
          <t>0.13</t>
        </is>
      </c>
      <c r="T1659" t="inlineStr">
        <is>
          <t>美食滋补</t>
        </is>
      </c>
      <c r="U1659" t="inlineStr">
        <is>
          <t>休闲零食</t>
        </is>
      </c>
      <c r="V1659" s="3">
        <v>46112.78107638889</v>
      </c>
      <c r="W1659" t="inlineStr">
        <is>
          <t>2026-Q1</t>
        </is>
      </c>
    </row>
    <row r="1660" ht="25.5" customHeight="1">
      <c r="A1660" t="inlineStr">
        <is>
          <t>陶大公子 · 茯苓糕手工药食同源养正宗茯苓夹饼小吃健康早餐</t>
        </is>
      </c>
      <c r="B1660" t="inlineStr">
        <is>
          <t>recveTJWJNv9jI.jpg</t>
        </is>
      </c>
      <c r="C1660" s="2" t="str">
        <f>=HYPERLINK("https://xhslink.com/m/3hFodqgrfYS", "https://xhslink.com/m/3hFodqgrfYS")</f>
        <v>https://xhslink.com/m/3hFodqgrfYS</v>
      </c>
      <c r="D1660"/>
      <c r="E1660">
        <v>316000</v>
      </c>
      <c r="F1660">
        <v>19.8</v>
      </c>
      <c r="G1660">
        <v>16.6</v>
      </c>
      <c r="H1660">
        <v>200</v>
      </c>
      <c r="I1660" t="inlineStr">
        <is>
          <t>养生零食</t>
        </is>
      </c>
      <c r="J1660" t="inlineStr">
        <is>
          <t>0.00</t>
        </is>
      </c>
      <c r="K1660"/>
      <c r="L1660" t="inlineStr">
        <is>
          <t>陶大公子养生糕的店</t>
        </is>
      </c>
      <c r="M1660">
        <v>276000</v>
      </c>
      <c r="N1660">
        <v>4.62</v>
      </c>
      <c r="O1660">
        <v>921000</v>
      </c>
      <c r="P1660" t="inlineStr">
        <is>
          <t>6989b6c8a5576f0001973c4f</t>
        </is>
      </c>
      <c r="Q1660" t="inlineStr">
        <is>
          <t>🚫重复</t>
        </is>
      </c>
      <c r="R1660" t="inlineStr">
        <is>
          <t>14周</t>
        </is>
      </c>
      <c r="S1660" t="inlineStr">
        <is>
          <t>1.14</t>
        </is>
      </c>
      <c r="T1660" t="inlineStr">
        <is>
          <t>美食滋补</t>
        </is>
      </c>
      <c r="U1660" t="inlineStr">
        <is>
          <t>休闲零食</t>
        </is>
      </c>
      <c r="V1660" s="3">
        <v>46112.78107638889</v>
      </c>
      <c r="W1660" t="inlineStr">
        <is>
          <t>2026-Q1</t>
        </is>
      </c>
    </row>
    <row r="1661" ht="25.5" customHeight="1">
      <c r="A1661" t="inlineStr">
        <is>
          <t>【开袋即食】炒薏苡仁清香酥脆健康零食五谷杂粮非油炸健康养生</t>
        </is>
      </c>
      <c r="B1661" t="inlineStr">
        <is>
          <t>recveTJWJNtnPe.jpg</t>
        </is>
      </c>
      <c r="C1661" s="2" t="str">
        <f>=HYPERLINK("https://xhslink.com/m/8RFi4ODUQ8Z", "https://xhslink.com/m/8RFi4ODUQ8Z")</f>
        <v>https://xhslink.com/m/8RFi4ODUQ8Z</v>
      </c>
      <c r="D1661"/>
      <c r="E1661">
        <v>114000</v>
      </c>
      <c r="F1661">
        <v>22.8</v>
      </c>
      <c r="G1661">
        <v>12.8</v>
      </c>
      <c r="H1661">
        <v>200</v>
      </c>
      <c r="I1661" t="inlineStr">
        <is>
          <t>养生零食</t>
        </is>
      </c>
      <c r="J1661" t="inlineStr">
        <is>
          <t>0.00</t>
        </is>
      </c>
      <c r="K1661" t="inlineStr">
        <is>
          <t>🔥低粉爆款</t>
        </is>
      </c>
      <c r="L1661" t="inlineStr">
        <is>
          <t>A猫小咪零食超市的店</t>
        </is>
      </c>
      <c r="M1661">
        <v>5990</v>
      </c>
      <c r="N1661">
        <v>4.62</v>
      </c>
      <c r="O1661">
        <v>118000</v>
      </c>
      <c r="P1661" t="inlineStr">
        <is>
          <t>675a9163bee2b600019cf2a8</t>
        </is>
      </c>
      <c r="Q1661"/>
      <c r="R1661" t="inlineStr">
        <is>
          <t>14周</t>
        </is>
      </c>
      <c r="S1661" t="inlineStr">
        <is>
          <t>19.03</t>
        </is>
      </c>
      <c r="T1661" t="inlineStr">
        <is>
          <t>美食滋补</t>
        </is>
      </c>
      <c r="U1661" t="inlineStr">
        <is>
          <t>休闲零食</t>
        </is>
      </c>
      <c r="V1661" s="3">
        <v>46112.78107638889</v>
      </c>
      <c r="W1661" t="inlineStr">
        <is>
          <t>2026-Q1</t>
        </is>
      </c>
    </row>
    <row r="1662" ht="25.5" customHeight="1">
      <c r="A1662" t="inlineStr">
        <is>
          <t>LumoLumos · 新品福利｜3-4mm天然不规则巴洛克珍珠项链超稀有极小碎银子可叠</t>
        </is>
      </c>
      <c r="B1662" t="inlineStr">
        <is>
          <t>recveTJWJNY5JW.jpg</t>
        </is>
      </c>
      <c r="C1662" s="2" t="str">
        <f>=HYPERLINK("https://xhslink.com/m/56hoSfeYmSk", "https://xhslink.com/m/56hoSfeYmSk")</f>
        <v>https://xhslink.com/m/56hoSfeYmSk</v>
      </c>
      <c r="D1662"/>
      <c r="E1662">
        <v>6293</v>
      </c>
      <c r="F1662">
        <v>85</v>
      </c>
      <c r="G1662">
        <v>72.25</v>
      </c>
      <c r="H1662">
        <v>200</v>
      </c>
      <c r="I1662" t="inlineStr">
        <is>
          <t>饰品</t>
        </is>
      </c>
      <c r="J1662" t="inlineStr">
        <is>
          <t>0.03</t>
        </is>
      </c>
      <c r="K1662"/>
      <c r="L1662" t="inlineStr">
        <is>
          <t>Lumolumos的店</t>
        </is>
      </c>
      <c r="M1662">
        <v>2193</v>
      </c>
      <c r="N1662">
        <v>4.6</v>
      </c>
      <c r="O1662">
        <v>13000</v>
      </c>
      <c r="P1662" t="inlineStr">
        <is>
          <t>682a150182d86e00017bde89</t>
        </is>
      </c>
      <c r="Q1662" t="inlineStr">
        <is>
          <t>🚫重复</t>
        </is>
      </c>
      <c r="R1662" t="inlineStr">
        <is>
          <t>14周</t>
        </is>
      </c>
      <c r="S1662" t="inlineStr">
        <is>
          <t>2.87</t>
        </is>
      </c>
      <c r="T1662" t="inlineStr">
        <is>
          <t>服饰穿搭</t>
        </is>
      </c>
      <c r="U1662" t="inlineStr">
        <is>
          <t>配饰</t>
        </is>
      </c>
      <c r="V1662" s="3">
        <v>46112.78107638889</v>
      </c>
      <c r="W1662" t="inlineStr">
        <is>
          <t>2026-Q1</t>
        </is>
      </c>
    </row>
    <row r="1663" ht="25.5" customHeight="1">
      <c r="A1663" t="inlineStr">
        <is>
          <t>F BM针织风中肠圈 秋冬款黑白灰ins风毛茸茸发圈发绳韩系头饰女</t>
        </is>
      </c>
      <c r="B1663" t="inlineStr">
        <is>
          <t>recveTJWJNBCJ2.jpg</t>
        </is>
      </c>
      <c r="C1663" s="2" t="str">
        <f>=HYPERLINK("https://xhslink.com/m/5nYGEtG9Yd7", "https://xhslink.com/m/5nYGEtG9Yd7")</f>
        <v>https://xhslink.com/m/5nYGEtG9Yd7</v>
      </c>
      <c r="D1663"/>
      <c r="E1663">
        <v>98000</v>
      </c>
      <c r="F1663">
        <v>6</v>
      </c>
      <c r="G1663"/>
      <c r="H1663">
        <v>200</v>
      </c>
      <c r="I1663" t="inlineStr">
        <is>
          <t>配饰</t>
        </is>
      </c>
      <c r="J1663" t="inlineStr">
        <is>
          <t>0.00</t>
        </is>
      </c>
      <c r="K1663"/>
      <c r="L1663" t="inlineStr">
        <is>
          <t>winnie云妮的店</t>
        </is>
      </c>
      <c r="M1663">
        <v>189000</v>
      </c>
      <c r="N1663">
        <v>4.67</v>
      </c>
      <c r="O1663">
        <v>925000</v>
      </c>
      <c r="P1663" t="inlineStr">
        <is>
          <t>6920321be8b9d40001061f0d</t>
        </is>
      </c>
      <c r="Q1663" t="inlineStr">
        <is>
          <t>🚫重复</t>
        </is>
      </c>
      <c r="R1663" t="inlineStr">
        <is>
          <t>14周</t>
        </is>
      </c>
      <c r="S1663" t="inlineStr">
        <is>
          <t>0.52</t>
        </is>
      </c>
      <c r="T1663" t="inlineStr">
        <is>
          <t>服饰穿搭</t>
        </is>
      </c>
      <c r="U1663" t="inlineStr">
        <is>
          <t>女装</t>
        </is>
      </c>
      <c r="V1663" s="3">
        <v>46112.78107638889</v>
      </c>
      <c r="W1663" t="inlineStr">
        <is>
          <t>2026-Q1</t>
        </is>
      </c>
    </row>
    <row r="1664" ht="25.5" customHeight="1">
      <c r="A1664" t="inlineStr">
        <is>
          <t>【糖果屋】彩色琉璃复古串珠耳圈耳夹｜针夹双款</t>
        </is>
      </c>
      <c r="B1664" t="inlineStr">
        <is>
          <t>recveTJWJNIHbX.jpg</t>
        </is>
      </c>
      <c r="C1664" s="2" t="str">
        <f>=HYPERLINK("https://xhslink.com/m/9nLeyr9eIK1", "https://xhslink.com/m/9nLeyr9eIK1")</f>
        <v>https://xhslink.com/m/9nLeyr9eIK1</v>
      </c>
      <c r="D1664"/>
      <c r="E1664">
        <v>1129</v>
      </c>
      <c r="F1664">
        <v>29.9</v>
      </c>
      <c r="G1664">
        <v>27.9</v>
      </c>
      <c r="H1664">
        <v>200</v>
      </c>
      <c r="I1664" t="inlineStr">
        <is>
          <t>耳饰</t>
        </is>
      </c>
      <c r="J1664" t="inlineStr">
        <is>
          <t>0.18</t>
        </is>
      </c>
      <c r="K1664"/>
      <c r="L1664" t="inlineStr">
        <is>
          <t>Garvey耳畔灵犀的店</t>
        </is>
      </c>
      <c r="M1664">
        <v>7278</v>
      </c>
      <c r="N1664">
        <v>4.73</v>
      </c>
      <c r="O1664">
        <v>14000</v>
      </c>
      <c r="P1664" t="inlineStr">
        <is>
          <t>69672dd3eb2ffb0001c87893</t>
        </is>
      </c>
      <c r="Q1664" t="inlineStr">
        <is>
          <t>🚫重复</t>
        </is>
      </c>
      <c r="R1664" t="inlineStr">
        <is>
          <t>14周</t>
        </is>
      </c>
      <c r="S1664" t="inlineStr">
        <is>
          <t>0.16</t>
        </is>
      </c>
      <c r="T1664" t="inlineStr">
        <is>
          <t>美食滋补</t>
        </is>
      </c>
      <c r="U1664" t="inlineStr">
        <is>
          <t>休闲零食</t>
        </is>
      </c>
      <c r="V1664" s="3">
        <v>46112.78107638889</v>
      </c>
      <c r="W1664" t="inlineStr">
        <is>
          <t>2026-Q1</t>
        </is>
      </c>
    </row>
    <row r="1665" ht="25.5" customHeight="1">
      <c r="A1665" t="inlineStr">
        <is>
          <t>4V｜极细素圈银色简约女气质感百搭戒指</t>
        </is>
      </c>
      <c r="B1665" t="inlineStr">
        <is>
          <t>recveTJWJNo4nY.jpg</t>
        </is>
      </c>
      <c r="C1665" s="2" t="str">
        <f>=HYPERLINK("https://xhslink.com/m/1pMgQAtRMm8", "https://xhslink.com/m/1pMgQAtRMm8")</f>
        <v>https://xhslink.com/m/1pMgQAtRMm8</v>
      </c>
      <c r="D1665"/>
      <c r="E1665">
        <v>15000</v>
      </c>
      <c r="F1665">
        <v>20.99</v>
      </c>
      <c r="G1665">
        <v>10.99</v>
      </c>
      <c r="H1665">
        <v>200</v>
      </c>
      <c r="I1665" t="inlineStr">
        <is>
          <t>戒指</t>
        </is>
      </c>
      <c r="J1665" t="inlineStr">
        <is>
          <t>0.01</t>
        </is>
      </c>
      <c r="K1665" t="inlineStr">
        <is>
          <t>🔥低粉爆款</t>
        </is>
      </c>
      <c r="L1665" t="inlineStr">
        <is>
          <t>4V的店</t>
        </is>
      </c>
      <c r="M1665">
        <v>1514</v>
      </c>
      <c r="N1665">
        <v>4.55</v>
      </c>
      <c r="O1665">
        <v>29000</v>
      </c>
      <c r="P1665" t="inlineStr">
        <is>
          <t>689997b762f1e700011bbca2</t>
        </is>
      </c>
      <c r="Q1665" t="inlineStr">
        <is>
          <t>🚫重复</t>
        </is>
      </c>
      <c r="R1665" t="inlineStr">
        <is>
          <t>14周</t>
        </is>
      </c>
      <c r="S1665" t="inlineStr">
        <is>
          <t>9.91</t>
        </is>
      </c>
      <c r="T1665" t="inlineStr">
        <is>
          <t>服饰穿搭</t>
        </is>
      </c>
      <c r="U1665" t="inlineStr">
        <is>
          <t>配饰</t>
        </is>
      </c>
      <c r="V1665" s="3">
        <v>46112.78107638889</v>
      </c>
      <c r="W1665" t="inlineStr">
        <is>
          <t>2026-Q1</t>
        </is>
      </c>
    </row>
    <row r="1666" ht="25.5" customHeight="1">
      <c r="A1666" t="inlineStr">
        <is>
          <t>仿真结婚婚戒情侣对戒男女假钻戒一对订婚婚礼仪式道具戒指可调节</t>
        </is>
      </c>
      <c r="B1666" t="inlineStr">
        <is>
          <t>recveTJWJNG5nI.jpg</t>
        </is>
      </c>
      <c r="C1666" s="2" t="str">
        <f>=HYPERLINK("https://xhslink.com/m/8yRifu9PEI9", "https://xhslink.com/m/8yRifu9PEI9")</f>
        <v>https://xhslink.com/m/8yRifu9PEI9</v>
      </c>
      <c r="D1666"/>
      <c r="E1666">
        <v>23000</v>
      </c>
      <c r="F1666">
        <v>33.88</v>
      </c>
      <c r="G1666">
        <v>29.47</v>
      </c>
      <c r="H1666">
        <v>200</v>
      </c>
      <c r="I1666" t="inlineStr">
        <is>
          <t>戒指</t>
        </is>
      </c>
      <c r="J1666" t="inlineStr">
        <is>
          <t>0.01</t>
        </is>
      </c>
      <c r="K1666" t="inlineStr">
        <is>
          <t>🔥低粉爆款</t>
        </is>
      </c>
      <c r="L1666" t="inlineStr">
        <is>
          <t>星星泡饭的店</t>
        </is>
      </c>
      <c r="M1666">
        <v>5668</v>
      </c>
      <c r="N1666">
        <v>4.79</v>
      </c>
      <c r="O1666">
        <v>29000</v>
      </c>
      <c r="P1666" t="inlineStr">
        <is>
          <t>68a8aaa795220f00014de10b</t>
        </is>
      </c>
      <c r="Q1666" t="inlineStr">
        <is>
          <t>🚫重复</t>
        </is>
      </c>
      <c r="R1666" t="inlineStr">
        <is>
          <t>14周</t>
        </is>
      </c>
      <c r="S1666" t="inlineStr">
        <is>
          <t>4.06</t>
        </is>
      </c>
      <c r="T1666" t="inlineStr">
        <is>
          <t>服饰穿搭</t>
        </is>
      </c>
      <c r="U1666" t="inlineStr">
        <is>
          <t>配饰</t>
        </is>
      </c>
      <c r="V1666" s="3">
        <v>46112.78107638889</v>
      </c>
      <c r="W1666" t="inlineStr">
        <is>
          <t>2026-Q1</t>
        </is>
      </c>
    </row>
    <row r="1667" ht="25.5" customHeight="1">
      <c r="A1667" t="inlineStr">
        <is>
          <t>【前2W单减10】波点糯米裤慵懒阔腿遛弯裤</t>
        </is>
      </c>
      <c r="B1667" t="inlineStr">
        <is>
          <t>recveTJWJNfa9v.jpg</t>
        </is>
      </c>
      <c r="C1667" s="2" t="str">
        <f>=HYPERLINK("https://xhslink.com/m/TBQaDm6Jfj", "https://xhslink.com/m/TBQaDm6Jfj")</f>
        <v>https://xhslink.com/m/TBQaDm6Jfj</v>
      </c>
      <c r="D1667"/>
      <c r="E1667">
        <v>19000</v>
      </c>
      <c r="F1667">
        <v>58.88</v>
      </c>
      <c r="G1667">
        <v>48.8</v>
      </c>
      <c r="H1667">
        <v>200</v>
      </c>
      <c r="I1667" t="inlineStr">
        <is>
          <t>裤子</t>
        </is>
      </c>
      <c r="J1667" t="inlineStr">
        <is>
          <t>0.01</t>
        </is>
      </c>
      <c r="K1667" t="inlineStr">
        <is>
          <t>🔥低粉爆款</t>
        </is>
      </c>
      <c r="L1667" t="inlineStr">
        <is>
          <t>小曦学姐穿搭的店</t>
        </is>
      </c>
      <c r="M1667">
        <v>1033</v>
      </c>
      <c r="N1667">
        <v>4.7</v>
      </c>
      <c r="O1667">
        <v>26000</v>
      </c>
      <c r="P1667" t="inlineStr">
        <is>
          <t>68d8fb4bb74afb00015c1611</t>
        </is>
      </c>
      <c r="Q1667" t="inlineStr">
        <is>
          <t>🚫重复</t>
        </is>
      </c>
      <c r="R1667" t="inlineStr">
        <is>
          <t>14周</t>
        </is>
      </c>
      <c r="S1667" t="inlineStr">
        <is>
          <t>18.39</t>
        </is>
      </c>
      <c r="T1667" t="inlineStr">
        <is>
          <t>服饰穿搭</t>
        </is>
      </c>
      <c r="U1667" t="inlineStr">
        <is>
          <t>女装</t>
        </is>
      </c>
      <c r="V1667" s="3">
        <v>46112.78107638889</v>
      </c>
      <c r="W1667" t="inlineStr">
        <is>
          <t>2026-Q1</t>
        </is>
      </c>
    </row>
    <row r="1668" ht="25.5" customHeight="1">
      <c r="A1668" t="inlineStr">
        <is>
          <t>浅蓝色微喇牛仔裤女2026春夏新款中低腰宽松显瘦百搭弹力喇叭裤子</t>
        </is>
      </c>
      <c r="B1668" t="inlineStr">
        <is>
          <t>recveTJWJNxw7R.jpg</t>
        </is>
      </c>
      <c r="C1668" s="2" t="str">
        <f>=HYPERLINK("https://xhslink.com/m/AIafkXYaBsu", "https://xhslink.com/m/AIafkXYaBsu")</f>
        <v>https://xhslink.com/m/AIafkXYaBsu</v>
      </c>
      <c r="D1668"/>
      <c r="E1668">
        <v>15000</v>
      </c>
      <c r="F1668">
        <v>109</v>
      </c>
      <c r="G1668">
        <v>78</v>
      </c>
      <c r="H1668">
        <v>200</v>
      </c>
      <c r="I1668" t="inlineStr">
        <is>
          <t>裤子</t>
        </is>
      </c>
      <c r="J1668" t="inlineStr">
        <is>
          <t>0.01</t>
        </is>
      </c>
      <c r="K1668"/>
      <c r="L1668" t="inlineStr">
        <is>
          <t>圈圈不转圈⭕的店</t>
        </is>
      </c>
      <c r="M1668">
        <v>30000</v>
      </c>
      <c r="N1668">
        <v>4.47</v>
      </c>
      <c r="O1668">
        <v>238000</v>
      </c>
      <c r="P1668" t="inlineStr">
        <is>
          <t>67f4ea09ab6a3e0001e71e61</t>
        </is>
      </c>
      <c r="Q1668" t="inlineStr">
        <is>
          <t>🚫重复</t>
        </is>
      </c>
      <c r="R1668" t="inlineStr">
        <is>
          <t>14周</t>
        </is>
      </c>
      <c r="S1668" t="inlineStr">
        <is>
          <t>0.50</t>
        </is>
      </c>
      <c r="T1668" t="inlineStr">
        <is>
          <t>服饰穿搭</t>
        </is>
      </c>
      <c r="U1668" t="inlineStr">
        <is>
          <t>女装</t>
        </is>
      </c>
      <c r="V1668" s="3">
        <v>46112.78107638889</v>
      </c>
      <c r="W1668" t="inlineStr">
        <is>
          <t>2026-Q1</t>
        </is>
      </c>
    </row>
    <row r="1669" ht="25.5" customHeight="1">
      <c r="A1669" t="inlineStr">
        <is>
          <t>【前3w立减10】铜氨丝阔腿裤垂坠感显瘦春夏通勤宽松运动裤</t>
        </is>
      </c>
      <c r="B1669" t="inlineStr">
        <is>
          <t>recveTJWJNZ2gs.jpg</t>
        </is>
      </c>
      <c r="C1669" s="2" t="str">
        <f>=HYPERLINK("https://xhslink.com/m/3HCXeUCup0Q", "https://xhslink.com/m/3HCXeUCup0Q")</f>
        <v>https://xhslink.com/m/3HCXeUCup0Q</v>
      </c>
      <c r="D1669"/>
      <c r="E1669">
        <v>25000</v>
      </c>
      <c r="F1669">
        <v>89.9</v>
      </c>
      <c r="G1669">
        <v>79.9</v>
      </c>
      <c r="H1669">
        <v>200</v>
      </c>
      <c r="I1669" t="inlineStr">
        <is>
          <t>裤子</t>
        </is>
      </c>
      <c r="J1669" t="inlineStr">
        <is>
          <t>0.01</t>
        </is>
      </c>
      <c r="K1669"/>
      <c r="L1669" t="inlineStr">
        <is>
          <t>小橘姐穿搭lin的店</t>
        </is>
      </c>
      <c r="M1669">
        <v>8632</v>
      </c>
      <c r="N1669">
        <v>4.17</v>
      </c>
      <c r="O1669">
        <v>202000</v>
      </c>
      <c r="P1669" t="inlineStr">
        <is>
          <t>68d11bd4f0063900013fe80d</t>
        </is>
      </c>
      <c r="Q1669" t="inlineStr">
        <is>
          <t>🚫重复</t>
        </is>
      </c>
      <c r="R1669" t="inlineStr">
        <is>
          <t>14周</t>
        </is>
      </c>
      <c r="S1669" t="inlineStr">
        <is>
          <t>2.90</t>
        </is>
      </c>
      <c r="T1669" t="inlineStr">
        <is>
          <t>服饰穿搭</t>
        </is>
      </c>
      <c r="U1669" t="inlineStr">
        <is>
          <t>女装</t>
        </is>
      </c>
      <c r="V1669" s="3">
        <v>46112.78107638889</v>
      </c>
      <c r="W1669" t="inlineStr">
        <is>
          <t>2026-Q1</t>
        </is>
      </c>
    </row>
    <row r="1670" ht="25.5" customHeight="1">
      <c r="A1670" t="inlineStr">
        <is>
          <t>自留推荐！！螺纹裤和空气裤都有 显瘦显腿长直筒裤</t>
        </is>
      </c>
      <c r="B1670" t="inlineStr">
        <is>
          <t>recveTJWJNYkeW.jpg</t>
        </is>
      </c>
      <c r="C1670" s="2" t="str">
        <f>=HYPERLINK("https://xhslink.com/m/6Wg1XEXqyx9", "https://xhslink.com/m/6Wg1XEXqyx9")</f>
        <v>https://xhslink.com/m/6Wg1XEXqyx9</v>
      </c>
      <c r="D1670"/>
      <c r="E1670">
        <v>32000</v>
      </c>
      <c r="F1670">
        <v>288</v>
      </c>
      <c r="G1670">
        <v>238</v>
      </c>
      <c r="H1670">
        <v>200</v>
      </c>
      <c r="I1670" t="inlineStr">
        <is>
          <t>裤子</t>
        </is>
      </c>
      <c r="J1670" t="inlineStr">
        <is>
          <t>0.01</t>
        </is>
      </c>
      <c r="K1670" t="inlineStr">
        <is>
          <t>🔥低粉爆款</t>
        </is>
      </c>
      <c r="L1670" t="inlineStr">
        <is>
          <t>一只胖胖小橘的店</t>
        </is>
      </c>
      <c r="M1670">
        <v>5156</v>
      </c>
      <c r="N1670">
        <v>4.77</v>
      </c>
      <c r="O1670">
        <v>71000</v>
      </c>
      <c r="P1670" t="inlineStr">
        <is>
          <t>65f40783840d640001adca2b</t>
        </is>
      </c>
      <c r="Q1670" t="inlineStr">
        <is>
          <t>🚫重复</t>
        </is>
      </c>
      <c r="R1670" t="inlineStr">
        <is>
          <t>14周</t>
        </is>
      </c>
      <c r="S1670" t="inlineStr">
        <is>
          <t>6.21</t>
        </is>
      </c>
      <c r="T1670" t="inlineStr">
        <is>
          <t>服饰穿搭</t>
        </is>
      </c>
      <c r="U1670" t="inlineStr">
        <is>
          <t>女装</t>
        </is>
      </c>
      <c r="V1670" s="3">
        <v>46112.78107638889</v>
      </c>
      <c r="W1670" t="inlineStr">
        <is>
          <t>2026-Q1</t>
        </is>
      </c>
    </row>
    <row r="1671" ht="25.5" customHeight="1">
      <c r="A1671" t="inlineStr">
        <is>
          <t>20款超长瑜伽遛弯裤 弹力显瘦高腰直筒休闲裤</t>
        </is>
      </c>
      <c r="B1671" t="inlineStr">
        <is>
          <t>recveTJWJNXmrs.jpg</t>
        </is>
      </c>
      <c r="C1671" s="2" t="str">
        <f>=HYPERLINK("https://xhslink.com/m/1DVcqPwSJWm", "https://xhslink.com/m/1DVcqPwSJWm")</f>
        <v>https://xhslink.com/m/1DVcqPwSJWm</v>
      </c>
      <c r="D1671"/>
      <c r="E1671">
        <v>25000</v>
      </c>
      <c r="F1671">
        <v>178</v>
      </c>
      <c r="G1671">
        <v>168</v>
      </c>
      <c r="H1671">
        <v>200</v>
      </c>
      <c r="I1671" t="inlineStr">
        <is>
          <t>裤子</t>
        </is>
      </c>
      <c r="J1671" t="inlineStr">
        <is>
          <t>0.01</t>
        </is>
      </c>
      <c r="K1671"/>
      <c r="L1671" t="inlineStr">
        <is>
          <t>别忘了吃饭的店</t>
        </is>
      </c>
      <c r="M1671">
        <v>23000</v>
      </c>
      <c r="N1671">
        <v>4.49</v>
      </c>
      <c r="O1671">
        <v>45000</v>
      </c>
      <c r="P1671" t="inlineStr">
        <is>
          <t>66519999dfedcf00016d9c20</t>
        </is>
      </c>
      <c r="Q1671"/>
      <c r="R1671" t="inlineStr">
        <is>
          <t>14周</t>
        </is>
      </c>
      <c r="S1671" t="inlineStr">
        <is>
          <t>1.09</t>
        </is>
      </c>
      <c r="T1671" t="inlineStr">
        <is>
          <t>服饰穿搭</t>
        </is>
      </c>
      <c r="U1671" t="inlineStr">
        <is>
          <t>女装</t>
        </is>
      </c>
      <c r="V1671" s="3">
        <v>46112.78107638889</v>
      </c>
      <c r="W1671" t="inlineStr">
        <is>
          <t>2026-Q1</t>
        </is>
      </c>
    </row>
    <row r="1672" ht="25.5" customHeight="1">
      <c r="A1672" t="inlineStr">
        <is>
          <t>夏季薄款小个子九分休闲裤女百搭显瘦通勤烟管裤</t>
        </is>
      </c>
      <c r="B1672" t="inlineStr">
        <is>
          <t>recveTJWJNDKea.jpg</t>
        </is>
      </c>
      <c r="C1672" s="2" t="str">
        <f>=HYPERLINK("https://xhslink.com/m/1I39L1x2NUD", "https://xhslink.com/m/1I39L1x2NUD")</f>
        <v>https://xhslink.com/m/1I39L1x2NUD</v>
      </c>
      <c r="D1672"/>
      <c r="E1672">
        <v>7393</v>
      </c>
      <c r="F1672">
        <v>99</v>
      </c>
      <c r="G1672">
        <v>89</v>
      </c>
      <c r="H1672">
        <v>200</v>
      </c>
      <c r="I1672" t="inlineStr">
        <is>
          <t>裤子</t>
        </is>
      </c>
      <c r="J1672" t="inlineStr">
        <is>
          <t>0.03</t>
        </is>
      </c>
      <c r="K1672" t="inlineStr">
        <is>
          <t>🔥低粉爆款</t>
        </is>
      </c>
      <c r="L1672" t="inlineStr">
        <is>
          <t>一口芝士饼的店</t>
        </is>
      </c>
      <c r="M1672">
        <v>640</v>
      </c>
      <c r="N1672">
        <v>4.75</v>
      </c>
      <c r="O1672">
        <v>8513</v>
      </c>
      <c r="P1672" t="inlineStr">
        <is>
          <t>6849b7a20b26930015f208ee</t>
        </is>
      </c>
      <c r="Q1672" t="inlineStr">
        <is>
          <t>🚫重复</t>
        </is>
      </c>
      <c r="R1672" t="inlineStr">
        <is>
          <t>14周</t>
        </is>
      </c>
      <c r="S1672" t="inlineStr">
        <is>
          <t>11.55</t>
        </is>
      </c>
      <c r="T1672" t="inlineStr">
        <is>
          <t>服饰穿搭</t>
        </is>
      </c>
      <c r="U1672" t="inlineStr">
        <is>
          <t>女装</t>
        </is>
      </c>
      <c r="V1672" s="3">
        <v>46112.78107638889</v>
      </c>
      <c r="W1672" t="inlineStr">
        <is>
          <t>2026-Q1</t>
        </is>
      </c>
    </row>
    <row r="1673" ht="25.5" customHeight="1">
      <c r="A1673" t="inlineStr">
        <is>
          <t>OKOKOK·【复古黑小阔腿】高腰显瘦弹力微喇叭直筒阔腿拖地裤子</t>
        </is>
      </c>
      <c r="B1673" t="inlineStr">
        <is>
          <t>recveTJWJNzAXH.jpg</t>
        </is>
      </c>
      <c r="C1673" s="2" t="str">
        <f>=HYPERLINK("https://xhslink.com/m/oVCjVKvBAH", "https://xhslink.com/m/oVCjVKvBAH")</f>
        <v>https://xhslink.com/m/oVCjVKvBAH</v>
      </c>
      <c r="D1673"/>
      <c r="E1673">
        <v>18000</v>
      </c>
      <c r="F1673">
        <v>125</v>
      </c>
      <c r="G1673">
        <v>105</v>
      </c>
      <c r="H1673">
        <v>200</v>
      </c>
      <c r="I1673" t="inlineStr">
        <is>
          <t>裤子</t>
        </is>
      </c>
      <c r="J1673" t="inlineStr">
        <is>
          <t>0.01</t>
        </is>
      </c>
      <c r="K1673"/>
      <c r="L1673" t="inlineStr">
        <is>
          <t>OKOKOK的店</t>
        </is>
      </c>
      <c r="M1673">
        <v>233000</v>
      </c>
      <c r="N1673">
        <v>4.51</v>
      </c>
      <c r="O1673">
        <v>1125000</v>
      </c>
      <c r="P1673" t="inlineStr">
        <is>
          <t>695a92e9dd18440001d1c32d</t>
        </is>
      </c>
      <c r="Q1673" t="inlineStr">
        <is>
          <t>🚫重复</t>
        </is>
      </c>
      <c r="R1673" t="inlineStr">
        <is>
          <t>14周</t>
        </is>
      </c>
      <c r="S1673" t="inlineStr">
        <is>
          <t>0.08</t>
        </is>
      </c>
      <c r="T1673" t="inlineStr">
        <is>
          <t>服饰穿搭</t>
        </is>
      </c>
      <c r="U1673" t="inlineStr">
        <is>
          <t>女装</t>
        </is>
      </c>
      <c r="V1673" s="3">
        <v>46112.78107638889</v>
      </c>
      <c r="W1673" t="inlineStr">
        <is>
          <t>2026-Q1</t>
        </is>
      </c>
    </row>
    <row r="1674" ht="25.5" customHeight="1">
      <c r="A1674" t="inlineStr">
        <is>
          <t>春夏新款 韩系松弛感弯刀休闲裤女垂感直筒裤高腰遮胯显瘦长裤</t>
        </is>
      </c>
      <c r="B1674" t="inlineStr">
        <is>
          <t>recveTJWJNsguf.jpg</t>
        </is>
      </c>
      <c r="C1674" s="2" t="str">
        <f>=HYPERLINK("https://xhslink.com/m/82hcGykm17H", "https://xhslink.com/m/82hcGykm17H")</f>
        <v>https://xhslink.com/m/82hcGykm17H</v>
      </c>
      <c r="D1674"/>
      <c r="E1674">
        <v>2385</v>
      </c>
      <c r="F1674">
        <v>139</v>
      </c>
      <c r="G1674">
        <v>99.89</v>
      </c>
      <c r="H1674">
        <v>200</v>
      </c>
      <c r="I1674" t="inlineStr">
        <is>
          <t>裤子</t>
        </is>
      </c>
      <c r="J1674" t="inlineStr">
        <is>
          <t>0.08</t>
        </is>
      </c>
      <c r="K1674"/>
      <c r="L1674" t="inlineStr">
        <is>
          <t>思思酱耶～的店</t>
        </is>
      </c>
      <c r="M1674">
        <v>6060</v>
      </c>
      <c r="N1674">
        <v>4.54</v>
      </c>
      <c r="O1674">
        <v>35000</v>
      </c>
      <c r="P1674" t="inlineStr">
        <is>
          <t>68a2f3275251bf00014c83f6</t>
        </is>
      </c>
      <c r="Q1674" t="inlineStr">
        <is>
          <t>🚫重复</t>
        </is>
      </c>
      <c r="R1674" t="inlineStr">
        <is>
          <t>14周</t>
        </is>
      </c>
      <c r="S1674" t="inlineStr">
        <is>
          <t>0.39</t>
        </is>
      </c>
      <c r="T1674" t="inlineStr">
        <is>
          <t>服饰穿搭</t>
        </is>
      </c>
      <c r="U1674" t="inlineStr">
        <is>
          <t>女装</t>
        </is>
      </c>
      <c r="V1674" s="3">
        <v>46112.78107638889</v>
      </c>
      <c r="W1674" t="inlineStr">
        <is>
          <t>2026-Q1</t>
        </is>
      </c>
    </row>
    <row r="1675" ht="25.5" customHeight="1">
      <c r="A1675" t="inlineStr">
        <is>
          <t>AUTUZCCI · 高腰阔腿牛仔裤显瘦新款港风复古垂感直筒拖地裤小个子7498</t>
        </is>
      </c>
      <c r="B1675" t="inlineStr">
        <is>
          <t>recveTJWJNBWFz.jpg</t>
        </is>
      </c>
      <c r="C1675" s="2" t="str">
        <f>=HYPERLINK("https://xhslink.com/m/7D3CcNrdeW9", "https://xhslink.com/m/7D3CcNrdeW9")</f>
        <v>https://xhslink.com/m/7D3CcNrdeW9</v>
      </c>
      <c r="D1675"/>
      <c r="E1675">
        <v>22000</v>
      </c>
      <c r="F1675">
        <v>179</v>
      </c>
      <c r="G1675"/>
      <c r="H1675">
        <v>200</v>
      </c>
      <c r="I1675" t="inlineStr">
        <is>
          <t>裤子</t>
        </is>
      </c>
      <c r="J1675" t="inlineStr">
        <is>
          <t>0.01</t>
        </is>
      </c>
      <c r="K1675"/>
      <c r="L1675" t="inlineStr">
        <is>
          <t>AUTUZCCI的店</t>
        </is>
      </c>
      <c r="M1675">
        <v>31000</v>
      </c>
      <c r="N1675">
        <v>4.51</v>
      </c>
      <c r="O1675">
        <v>83000</v>
      </c>
      <c r="P1675" t="inlineStr">
        <is>
          <t>67b70f087b3de40001b1a0c3</t>
        </is>
      </c>
      <c r="Q1675" t="inlineStr">
        <is>
          <t>🚫重复</t>
        </is>
      </c>
      <c r="R1675" t="inlineStr">
        <is>
          <t>14周</t>
        </is>
      </c>
      <c r="S1675" t="inlineStr">
        <is>
          <t>0.71</t>
        </is>
      </c>
      <c r="T1675" t="inlineStr">
        <is>
          <t>服饰穿搭</t>
        </is>
      </c>
      <c r="U1675" t="inlineStr">
        <is>
          <t>女装</t>
        </is>
      </c>
      <c r="V1675" s="3">
        <v>46112.78107638889</v>
      </c>
      <c r="W1675" t="inlineStr">
        <is>
          <t>2026-Q1</t>
        </is>
      </c>
    </row>
    <row r="1676" ht="25.5" customHeight="1">
      <c r="A1676" t="inlineStr">
        <is>
          <t>repor锐珀尔 · 腰部按摩仪P40颈椎按摩器背部靠枕肩颈揉捏鸭小梨按摩枕生日礼物 · P40新年升级款【升级4000mAh大电池】【送红包春联】</t>
        </is>
      </c>
      <c r="B1676" t="inlineStr">
        <is>
          <t>recveTJWJN4Ik8.jpg</t>
        </is>
      </c>
      <c r="C1676" s="2" t="str">
        <f>=HYPERLINK("https://www.xiaohongshu.com/goods-detail/6955e2f2b8f0bb000150454c", "https://www.xiaohongshu.com/goods-detail/6955e2f2b8f0bb000150454c")</f>
        <v>https://www.xiaohongshu.com/goods-detail/6955e2f2b8f0bb000150454c</v>
      </c>
      <c r="D1676"/>
      <c r="E1676">
        <v>77000</v>
      </c>
      <c r="F1676">
        <v>658</v>
      </c>
      <c r="G1676">
        <v>308</v>
      </c>
      <c r="H1676">
        <v>200</v>
      </c>
      <c r="I1676" t="inlineStr">
        <is>
          <t>礼物</t>
        </is>
      </c>
      <c r="J1676" t="inlineStr">
        <is>
          <t>0.00</t>
        </is>
      </c>
      <c r="K1676"/>
      <c r="L1676" t="inlineStr">
        <is>
          <t>Repor锐珀尔旗舰店</t>
        </is>
      </c>
      <c r="M1676">
        <v>27000</v>
      </c>
      <c r="N1676">
        <v>4.69</v>
      </c>
      <c r="O1676">
        <v>127000</v>
      </c>
      <c r="P1676" t="inlineStr">
        <is>
          <t>6955e2f2b8f0bb000150454c</t>
        </is>
      </c>
      <c r="Q1676"/>
      <c r="R1676" t="inlineStr">
        <is>
          <t>14周</t>
        </is>
      </c>
      <c r="S1676" t="inlineStr">
        <is>
          <t>2.85</t>
        </is>
      </c>
      <c r="T1676" t="inlineStr">
        <is>
          <t>服饰穿搭</t>
        </is>
      </c>
      <c r="U1676" t="inlineStr">
        <is>
          <t>配饰</t>
        </is>
      </c>
      <c r="V1676" s="3">
        <v>46112.78107638889</v>
      </c>
      <c r="W1676" t="inlineStr">
        <is>
          <t>2026-Q1</t>
        </is>
      </c>
    </row>
    <row r="1677" ht="25.5" customHeight="1">
      <c r="A1677" t="inlineStr">
        <is>
          <t>Udoland · 哑铃皂身体健康洗澡健身沐浴皂原创设计精油皂手工皂礼品 · 白色款 48小时发货</t>
        </is>
      </c>
      <c r="B1677" t="inlineStr">
        <is>
          <t>recveTJWJNgMMq.jpg</t>
        </is>
      </c>
      <c r="C1677" s="2" t="str">
        <f>=HYPERLINK("https://www.xiaohongshu.com/goods-detail/643625fe6cb1bb0001479645", "https://www.xiaohongshu.com/goods-detail/643625fe6cb1bb0001479645")</f>
        <v>https://www.xiaohongshu.com/goods-detail/643625fe6cb1bb0001479645</v>
      </c>
      <c r="D1677"/>
      <c r="E1677">
        <v>18000</v>
      </c>
      <c r="F1677">
        <v>139</v>
      </c>
      <c r="G1677">
        <v>122.32</v>
      </c>
      <c r="H1677">
        <v>200</v>
      </c>
      <c r="I1677" t="inlineStr">
        <is>
          <t>礼物</t>
        </is>
      </c>
      <c r="J1677" t="inlineStr">
        <is>
          <t>0.01</t>
        </is>
      </c>
      <c r="K1677"/>
      <c r="L1677" t="inlineStr">
        <is>
          <t>Udoland旗舰店</t>
        </is>
      </c>
      <c r="M1677">
        <v>12000</v>
      </c>
      <c r="N1677">
        <v>4.52</v>
      </c>
      <c r="O1677">
        <v>65000</v>
      </c>
      <c r="P1677" t="inlineStr">
        <is>
          <t>643625fe6cb1bb0001479645</t>
        </is>
      </c>
      <c r="Q1677"/>
      <c r="R1677" t="inlineStr">
        <is>
          <t>14周</t>
        </is>
      </c>
      <c r="S1677" t="inlineStr">
        <is>
          <t>1.50</t>
        </is>
      </c>
      <c r="T1677" t="inlineStr">
        <is>
          <t>运动潮玩</t>
        </is>
      </c>
      <c r="U1677" t="inlineStr">
        <is>
          <t>运动户外装备</t>
        </is>
      </c>
      <c r="V1677" s="3">
        <v>46112.78107638889</v>
      </c>
      <c r="W1677" t="inlineStr">
        <is>
          <t>2026-Q1</t>
        </is>
      </c>
    </row>
    <row r="1678" ht="25.5" customHeight="1">
      <c r="A1678" t="inlineStr">
        <is>
          <t>Ladoverna · 花果香樱花润肤香氛身体乳礼盒装女士沐浴露套装送女友 · 花果香氛礼盒（身体乳250g+沐浴油250ml+护手霜30g）</t>
        </is>
      </c>
      <c r="B1678" t="inlineStr">
        <is>
          <t>recveTJWJNaqLM.jpg</t>
        </is>
      </c>
      <c r="C1678" s="2" t="str">
        <f>=HYPERLINK("https://www.xiaohongshu.com/goods-detail/68edce5ece94ee0001589787", "https://www.xiaohongshu.com/goods-detail/68edce5ece94ee0001589787")</f>
        <v>https://www.xiaohongshu.com/goods-detail/68edce5ece94ee0001589787</v>
      </c>
      <c r="D1678"/>
      <c r="E1678">
        <v>13000</v>
      </c>
      <c r="F1678">
        <v>99.9</v>
      </c>
      <c r="G1678">
        <v>39.9</v>
      </c>
      <c r="H1678">
        <v>200</v>
      </c>
      <c r="I1678" t="inlineStr">
        <is>
          <t>礼物</t>
        </is>
      </c>
      <c r="J1678" t="inlineStr">
        <is>
          <t>0.02</t>
        </is>
      </c>
      <c r="K1678"/>
      <c r="L1678" t="inlineStr">
        <is>
          <t>Ladoverna旗舰店</t>
        </is>
      </c>
      <c r="M1678">
        <v>4445</v>
      </c>
      <c r="N1678">
        <v>4.62</v>
      </c>
      <c r="O1678">
        <v>33000</v>
      </c>
      <c r="P1678" t="inlineStr">
        <is>
          <t>68edce5ece94ee0001589787</t>
        </is>
      </c>
      <c r="Q1678"/>
      <c r="R1678" t="inlineStr">
        <is>
          <t>14周</t>
        </is>
      </c>
      <c r="S1678" t="inlineStr">
        <is>
          <t>2.92</t>
        </is>
      </c>
      <c r="T1678" t="inlineStr">
        <is>
          <t>美妆个护</t>
        </is>
      </c>
      <c r="U1678" t="inlineStr">
        <is>
          <t>个人护理</t>
        </is>
      </c>
      <c r="V1678" s="3">
        <v>46112.78107638889</v>
      </c>
      <c r="W1678" t="inlineStr">
        <is>
          <t>2026-Q1</t>
        </is>
      </c>
    </row>
    <row r="1679" ht="25.5" customHeight="1">
      <c r="A1679" t="inlineStr">
        <is>
          <t>【半披发抓夹合集】小闪钻冰淇淋色可爱少女质感小巧精致抓夹</t>
        </is>
      </c>
      <c r="B1679" t="inlineStr">
        <is>
          <t>recveTJWJNf4z4.jpg</t>
        </is>
      </c>
      <c r="C1679" s="2" t="str">
        <f>=HYPERLINK("https://xhslink.com/m/5JDiPU2VbKK", "https://xhslink.com/m/5JDiPU2VbKK")</f>
        <v>https://xhslink.com/m/5JDiPU2VbKK</v>
      </c>
      <c r="D1679"/>
      <c r="E1679">
        <v>56000</v>
      </c>
      <c r="F1679">
        <v>20.9</v>
      </c>
      <c r="G1679">
        <v>6.9</v>
      </c>
      <c r="H1679">
        <v>200</v>
      </c>
      <c r="I1679" t="inlineStr">
        <is>
          <t>抓夹</t>
        </is>
      </c>
      <c r="J1679" t="inlineStr">
        <is>
          <t>0.00</t>
        </is>
      </c>
      <c r="K1679"/>
      <c r="L1679" t="inlineStr">
        <is>
          <t>薄荷巧克力ii的店</t>
        </is>
      </c>
      <c r="M1679">
        <v>83000</v>
      </c>
      <c r="N1679">
        <v>4.43</v>
      </c>
      <c r="O1679">
        <v>770000</v>
      </c>
      <c r="P1679" t="inlineStr">
        <is>
          <t>68b1173054c0f300019221bd</t>
        </is>
      </c>
      <c r="Q1679" t="inlineStr">
        <is>
          <t>🚫重复</t>
        </is>
      </c>
      <c r="R1679" t="inlineStr">
        <is>
          <t>14周</t>
        </is>
      </c>
      <c r="S1679" t="inlineStr">
        <is>
          <t>0.67</t>
        </is>
      </c>
      <c r="T1679" t="inlineStr">
        <is>
          <t>服饰穿搭</t>
        </is>
      </c>
      <c r="U1679" t="inlineStr">
        <is>
          <t>配饰</t>
        </is>
      </c>
      <c r="V1679" s="3">
        <v>46112.78107638889</v>
      </c>
      <c r="W1679" t="inlineStr">
        <is>
          <t>2026-Q1</t>
        </is>
      </c>
    </row>
    <row r="1680" ht="25.5" customHeight="1">
      <c r="A1680" t="inlineStr">
        <is>
          <t>BarieCat · 日落甜酒梦玲同款三明治工艺蜜桃可可小青心美瞳日抛月抛半年抛</t>
        </is>
      </c>
      <c r="B1680" t="inlineStr">
        <is>
          <t>recveTJWJNw8qB.jpg</t>
        </is>
      </c>
      <c r="C1680" s="2" t="str">
        <f>=HYPERLINK("https://xhslink.com/m/UfubA26qSp", "https://xhslink.com/m/UfubA26qSp")</f>
        <v>https://xhslink.com/m/UfubA26qSp</v>
      </c>
      <c r="D1680"/>
      <c r="E1680">
        <v>61000</v>
      </c>
      <c r="F1680">
        <v>118</v>
      </c>
      <c r="G1680">
        <v>78</v>
      </c>
      <c r="H1680">
        <v>200</v>
      </c>
      <c r="I1680" t="inlineStr">
        <is>
          <t>美瞳</t>
        </is>
      </c>
      <c r="J1680" t="inlineStr">
        <is>
          <t>0.00</t>
        </is>
      </c>
      <c r="K1680"/>
      <c r="L1680" t="inlineStr">
        <is>
          <t>lenglengcon·美瞳的店</t>
        </is>
      </c>
      <c r="M1680">
        <v>188000</v>
      </c>
      <c r="N1680">
        <v>4.76</v>
      </c>
      <c r="O1680">
        <v>287000</v>
      </c>
      <c r="P1680" t="inlineStr">
        <is>
          <t>637dbb5fd6df4700010acac7</t>
        </is>
      </c>
      <c r="Q1680" t="inlineStr">
        <is>
          <t>🚫重复</t>
        </is>
      </c>
      <c r="R1680" t="inlineStr">
        <is>
          <t>14周</t>
        </is>
      </c>
      <c r="S1680" t="inlineStr">
        <is>
          <t>0.32</t>
        </is>
      </c>
      <c r="T1680" t="inlineStr">
        <is>
          <t>美食滋补</t>
        </is>
      </c>
      <c r="U1680" t="inlineStr">
        <is>
          <t>酒水冲饮</t>
        </is>
      </c>
      <c r="V1680" s="3">
        <v>46112.78107638889</v>
      </c>
      <c r="W1680" t="inlineStr">
        <is>
          <t>2026-Q1</t>
        </is>
      </c>
    </row>
    <row r="1681" ht="25.5" customHeight="1">
      <c r="A1681" t="inlineStr">
        <is>
          <t>Bollycon · 多巴胺系列荆棘花园日抛柠檬海盐湖猫眼韩产美瞳显色隐形眼镜10片</t>
        </is>
      </c>
      <c r="B1681" t="inlineStr">
        <is>
          <t>recveTJWJNGLlo.jpg</t>
        </is>
      </c>
      <c r="C1681" s="2" t="str">
        <f>=HYPERLINK("https://xhslink.com/m/1lXNmE3I67u", "https://xhslink.com/m/1lXNmE3I67u")</f>
        <v>https://xhslink.com/m/1lXNmE3I67u</v>
      </c>
      <c r="D1681"/>
      <c r="E1681">
        <v>45000</v>
      </c>
      <c r="F1681">
        <v>88</v>
      </c>
      <c r="G1681"/>
      <c r="H1681">
        <v>200</v>
      </c>
      <c r="I1681" t="inlineStr">
        <is>
          <t>美瞳</t>
        </is>
      </c>
      <c r="J1681" t="inlineStr">
        <is>
          <t>0.00</t>
        </is>
      </c>
      <c r="K1681"/>
      <c r="L1681" t="inlineStr">
        <is>
          <t>Bollycon美瞳旗舰店</t>
        </is>
      </c>
      <c r="M1681">
        <v>46000</v>
      </c>
      <c r="N1681">
        <v>4.66</v>
      </c>
      <c r="O1681">
        <v>151000</v>
      </c>
      <c r="P1681" t="inlineStr">
        <is>
          <t>668cd2f26827e90001d8111c</t>
        </is>
      </c>
      <c r="Q1681"/>
      <c r="R1681" t="inlineStr">
        <is>
          <t>14周</t>
        </is>
      </c>
      <c r="S1681" t="inlineStr">
        <is>
          <t>0.98</t>
        </is>
      </c>
      <c r="T1681" t="inlineStr">
        <is>
          <t>美妆个护</t>
        </is>
      </c>
      <c r="U1681" t="inlineStr">
        <is>
          <t>护肤彩妆</t>
        </is>
      </c>
      <c r="V1681" s="3">
        <v>46112.78107638889</v>
      </c>
      <c r="W1681" t="inlineStr">
        <is>
          <t>2026-Q1</t>
        </is>
      </c>
    </row>
    <row r="1682" ht="25.5" customHeight="1">
      <c r="A1682" t="inlineStr">
        <is>
          <t>berrylook · 【顺丰包邮】小橘子小曼谷有点甜三明治日抛10片</t>
        </is>
      </c>
      <c r="B1682" t="inlineStr">
        <is>
          <t>recveTJWJN2n1V.jpg</t>
        </is>
      </c>
      <c r="C1682" s="2" t="str">
        <f>=HYPERLINK("https://xhslink.com/m/17heLfp53vA", "https://xhslink.com/m/17heLfp53vA")</f>
        <v>https://xhslink.com/m/17heLfp53vA</v>
      </c>
      <c r="D1682"/>
      <c r="E1682">
        <v>27000</v>
      </c>
      <c r="F1682">
        <v>150</v>
      </c>
      <c r="G1682">
        <v>78</v>
      </c>
      <c r="H1682">
        <v>200</v>
      </c>
      <c r="I1682" t="inlineStr">
        <is>
          <t>美瞳</t>
        </is>
      </c>
      <c r="J1682" t="inlineStr">
        <is>
          <t>0.01</t>
        </is>
      </c>
      <c r="K1682"/>
      <c r="L1682" t="inlineStr">
        <is>
          <t>lenglengcon·美瞳的店</t>
        </is>
      </c>
      <c r="M1682">
        <v>188000</v>
      </c>
      <c r="N1682">
        <v>4.76</v>
      </c>
      <c r="O1682">
        <v>287000</v>
      </c>
      <c r="P1682" t="inlineStr">
        <is>
          <t>674a757693a03000018b9ce6</t>
        </is>
      </c>
      <c r="Q1682" t="inlineStr">
        <is>
          <t>🚫重复</t>
        </is>
      </c>
      <c r="R1682" t="inlineStr">
        <is>
          <t>14周</t>
        </is>
      </c>
      <c r="S1682" t="inlineStr">
        <is>
          <t>0.14</t>
        </is>
      </c>
      <c r="T1682" t="inlineStr">
        <is>
          <t>美妆个护</t>
        </is>
      </c>
      <c r="U1682" t="inlineStr">
        <is>
          <t>护肤彩妆</t>
        </is>
      </c>
      <c r="V1682" s="3">
        <v>46112.78107638889</v>
      </c>
      <c r="W1682" t="inlineStr">
        <is>
          <t>2026-Q1</t>
        </is>
      </c>
    </row>
    <row r="1683" ht="25.5" customHeight="1">
      <c r="A1683" t="inlineStr">
        <is>
          <t>2026新款美式灰色棒球帽女款软顶北极熊鸭舌帽男款显脸小加大帽子</t>
        </is>
      </c>
      <c r="B1683" t="inlineStr">
        <is>
          <t>recvf2aASa6GmR.jpg</t>
        </is>
      </c>
      <c r="C1683" s="2" t="str">
        <f>=HYPERLINK("https://xhslink.com/m/8gVkKQjwXUh", "https://xhslink.com/m/8gVkKQjwXUh")</f>
        <v>https://xhslink.com/m/8gVkKQjwXUh</v>
      </c>
      <c r="D1683"/>
      <c r="E1683">
        <v>42000</v>
      </c>
      <c r="F1683">
        <v>39.9</v>
      </c>
      <c r="G1683">
        <v>19.9</v>
      </c>
      <c r="H1683">
        <v>200</v>
      </c>
      <c r="I1683" t="inlineStr">
        <is>
          <t>运动帽</t>
        </is>
      </c>
      <c r="J1683" t="inlineStr">
        <is>
          <t>0.00</t>
        </is>
      </c>
      <c r="K1683" t="inlineStr">
        <is>
          <t>🔥低粉爆款</t>
        </is>
      </c>
      <c r="L1683" t="inlineStr">
        <is>
          <t>新潮帽社的店</t>
        </is>
      </c>
      <c r="M1683">
        <v>2479</v>
      </c>
      <c r="N1683">
        <v>4.38</v>
      </c>
      <c r="O1683">
        <v>73000</v>
      </c>
      <c r="P1683" t="inlineStr">
        <is>
          <t>64b9e66e21fe69000104dc0e</t>
        </is>
      </c>
      <c r="Q1683"/>
      <c r="R1683" t="inlineStr">
        <is>
          <t>14周</t>
        </is>
      </c>
      <c r="S1683" t="inlineStr">
        <is>
          <t>16.94</t>
        </is>
      </c>
      <c r="T1683" t="inlineStr">
        <is>
          <t>服饰穿搭</t>
        </is>
      </c>
      <c r="U1683" t="inlineStr">
        <is>
          <t>男装</t>
        </is>
      </c>
      <c r="V1683" s="3">
        <v>46112.78107638889</v>
      </c>
      <c r="W1683" t="inlineStr">
        <is>
          <t>2026-Q1</t>
        </is>
      </c>
    </row>
    <row r="1684" ht="25.5" customHeight="1">
      <c r="A1684" t="inlineStr">
        <is>
          <t>2026春夏季新款显脸小韩系ins风简约蓝色字母刺绣棒球帽鸭舌帽子</t>
        </is>
      </c>
      <c r="B1684" t="inlineStr">
        <is>
          <t>recvf2aASaqBfS.jpg</t>
        </is>
      </c>
      <c r="C1684" s="2" t="str">
        <f>=HYPERLINK("https://xhslink.com/m/36AWK47BGUF", "https://xhslink.com/m/36AWK47BGUF")</f>
        <v>https://xhslink.com/m/36AWK47BGUF</v>
      </c>
      <c r="D1684"/>
      <c r="E1684">
        <v>1620</v>
      </c>
      <c r="F1684">
        <v>39.9</v>
      </c>
      <c r="G1684">
        <v>33.91</v>
      </c>
      <c r="H1684">
        <v>200</v>
      </c>
      <c r="I1684" t="inlineStr">
        <is>
          <t>运动帽</t>
        </is>
      </c>
      <c r="J1684" t="inlineStr">
        <is>
          <t>0.12</t>
        </is>
      </c>
      <c r="K1684"/>
      <c r="L1684" t="inlineStr">
        <is>
          <t>aaaabanana的店</t>
        </is>
      </c>
      <c r="M1684">
        <v>1897</v>
      </c>
      <c r="N1684">
        <v>4.66</v>
      </c>
      <c r="O1684">
        <v>10000</v>
      </c>
      <c r="P1684" t="inlineStr">
        <is>
          <t>6970eda1b05f880001fa2036</t>
        </is>
      </c>
      <c r="Q1684" t="inlineStr">
        <is>
          <t>🚫重复</t>
        </is>
      </c>
      <c r="R1684" t="inlineStr">
        <is>
          <t>14周</t>
        </is>
      </c>
      <c r="S1684" t="inlineStr">
        <is>
          <t>0.85</t>
        </is>
      </c>
      <c r="T1684" t="inlineStr">
        <is>
          <t>服饰穿搭</t>
        </is>
      </c>
      <c r="U1684" t="inlineStr">
        <is>
          <t>配饰</t>
        </is>
      </c>
      <c r="V1684" s="3">
        <v>46112.78107638889</v>
      </c>
      <c r="W1684" t="inlineStr">
        <is>
          <t>2026-Q1</t>
        </is>
      </c>
    </row>
    <row r="1685" ht="25.5" customHeight="1">
      <c r="A1685" t="inlineStr">
        <is>
          <t>【十指相扣小水母】原创治愈系水母好rua柔软解压多巴胺闺蜜挂件</t>
        </is>
      </c>
      <c r="B1685" t="inlineStr">
        <is>
          <t>recvf2aASaT48R.jpg</t>
        </is>
      </c>
      <c r="C1685" s="2" t="str">
        <f>=HYPERLINK("https://xhslink.com/m/As6yoJZwcNR", "https://xhslink.com/m/As6yoJZwcNR")</f>
        <v>https://xhslink.com/m/As6yoJZwcNR</v>
      </c>
      <c r="D1685"/>
      <c r="E1685">
        <v>9336</v>
      </c>
      <c r="F1685">
        <v>20.9</v>
      </c>
      <c r="G1685"/>
      <c r="H1685">
        <v>200</v>
      </c>
      <c r="I1685" t="inlineStr">
        <is>
          <t>毛绒玩偶</t>
        </is>
      </c>
      <c r="J1685" t="inlineStr">
        <is>
          <t>0.02</t>
        </is>
      </c>
      <c r="K1685"/>
      <c r="L1685" t="inlineStr">
        <is>
          <t>辛安小角落的店</t>
        </is>
      </c>
      <c r="M1685">
        <v>124000</v>
      </c>
      <c r="N1685">
        <v>4.53</v>
      </c>
      <c r="O1685">
        <v>138000</v>
      </c>
      <c r="P1685" t="inlineStr">
        <is>
          <t>6967c3deeb2ffb0001df44e6</t>
        </is>
      </c>
      <c r="Q1685" t="inlineStr">
        <is>
          <t>🚫重复</t>
        </is>
      </c>
      <c r="R1685" t="inlineStr">
        <is>
          <t>14周</t>
        </is>
      </c>
      <c r="S1685" t="inlineStr">
        <is>
          <t>0.08</t>
        </is>
      </c>
      <c r="T1685" t="inlineStr">
        <is>
          <t>母婴亲子</t>
        </is>
      </c>
      <c r="U1685" t="inlineStr">
        <is>
          <t>玩具早教</t>
        </is>
      </c>
      <c r="V1685" s="3">
        <v>46112.78107638889</v>
      </c>
      <c r="W1685" t="inlineStr">
        <is>
          <t>2026-Q1</t>
        </is>
      </c>
    </row>
    <row r="1686" ht="25.5" customHeight="1">
      <c r="A1686" t="inlineStr">
        <is>
          <t>其他 · Tarot韦斯特经典高颜值78张塔桌罗新款原创学习塔牌粉色蝴蝶卡牌</t>
        </is>
      </c>
      <c r="B1686" t="inlineStr">
        <is>
          <t>recvf2aASaB9U8.jpg</t>
        </is>
      </c>
      <c r="C1686" s="2" t="str">
        <f>=HYPERLINK("https://xhslink.com/m/6lmhljFTYMw", "https://xhslink.com/m/6lmhljFTYMw")</f>
        <v>https://xhslink.com/m/6lmhljFTYMw</v>
      </c>
      <c r="D1686"/>
      <c r="E1686">
        <v>4498</v>
      </c>
      <c r="F1686">
        <v>19.9</v>
      </c>
      <c r="G1686">
        <v>9.9</v>
      </c>
      <c r="H1686">
        <v>200</v>
      </c>
      <c r="I1686" t="inlineStr">
        <is>
          <t>卡牌</t>
        </is>
      </c>
      <c r="J1686" t="inlineStr">
        <is>
          <t>0.04</t>
        </is>
      </c>
      <c r="K1686"/>
      <c r="L1686" t="inlineStr">
        <is>
          <t>皮卡丘的啾的店</t>
        </is>
      </c>
      <c r="M1686">
        <v>2316</v>
      </c>
      <c r="N1686">
        <v>4.3</v>
      </c>
      <c r="O1686">
        <v>6166</v>
      </c>
      <c r="P1686" t="inlineStr">
        <is>
          <t>6889f1fa186d10001518cda2</t>
        </is>
      </c>
      <c r="Q1686" t="inlineStr">
        <is>
          <t>🚫重复</t>
        </is>
      </c>
      <c r="R1686" t="inlineStr">
        <is>
          <t>14周</t>
        </is>
      </c>
      <c r="S1686" t="inlineStr">
        <is>
          <t>1.94</t>
        </is>
      </c>
      <c r="T1686" t="inlineStr">
        <is>
          <t>运动潮玩</t>
        </is>
      </c>
      <c r="U1686" t="inlineStr">
        <is>
          <t>潮玩手办</t>
        </is>
      </c>
      <c r="V1686" s="3">
        <v>46112.78107638889</v>
      </c>
      <c r="W1686" t="inlineStr">
        <is>
          <t>2026-Q1</t>
        </is>
      </c>
    </row>
    <row r="1687" ht="25.5" customHeight="1">
      <c r="A1687" t="inlineStr">
        <is>
          <t>【多巴胺】晨总自制夏季外穿修身显瘦短款百搭纯色美背背心女</t>
        </is>
      </c>
      <c r="B1687" t="inlineStr">
        <is>
          <t>recvf2aASakNAO.jpg</t>
        </is>
      </c>
      <c r="C1687" s="2" t="str">
        <f>=HYPERLINK("https://xhslink.com/m/6YwClJzJqYt", "https://xhslink.com/m/6YwClJzJqYt")</f>
        <v>https://xhslink.com/m/6YwClJzJqYt</v>
      </c>
      <c r="D1687"/>
      <c r="E1687">
        <v>42000</v>
      </c>
      <c r="F1687">
        <v>49</v>
      </c>
      <c r="G1687">
        <v>44</v>
      </c>
      <c r="H1687">
        <v>200</v>
      </c>
      <c r="I1687" t="inlineStr">
        <is>
          <t>背心吊带</t>
        </is>
      </c>
      <c r="J1687" t="inlineStr">
        <is>
          <t>0.00</t>
        </is>
      </c>
      <c r="K1687"/>
      <c r="L1687" t="inlineStr">
        <is>
          <t>晨总家的店</t>
        </is>
      </c>
      <c r="M1687">
        <v>33000</v>
      </c>
      <c r="N1687">
        <v>4.58</v>
      </c>
      <c r="O1687">
        <v>129000</v>
      </c>
      <c r="P1687" t="inlineStr">
        <is>
          <t>66752106e615be0001accd9e</t>
        </is>
      </c>
      <c r="Q1687" t="inlineStr">
        <is>
          <t>🚫重复</t>
        </is>
      </c>
      <c r="R1687" t="inlineStr">
        <is>
          <t>14周</t>
        </is>
      </c>
      <c r="S1687" t="inlineStr">
        <is>
          <t>1.27</t>
        </is>
      </c>
      <c r="T1687" t="inlineStr">
        <is>
          <t>服饰穿搭</t>
        </is>
      </c>
      <c r="U1687" t="inlineStr">
        <is>
          <t>女装</t>
        </is>
      </c>
      <c r="V1687" s="3">
        <v>46112.78107638889</v>
      </c>
      <c r="W1687" t="inlineStr">
        <is>
          <t>2026-Q1</t>
        </is>
      </c>
    </row>
    <row r="1688" ht="25.5" customHeight="1">
      <c r="A1688" t="inlineStr">
        <is>
          <t>瑜伽服女健身背心无袖速干运动打底衫夏季瑜伽健身透气显瘦上衣</t>
        </is>
      </c>
      <c r="B1688" t="inlineStr">
        <is>
          <t>recvf2aASajO6B.jpg</t>
        </is>
      </c>
      <c r="C1688" s="2" t="str">
        <f>=HYPERLINK("https://xhslink.com/m/43GOzMhdoH7", "https://xhslink.com/m/43GOzMhdoH7")</f>
        <v>https://xhslink.com/m/43GOzMhdoH7</v>
      </c>
      <c r="D1688"/>
      <c r="E1688">
        <v>11000</v>
      </c>
      <c r="F1688">
        <v>89</v>
      </c>
      <c r="G1688"/>
      <c r="H1688">
        <v>200</v>
      </c>
      <c r="I1688" t="inlineStr">
        <is>
          <t>运动背心</t>
        </is>
      </c>
      <c r="J1688" t="inlineStr">
        <is>
          <t>0.02</t>
        </is>
      </c>
      <c r="K1688" t="inlineStr">
        <is>
          <t>🔥低粉爆款</t>
        </is>
      </c>
      <c r="L1688" t="inlineStr">
        <is>
          <t>小橘M的店</t>
        </is>
      </c>
      <c r="M1688">
        <v>2637</v>
      </c>
      <c r="N1688">
        <v>4.56</v>
      </c>
      <c r="O1688">
        <v>29000</v>
      </c>
      <c r="P1688" t="inlineStr">
        <is>
          <t>66fc2481b3c3990001406fdc</t>
        </is>
      </c>
      <c r="Q1688" t="inlineStr">
        <is>
          <t>🚫重复</t>
        </is>
      </c>
      <c r="R1688" t="inlineStr">
        <is>
          <t>14周</t>
        </is>
      </c>
      <c r="S1688" t="inlineStr">
        <is>
          <t>4.17</t>
        </is>
      </c>
      <c r="T1688" t="inlineStr">
        <is>
          <t>服饰穿搭</t>
        </is>
      </c>
      <c r="U1688" t="inlineStr">
        <is>
          <t>女装</t>
        </is>
      </c>
      <c r="V1688" s="3">
        <v>46112.78107638889</v>
      </c>
      <c r="W1688" t="inlineStr">
        <is>
          <t>2026-Q1</t>
        </is>
      </c>
    </row>
    <row r="1689" ht="25.5" customHeight="1">
      <c r="A1689" t="inlineStr">
        <is>
          <t>三合一户外冲锋衣可拆卸内胆女保暖软壳防风防水情侣秋冬户外夹克</t>
        </is>
      </c>
      <c r="B1689" t="inlineStr">
        <is>
          <t>recvf2aASaDGMG.jpg</t>
        </is>
      </c>
      <c r="C1689" s="2" t="str">
        <f>=HYPERLINK("https://xhslink.com/m/9ZosQMN0PIZ", "https://xhslink.com/m/9ZosQMN0PIZ")</f>
        <v>https://xhslink.com/m/9ZosQMN0PIZ</v>
      </c>
      <c r="D1689"/>
      <c r="E1689">
        <v>38000</v>
      </c>
      <c r="F1689">
        <v>169</v>
      </c>
      <c r="G1689"/>
      <c r="H1689">
        <v>200</v>
      </c>
      <c r="I1689" t="inlineStr">
        <is>
          <t>登山穿搭</t>
        </is>
      </c>
      <c r="J1689" t="inlineStr">
        <is>
          <t>0.01</t>
        </is>
      </c>
      <c r="K1689"/>
      <c r="L1689" t="inlineStr">
        <is>
          <t>潇潇呀～的店</t>
        </is>
      </c>
      <c r="M1689">
        <v>87000</v>
      </c>
      <c r="N1689">
        <v>4.57</v>
      </c>
      <c r="O1689">
        <v>84000</v>
      </c>
      <c r="P1689" t="inlineStr">
        <is>
          <t>66f0da49f17df90001793288</t>
        </is>
      </c>
      <c r="Q1689" t="inlineStr">
        <is>
          <t>🚫重复</t>
        </is>
      </c>
      <c r="R1689" t="inlineStr">
        <is>
          <t>14周</t>
        </is>
      </c>
      <c r="S1689" t="inlineStr">
        <is>
          <t>0.44</t>
        </is>
      </c>
      <c r="T1689" t="inlineStr">
        <is>
          <t>服饰穿搭</t>
        </is>
      </c>
      <c r="U1689" t="inlineStr">
        <is>
          <t>女装</t>
        </is>
      </c>
      <c r="V1689" s="3">
        <v>46112.78107638889</v>
      </c>
      <c r="W1689" t="inlineStr">
        <is>
          <t>2026-Q1</t>
        </is>
      </c>
    </row>
    <row r="1690" ht="25.5" customHeight="1">
      <c r="A1690" t="inlineStr">
        <is>
          <t>三合一户外冲锋衣可拆卸内胆女保暖软壳防风防水情侣秋冬户外夹克</t>
        </is>
      </c>
      <c r="B1690" t="inlineStr">
        <is>
          <t>recvf2aASaWoCq.jpg</t>
        </is>
      </c>
      <c r="C1690" s="2" t="str">
        <f>=HYPERLINK("https://xhslink.com/m/8Vs0oc5eAE8", "https://xhslink.com/m/8Vs0oc5eAE8")</f>
        <v>https://xhslink.com/m/8Vs0oc5eAE8</v>
      </c>
      <c r="D1690"/>
      <c r="E1690">
        <v>38000</v>
      </c>
      <c r="F1690">
        <v>99</v>
      </c>
      <c r="G1690"/>
      <c r="H1690">
        <v>200</v>
      </c>
      <c r="I1690" t="inlineStr">
        <is>
          <t>户外穿搭</t>
        </is>
      </c>
      <c r="J1690" t="inlineStr">
        <is>
          <t>0.01</t>
        </is>
      </c>
      <c r="K1690"/>
      <c r="L1690" t="inlineStr">
        <is>
          <t>潇潇呀～的店</t>
        </is>
      </c>
      <c r="M1690">
        <v>87000</v>
      </c>
      <c r="N1690">
        <v>4.57</v>
      </c>
      <c r="O1690">
        <v>84000</v>
      </c>
      <c r="P1690" t="inlineStr">
        <is>
          <t>6694fb331158410001dca009</t>
        </is>
      </c>
      <c r="Q1690" t="inlineStr">
        <is>
          <t>🚫重复</t>
        </is>
      </c>
      <c r="R1690" t="inlineStr">
        <is>
          <t>14周</t>
        </is>
      </c>
      <c r="S1690" t="inlineStr">
        <is>
          <t>0.44</t>
        </is>
      </c>
      <c r="T1690" t="inlineStr">
        <is>
          <t>服饰穿搭</t>
        </is>
      </c>
      <c r="U1690" t="inlineStr">
        <is>
          <t>女装</t>
        </is>
      </c>
      <c r="V1690" s="3">
        <v>46112.78107638889</v>
      </c>
      <c r="W1690" t="inlineStr">
        <is>
          <t>2026-Q1</t>
        </is>
      </c>
    </row>
    <row r="1691" ht="25.5" customHeight="1">
      <c r="A1691" t="inlineStr">
        <is>
          <t>女士开春吊带背心-免穿bra-舒适主义</t>
        </is>
      </c>
      <c r="B1691" t="inlineStr">
        <is>
          <t>recvf2aASaZE8y.jpg</t>
        </is>
      </c>
      <c r="C1691" s="2" t="str">
        <f>=HYPERLINK("https://xhslink.com/m/4h7i8zkqfuR", "https://xhslink.com/m/4h7i8zkqfuR")</f>
        <v>https://xhslink.com/m/4h7i8zkqfuR</v>
      </c>
      <c r="D1691"/>
      <c r="E1691">
        <v>877</v>
      </c>
      <c r="F1691">
        <v>59.9</v>
      </c>
      <c r="G1691">
        <v>49.9</v>
      </c>
      <c r="H1691">
        <v>200</v>
      </c>
      <c r="I1691" t="inlineStr">
        <is>
          <t>吊带内搭</t>
        </is>
      </c>
      <c r="J1691" t="inlineStr">
        <is>
          <t>0.23</t>
        </is>
      </c>
      <c r="K1691"/>
      <c r="L1691" t="inlineStr">
        <is>
          <t>七七大胆闯的店</t>
        </is>
      </c>
      <c r="M1691">
        <v>2257</v>
      </c>
      <c r="N1691">
        <v>4.72</v>
      </c>
      <c r="O1691">
        <v>11000</v>
      </c>
      <c r="P1691" t="inlineStr">
        <is>
          <t>6968ca208f0f9c0001ee0040</t>
        </is>
      </c>
      <c r="Q1691" t="inlineStr">
        <is>
          <t>🚫重复</t>
        </is>
      </c>
      <c r="R1691" t="inlineStr">
        <is>
          <t>14周</t>
        </is>
      </c>
      <c r="S1691" t="inlineStr">
        <is>
          <t>0.39</t>
        </is>
      </c>
      <c r="T1691" t="inlineStr">
        <is>
          <t>服饰穿搭</t>
        </is>
      </c>
      <c r="U1691" t="inlineStr">
        <is>
          <t>女装</t>
        </is>
      </c>
      <c r="V1691" s="3">
        <v>46112.78107638889</v>
      </c>
      <c r="W1691" t="inlineStr">
        <is>
          <t>2026-Q1</t>
        </is>
      </c>
    </row>
    <row r="1692" ht="25.5" customHeight="1">
      <c r="A1692" t="inlineStr">
        <is>
          <t>天空岛3.0“大”系列造景贴纸格子间diy解压贴纸大人玩具贴画</t>
        </is>
      </c>
      <c r="B1692" t="inlineStr">
        <is>
          <t>recvf2aASaYdYC.jpg</t>
        </is>
      </c>
      <c r="C1692" s="2" t="str">
        <f>=HYPERLINK("https://xhslink.com/m/3nWpVz0jdhL", "https://xhslink.com/m/3nWpVz0jdhL")</f>
        <v>https://xhslink.com/m/3nWpVz0jdhL</v>
      </c>
      <c r="D1692"/>
      <c r="E1692">
        <v>48000</v>
      </c>
      <c r="F1692">
        <v>11.9</v>
      </c>
      <c r="G1692"/>
      <c r="H1692">
        <v>200</v>
      </c>
      <c r="I1692" t="inlineStr">
        <is>
          <t>益智玩具</t>
        </is>
      </c>
      <c r="J1692" t="inlineStr">
        <is>
          <t>0.00</t>
        </is>
      </c>
      <c r="K1692"/>
      <c r="L1692" t="inlineStr">
        <is>
          <t>天空岛文创的店</t>
        </is>
      </c>
      <c r="M1692">
        <v>67000</v>
      </c>
      <c r="N1692">
        <v>4.88</v>
      </c>
      <c r="O1692">
        <v>240000</v>
      </c>
      <c r="P1692" t="inlineStr">
        <is>
          <t>689a0b907313330001afc657</t>
        </is>
      </c>
      <c r="Q1692" t="inlineStr">
        <is>
          <t>🚫重复</t>
        </is>
      </c>
      <c r="R1692" t="inlineStr">
        <is>
          <t>14周</t>
        </is>
      </c>
      <c r="S1692" t="inlineStr">
        <is>
          <t>0.72</t>
        </is>
      </c>
      <c r="T1692" t="inlineStr">
        <is>
          <t>母婴亲子</t>
        </is>
      </c>
      <c r="U1692" t="inlineStr">
        <is>
          <t>玩具早教</t>
        </is>
      </c>
      <c r="V1692" s="3">
        <v>46112.78107638889</v>
      </c>
      <c r="W1692" t="inlineStr">
        <is>
          <t>2026-Q1</t>
        </is>
      </c>
    </row>
    <row r="1693" ht="25.5" customHeight="1">
      <c r="A1693" t="inlineStr">
        <is>
          <t>Taaoi儿童大厨房玩具套装煮饭做饭冰块咖啡女孩益智生日新年礼物</t>
        </is>
      </c>
      <c r="B1693" t="inlineStr">
        <is>
          <t>recvf2aASaXOtH.jpg</t>
        </is>
      </c>
      <c r="C1693" s="2" t="str">
        <f>=HYPERLINK("https://xhslink.com/m/7gjFUtni8fG", "https://xhslink.com/m/7gjFUtni8fG")</f>
        <v>https://xhslink.com/m/7gjFUtni8fG</v>
      </c>
      <c r="D1693"/>
      <c r="E1693">
        <v>3298</v>
      </c>
      <c r="F1693">
        <v>238</v>
      </c>
      <c r="G1693">
        <v>143</v>
      </c>
      <c r="H1693">
        <v>200</v>
      </c>
      <c r="I1693" t="inlineStr">
        <is>
          <t>益智玩具</t>
        </is>
      </c>
      <c r="J1693" t="inlineStr">
        <is>
          <t>0.06</t>
        </is>
      </c>
      <c r="K1693"/>
      <c r="L1693" t="inlineStr">
        <is>
          <t>Taaol Baby的店</t>
        </is>
      </c>
      <c r="M1693">
        <v>10000</v>
      </c>
      <c r="N1693">
        <v>4.53</v>
      </c>
      <c r="O1693">
        <v>156000</v>
      </c>
      <c r="P1693" t="inlineStr">
        <is>
          <t>6909735a5c4f19000191ae39</t>
        </is>
      </c>
      <c r="Q1693" t="inlineStr">
        <is>
          <t>🚫重复</t>
        </is>
      </c>
      <c r="R1693" t="inlineStr">
        <is>
          <t>14周</t>
        </is>
      </c>
      <c r="S1693" t="inlineStr">
        <is>
          <t>0.33</t>
        </is>
      </c>
      <c r="T1693" t="inlineStr">
        <is>
          <t>家居生活</t>
        </is>
      </c>
      <c r="U1693" t="inlineStr">
        <is>
          <t>厨房餐饮</t>
        </is>
      </c>
      <c r="V1693" s="3">
        <v>46112.78107638889</v>
      </c>
      <c r="W1693" t="inlineStr">
        <is>
          <t>2026-Q1</t>
        </is>
      </c>
    </row>
    <row r="1694" ht="25.5" customHeight="1">
      <c r="A1694" t="inlineStr">
        <is>
          <t>WE FLOWER · 【明星同款】2026春季穿搭新款国潮品牌法棍德训鞋百搭舒适轻便</t>
        </is>
      </c>
      <c r="B1694" t="inlineStr">
        <is>
          <t>recvf2aASaM0NJ.jpg</t>
        </is>
      </c>
      <c r="C1694" s="2" t="str">
        <f>=HYPERLINK("https://xhslink.com/m/9ojrQR80yh7", "https://xhslink.com/m/9ojrQR80yh7")</f>
        <v>https://xhslink.com/m/9ojrQR80yh7</v>
      </c>
      <c r="D1694"/>
      <c r="E1694">
        <v>21000</v>
      </c>
      <c r="F1694">
        <v>799</v>
      </c>
      <c r="G1694">
        <v>339</v>
      </c>
      <c r="H1694">
        <v>200</v>
      </c>
      <c r="I1694" t="inlineStr">
        <is>
          <t>鞋靴</t>
        </is>
      </c>
      <c r="J1694" t="inlineStr">
        <is>
          <t>0.01</t>
        </is>
      </c>
      <c r="K1694"/>
      <c r="L1694" t="inlineStr">
        <is>
          <t>WE FLOWER旗舰店</t>
        </is>
      </c>
      <c r="M1694">
        <v>130000</v>
      </c>
      <c r="N1694">
        <v>4.6</v>
      </c>
      <c r="O1694">
        <v>223000</v>
      </c>
      <c r="P1694" t="inlineStr">
        <is>
          <t>682d7ac39acfd60001706e51</t>
        </is>
      </c>
      <c r="Q1694" t="inlineStr">
        <is>
          <t>🚫重复</t>
        </is>
      </c>
      <c r="R1694" t="inlineStr">
        <is>
          <t>14周</t>
        </is>
      </c>
      <c r="S1694" t="inlineStr">
        <is>
          <t>0.16</t>
        </is>
      </c>
      <c r="T1694" t="inlineStr">
        <is>
          <t>服饰穿搭</t>
        </is>
      </c>
      <c r="U1694" t="inlineStr">
        <is>
          <t>鞋靴箱包</t>
        </is>
      </c>
      <c r="V1694" s="3">
        <v>46112.78107638889</v>
      </c>
      <c r="W1694" t="inlineStr">
        <is>
          <t>2026-Q1</t>
        </is>
      </c>
    </row>
    <row r="1695" ht="25.5" customHeight="1">
      <c r="A1695" t="inlineStr">
        <is>
          <t>City walk复古小众板鞋女款2026新款春夏厚底小白鞋休闲鞋潮3205</t>
        </is>
      </c>
      <c r="B1695" t="inlineStr">
        <is>
          <t>recvf2aASaJzfo.jpg</t>
        </is>
      </c>
      <c r="C1695" s="2" t="str">
        <f>=HYPERLINK("https://xhslink.com/m/9Cot814n515", "https://xhslink.com/m/9Cot814n515")</f>
        <v>https://xhslink.com/m/9Cot814n515</v>
      </c>
      <c r="D1695"/>
      <c r="E1695">
        <v>8396</v>
      </c>
      <c r="F1695">
        <v>88.6</v>
      </c>
      <c r="G1695">
        <v>68.6</v>
      </c>
      <c r="H1695">
        <v>200</v>
      </c>
      <c r="I1695" t="inlineStr">
        <is>
          <t>鞋靴</t>
        </is>
      </c>
      <c r="J1695" t="inlineStr">
        <is>
          <t>0.02</t>
        </is>
      </c>
      <c r="K1695"/>
      <c r="L1695" t="inlineStr">
        <is>
          <t>City walk的店</t>
        </is>
      </c>
      <c r="M1695">
        <v>2946</v>
      </c>
      <c r="N1695">
        <v>4.45</v>
      </c>
      <c r="O1695">
        <v>27000</v>
      </c>
      <c r="P1695" t="inlineStr">
        <is>
          <t>68d1027541f0610001a577d4</t>
        </is>
      </c>
      <c r="Q1695" t="inlineStr">
        <is>
          <t>🚫重复</t>
        </is>
      </c>
      <c r="R1695" t="inlineStr">
        <is>
          <t>14周</t>
        </is>
      </c>
      <c r="S1695" t="inlineStr">
        <is>
          <t>2.85</t>
        </is>
      </c>
      <c r="T1695" t="inlineStr">
        <is>
          <t>服饰穿搭</t>
        </is>
      </c>
      <c r="U1695" t="inlineStr">
        <is>
          <t>鞋靴箱包</t>
        </is>
      </c>
      <c r="V1695" s="3">
        <v>46112.78107638889</v>
      </c>
      <c r="W1695" t="inlineStr">
        <is>
          <t>2026-Q1</t>
        </is>
      </c>
    </row>
    <row r="1696" ht="25.5" customHeight="1">
      <c r="A1696" t="inlineStr">
        <is>
          <t>氧默 · 黑麦全麦面包整箱吐司代餐饱腹无添蔗糖精粗粮主食脂健康早餐食品</t>
        </is>
      </c>
      <c r="B1696" t="inlineStr">
        <is>
          <t>recvf5pvwd9ztF.jpg</t>
        </is>
      </c>
      <c r="C1696" s="2" t="str">
        <f>=HYPERLINK("https://xhslink.com/m/AwnqkD6Mje6", "https://xhslink.com/m/AwnqkD6Mje6")</f>
        <v>https://xhslink.com/m/AwnqkD6Mje6</v>
      </c>
      <c r="D1696"/>
      <c r="E1696">
        <v>105000</v>
      </c>
      <c r="F1696">
        <v>9.9</v>
      </c>
      <c r="G1696"/>
      <c r="H1696">
        <v>200</v>
      </c>
      <c r="I1696" t="inlineStr">
        <is>
          <t>减脂零食</t>
        </is>
      </c>
      <c r="J1696" t="inlineStr">
        <is>
          <t>0.00</t>
        </is>
      </c>
      <c r="K1696" t="inlineStr">
        <is>
          <t>🔥低粉爆款</t>
        </is>
      </c>
      <c r="L1696" t="inlineStr">
        <is>
          <t>氧默旗舰店</t>
        </is>
      </c>
      <c r="M1696">
        <v>26000</v>
      </c>
      <c r="N1696">
        <v>4.57</v>
      </c>
      <c r="O1696">
        <v>261000</v>
      </c>
      <c r="P1696" t="inlineStr">
        <is>
          <t>63fbfa65774c400001762cc9</t>
        </is>
      </c>
      <c r="Q1696" t="inlineStr">
        <is>
          <t>🚫重复</t>
        </is>
      </c>
      <c r="R1696" t="inlineStr">
        <is>
          <t>14周</t>
        </is>
      </c>
      <c r="S1696" t="inlineStr">
        <is>
          <t>4.04</t>
        </is>
      </c>
      <c r="T1696" t="inlineStr">
        <is>
          <t>美食滋补</t>
        </is>
      </c>
      <c r="U1696" t="inlineStr">
        <is>
          <t>休闲零食</t>
        </is>
      </c>
      <c r="V1696" s="3">
        <v>46112.78107638889</v>
      </c>
      <c r="W1696" t="inlineStr">
        <is>
          <t>2026-Q1</t>
        </is>
      </c>
    </row>
    <row r="1697" ht="25.5" customHeight="1">
      <c r="A1697" t="inlineStr">
        <is>
          <t>地狱厨房 · 大满足混合颗粒鸡肉鸭肉三拼犬猫通用营养【金标】</t>
        </is>
      </c>
      <c r="B1697" t="inlineStr">
        <is>
          <t>recvf5pAkI9Tsz.jpg</t>
        </is>
      </c>
      <c r="C1697" s="2" t="str">
        <f>=HYPERLINK("https://xhslink.com/m/6jYyU3r1lay", "https://xhslink.com/m/6jYyU3r1lay")</f>
        <v>https://xhslink.com/m/6jYyU3r1lay</v>
      </c>
      <c r="D1697"/>
      <c r="E1697">
        <v>65000</v>
      </c>
      <c r="F1697">
        <v>14.8</v>
      </c>
      <c r="G1697">
        <v>9.9</v>
      </c>
      <c r="H1697">
        <v>200</v>
      </c>
      <c r="I1697" t="inlineStr">
        <is>
          <t>小猫零食</t>
        </is>
      </c>
      <c r="J1697" t="inlineStr">
        <is>
          <t>0.00</t>
        </is>
      </c>
      <c r="K1697" t="inlineStr">
        <is>
          <t>🔥低粉爆款</t>
        </is>
      </c>
      <c r="L1697" t="inlineStr">
        <is>
          <t>地狱厨房Hell's Kitchen旗舰店</t>
        </is>
      </c>
      <c r="M1697">
        <v>20000</v>
      </c>
      <c r="N1697">
        <v>4.48</v>
      </c>
      <c r="O1697">
        <v>290000</v>
      </c>
      <c r="P1697" t="inlineStr">
        <is>
          <t>68836cb5b1b9df0001a86f56</t>
        </is>
      </c>
      <c r="Q1697"/>
      <c r="R1697" t="inlineStr">
        <is>
          <t>14周</t>
        </is>
      </c>
      <c r="S1697" t="inlineStr">
        <is>
          <t>3.25</t>
        </is>
      </c>
      <c r="T1697" t="inlineStr">
        <is>
          <t>家居生活</t>
        </is>
      </c>
      <c r="U1697" t="inlineStr">
        <is>
          <t>厨房餐饮</t>
        </is>
      </c>
      <c r="V1697" s="3">
        <v>46112.78107638889</v>
      </c>
      <c r="W1697" t="inlineStr">
        <is>
          <t>2026-Q1</t>
        </is>
      </c>
    </row>
    <row r="1698" ht="25.5" customHeight="1">
      <c r="A1698" t="inlineStr">
        <is>
          <t>圆领打底衫春秋女白色棉t恤内搭长袖上衣修身短款黑色</t>
        </is>
      </c>
      <c r="B1698" t="inlineStr">
        <is>
          <t>recvf5pAkIxM10.jpg</t>
        </is>
      </c>
      <c r="C1698" s="2" t="str">
        <f>=HYPERLINK("https://xhslink.com/m/6JpqgyasJOZ", "https://xhslink.com/m/6JpqgyasJOZ")</f>
        <v>https://xhslink.com/m/6JpqgyasJOZ</v>
      </c>
      <c r="D1698"/>
      <c r="E1698">
        <v>62000</v>
      </c>
      <c r="F1698">
        <v>39.9</v>
      </c>
      <c r="G1698">
        <v>37.9</v>
      </c>
      <c r="H1698">
        <v>200</v>
      </c>
      <c r="I1698" t="inlineStr">
        <is>
          <t>打底衫</t>
        </is>
      </c>
      <c r="J1698" t="inlineStr">
        <is>
          <t>0.00</t>
        </is>
      </c>
      <c r="K1698"/>
      <c r="L1698" t="inlineStr">
        <is>
          <t>老虎的黄金的店</t>
        </is>
      </c>
      <c r="M1698">
        <v>36000</v>
      </c>
      <c r="N1698">
        <v>4.47</v>
      </c>
      <c r="O1698">
        <v>221000</v>
      </c>
      <c r="P1698" t="inlineStr">
        <is>
          <t>66826a94d52fff00010df52b</t>
        </is>
      </c>
      <c r="Q1698" t="inlineStr">
        <is>
          <t>🚫重复</t>
        </is>
      </c>
      <c r="R1698" t="inlineStr">
        <is>
          <t>14周</t>
        </is>
      </c>
      <c r="S1698" t="inlineStr">
        <is>
          <t>1.72</t>
        </is>
      </c>
      <c r="T1698" t="inlineStr">
        <is>
          <t>服饰穿搭</t>
        </is>
      </c>
      <c r="U1698" t="inlineStr">
        <is>
          <t>女装</t>
        </is>
      </c>
      <c r="V1698" s="3">
        <v>46112.78107638889</v>
      </c>
      <c r="W1698" t="inlineStr">
        <is>
          <t>2026-Q1</t>
        </is>
      </c>
    </row>
    <row r="1699" ht="25.5" customHeight="1">
      <c r="A1699" t="inlineStr">
        <is>
          <t>黑色V领修身长袖螺纹女秋季内搭显瘦打底衫简约休闲上衣</t>
        </is>
      </c>
      <c r="B1699" t="inlineStr">
        <is>
          <t>recvf5pAkIt825.jpg</t>
        </is>
      </c>
      <c r="C1699" s="2" t="str">
        <f>=HYPERLINK("https://xhslink.com/m/6FTtBbZokE8", "https://xhslink.com/m/6FTtBbZokE8")</f>
        <v>https://xhslink.com/m/6FTtBbZokE8</v>
      </c>
      <c r="D1699"/>
      <c r="E1699">
        <v>8418</v>
      </c>
      <c r="F1699">
        <v>49.9</v>
      </c>
      <c r="G1699">
        <v>41.91</v>
      </c>
      <c r="H1699">
        <v>200</v>
      </c>
      <c r="I1699" t="inlineStr">
        <is>
          <t>打底衫</t>
        </is>
      </c>
      <c r="J1699" t="inlineStr">
        <is>
          <t>0.02</t>
        </is>
      </c>
      <c r="K1699"/>
      <c r="L1699" t="inlineStr">
        <is>
          <t>老虎的黄金的店</t>
        </is>
      </c>
      <c r="M1699">
        <v>36000</v>
      </c>
      <c r="N1699">
        <v>4.47</v>
      </c>
      <c r="O1699">
        <v>221000</v>
      </c>
      <c r="P1699" t="inlineStr">
        <is>
          <t>68ea00fa17d8080001923489</t>
        </is>
      </c>
      <c r="Q1699" t="inlineStr">
        <is>
          <t>🚫重复</t>
        </is>
      </c>
      <c r="R1699" t="inlineStr">
        <is>
          <t>14周</t>
        </is>
      </c>
      <c r="S1699" t="inlineStr">
        <is>
          <t>0.23</t>
        </is>
      </c>
      <c r="T1699" t="inlineStr">
        <is>
          <t>服饰穿搭</t>
        </is>
      </c>
      <c r="U1699" t="inlineStr">
        <is>
          <t>女装</t>
        </is>
      </c>
      <c r="V1699" s="3">
        <v>46112.78107638889</v>
      </c>
      <c r="W1699" t="inlineStr">
        <is>
          <t>2026-Q1</t>
        </is>
      </c>
    </row>
    <row r="1700" ht="25.5" customHeight="1">
      <c r="A1700" t="inlineStr">
        <is>
          <t>高级小众设计感斜肩露肩打底衫长袖针织衫</t>
        </is>
      </c>
      <c r="B1700" t="inlineStr">
        <is>
          <t>recvf5pAkI91me.jpg</t>
        </is>
      </c>
      <c r="C1700" s="2" t="str">
        <f>=HYPERLINK("https://xhslink.com/m/8ePIm2Mzuq3", "https://xhslink.com/m/8ePIm2Mzuq3")</f>
        <v>https://xhslink.com/m/8ePIm2Mzuq3</v>
      </c>
      <c r="D1700"/>
      <c r="E1700">
        <v>19000</v>
      </c>
      <c r="F1700">
        <v>69.9</v>
      </c>
      <c r="G1700"/>
      <c r="H1700">
        <v>200</v>
      </c>
      <c r="I1700" t="inlineStr">
        <is>
          <t>打底衫</t>
        </is>
      </c>
      <c r="J1700" t="inlineStr">
        <is>
          <t>0.01</t>
        </is>
      </c>
      <c r="K1700" t="inlineStr">
        <is>
          <t>🔥低粉爆款</t>
        </is>
      </c>
      <c r="L1700" t="inlineStr">
        <is>
          <t>顿顿来啦的店</t>
        </is>
      </c>
      <c r="M1700">
        <v>624</v>
      </c>
      <c r="N1700">
        <v>4.58</v>
      </c>
      <c r="O1700">
        <v>21000</v>
      </c>
      <c r="P1700" t="inlineStr">
        <is>
          <t>6756bcb8915f750015fd376b</t>
        </is>
      </c>
      <c r="Q1700"/>
      <c r="R1700" t="inlineStr">
        <is>
          <t>14周</t>
        </is>
      </c>
      <c r="S1700" t="inlineStr">
        <is>
          <t>30.45</t>
        </is>
      </c>
      <c r="T1700" t="inlineStr">
        <is>
          <t>服饰穿搭</t>
        </is>
      </c>
      <c r="U1700" t="inlineStr">
        <is>
          <t>女装</t>
        </is>
      </c>
      <c r="V1700" s="3">
        <v>46112.78107638889</v>
      </c>
      <c r="W1700" t="inlineStr">
        <is>
          <t>2026-Q1</t>
        </is>
      </c>
    </row>
    <row r="1701" ht="25.5" customHeight="1">
      <c r="A1701" t="inlineStr">
        <is>
          <t>黄吉吉 · 灰绿色山本裤女2026春夏季高腰宽松垂感慵懒直筒阔腿裤运动休闲裤</t>
        </is>
      </c>
      <c r="B1701" t="inlineStr">
        <is>
          <t>recvf5pAkIHuzg.jpg</t>
        </is>
      </c>
      <c r="C1701" s="2" t="str">
        <f>=HYPERLINK("https://xhslink.com/m/35tezFbduPJ", "https://xhslink.com/m/35tezFbduPJ")</f>
        <v>https://xhslink.com/m/35tezFbduPJ</v>
      </c>
      <c r="D1701"/>
      <c r="E1701">
        <v>124000</v>
      </c>
      <c r="F1701">
        <v>79.9</v>
      </c>
      <c r="G1701">
        <v>49.9</v>
      </c>
      <c r="H1701">
        <v>200</v>
      </c>
      <c r="I1701" t="inlineStr">
        <is>
          <t>休闲裤</t>
        </is>
      </c>
      <c r="J1701" t="inlineStr">
        <is>
          <t>0.00</t>
        </is>
      </c>
      <c r="K1701"/>
      <c r="L1701" t="inlineStr">
        <is>
          <t>黄吉吉的店</t>
        </is>
      </c>
      <c r="M1701">
        <v>1321000</v>
      </c>
      <c r="N1701">
        <v>4.53</v>
      </c>
      <c r="O1701">
        <v>2746000</v>
      </c>
      <c r="P1701" t="inlineStr">
        <is>
          <t>66a45a5f2612e800011d2872</t>
        </is>
      </c>
      <c r="Q1701" t="inlineStr">
        <is>
          <t>🚫重复</t>
        </is>
      </c>
      <c r="R1701" t="inlineStr">
        <is>
          <t>14周</t>
        </is>
      </c>
      <c r="S1701" t="inlineStr">
        <is>
          <t>0.09</t>
        </is>
      </c>
      <c r="T1701" t="inlineStr">
        <is>
          <t>服饰穿搭</t>
        </is>
      </c>
      <c r="U1701" t="inlineStr">
        <is>
          <t>女装</t>
        </is>
      </c>
      <c r="V1701" s="3">
        <v>46112.78107638889</v>
      </c>
      <c r="W1701" t="inlineStr">
        <is>
          <t>2026-Q1</t>
        </is>
      </c>
    </row>
    <row r="1702" ht="25.5" customHeight="1">
      <c r="A1702" t="inlineStr">
        <is>
          <t>倾曼雅 · 美式春夏慵懒风垂感裤 针织休闲裤 宽松直筒显瘦拖地裤</t>
        </is>
      </c>
      <c r="B1702" t="inlineStr">
        <is>
          <t>recvf5pAkIJHhe.jpg</t>
        </is>
      </c>
      <c r="C1702" s="2" t="str">
        <f>=HYPERLINK("https://xhslink.com/m/7Hv3GgL7UKy", "https://xhslink.com/m/7Hv3GgL7UKy")</f>
        <v>https://xhslink.com/m/7Hv3GgL7UKy</v>
      </c>
      <c r="D1702"/>
      <c r="E1702">
        <v>372000</v>
      </c>
      <c r="F1702">
        <v>69.9</v>
      </c>
      <c r="G1702"/>
      <c r="H1702">
        <v>200</v>
      </c>
      <c r="I1702" t="inlineStr">
        <is>
          <t>休闲裤</t>
        </is>
      </c>
      <c r="J1702" t="inlineStr">
        <is>
          <t>0.00</t>
        </is>
      </c>
      <c r="K1702"/>
      <c r="L1702" t="inlineStr">
        <is>
          <t>小鹅学姐穿搭的店的店</t>
        </is>
      </c>
      <c r="M1702">
        <v>229000</v>
      </c>
      <c r="N1702">
        <v>4.4</v>
      </c>
      <c r="O1702">
        <v>1497000</v>
      </c>
      <c r="P1702" t="inlineStr">
        <is>
          <t>66b716f4ea2019000190115f</t>
        </is>
      </c>
      <c r="Q1702" t="inlineStr">
        <is>
          <t>🚫重复</t>
        </is>
      </c>
      <c r="R1702" t="inlineStr">
        <is>
          <t>14周</t>
        </is>
      </c>
      <c r="S1702" t="inlineStr">
        <is>
          <t>1.62</t>
        </is>
      </c>
      <c r="T1702" t="inlineStr">
        <is>
          <t>服饰穿搭</t>
        </is>
      </c>
      <c r="U1702" t="inlineStr">
        <is>
          <t>女装</t>
        </is>
      </c>
      <c r="V1702" s="3">
        <v>46112.78107638889</v>
      </c>
      <c r="W1702" t="inlineStr">
        <is>
          <t>2026-Q1</t>
        </is>
      </c>
    </row>
    <row r="1703" ht="25.5" customHeight="1">
      <c r="A1703" t="inlineStr">
        <is>
          <t>泡泡羊自制· 【天丝亚麻直筒空调裤】微胖可穿会呼吸的低腰裤</t>
        </is>
      </c>
      <c r="B1703" t="inlineStr">
        <is>
          <t>recvf5pAkIRCug.jpg</t>
        </is>
      </c>
      <c r="C1703" s="2" t="str">
        <f>=HYPERLINK("https://xhslink.com/m/37SpPAPLv54", "https://xhslink.com/m/37SpPAPLv54")</f>
        <v>https://xhslink.com/m/37SpPAPLv54</v>
      </c>
      <c r="D1703"/>
      <c r="E1703">
        <v>15000</v>
      </c>
      <c r="F1703">
        <v>93</v>
      </c>
      <c r="G1703"/>
      <c r="H1703">
        <v>200</v>
      </c>
      <c r="I1703" t="inlineStr">
        <is>
          <t>休闲裤</t>
        </is>
      </c>
      <c r="J1703" t="inlineStr">
        <is>
          <t>0.01</t>
        </is>
      </c>
      <c r="K1703"/>
      <c r="L1703" t="inlineStr">
        <is>
          <t>小羊来个泡泡糖的店</t>
        </is>
      </c>
      <c r="M1703">
        <v>67000</v>
      </c>
      <c r="N1703">
        <v>4.72</v>
      </c>
      <c r="O1703">
        <v>236000</v>
      </c>
      <c r="P1703" t="inlineStr">
        <is>
          <t>68553f477590770001611c9d</t>
        </is>
      </c>
      <c r="Q1703" t="inlineStr">
        <is>
          <t>🚫重复</t>
        </is>
      </c>
      <c r="R1703" t="inlineStr">
        <is>
          <t>14周</t>
        </is>
      </c>
      <c r="S1703" t="inlineStr">
        <is>
          <t>0.22</t>
        </is>
      </c>
      <c r="T1703" t="inlineStr">
        <is>
          <t>数码家电</t>
        </is>
      </c>
      <c r="U1703" t="inlineStr">
        <is>
          <t>大家电</t>
        </is>
      </c>
      <c r="V1703" s="3">
        <v>46112.78107638889</v>
      </c>
      <c r="W1703" t="inlineStr">
        <is>
          <t>2026-Q1</t>
        </is>
      </c>
    </row>
    <row r="1704" ht="25.5" customHeight="1">
      <c r="A1704" t="inlineStr">
        <is>
          <t>自留推荐！！螺纹裤和空气裤都有 显瘦显腿长直筒裤</t>
        </is>
      </c>
      <c r="B1704" t="inlineStr">
        <is>
          <t>recvf5pAkIWuAn.jpg</t>
        </is>
      </c>
      <c r="C1704" s="2" t="str">
        <f>=HYPERLINK("https://xhslink.com/m/7XEPToAfWOp", "https://xhslink.com/m/7XEPToAfWOp")</f>
        <v>https://xhslink.com/m/7XEPToAfWOp</v>
      </c>
      <c r="D1704"/>
      <c r="E1704">
        <v>33000</v>
      </c>
      <c r="F1704">
        <v>288</v>
      </c>
      <c r="G1704">
        <v>238</v>
      </c>
      <c r="H1704">
        <v>200</v>
      </c>
      <c r="I1704" t="inlineStr">
        <is>
          <t>休闲裤</t>
        </is>
      </c>
      <c r="J1704" t="inlineStr">
        <is>
          <t>0.01</t>
        </is>
      </c>
      <c r="K1704" t="inlineStr">
        <is>
          <t>🔥低粉爆款</t>
        </is>
      </c>
      <c r="L1704" t="inlineStr">
        <is>
          <t>一只胖胖小橘的店</t>
        </is>
      </c>
      <c r="M1704">
        <v>5162</v>
      </c>
      <c r="N1704">
        <v>4.76</v>
      </c>
      <c r="O1704">
        <v>71000</v>
      </c>
      <c r="P1704" t="inlineStr">
        <is>
          <t>65111873690158000125523a</t>
        </is>
      </c>
      <c r="Q1704" t="inlineStr">
        <is>
          <t>🚫重复</t>
        </is>
      </c>
      <c r="R1704" t="inlineStr">
        <is>
          <t>14周</t>
        </is>
      </c>
      <c r="S1704" t="inlineStr">
        <is>
          <t>6.39</t>
        </is>
      </c>
      <c r="T1704" t="inlineStr">
        <is>
          <t>服饰穿搭</t>
        </is>
      </c>
      <c r="U1704" t="inlineStr">
        <is>
          <t>女装</t>
        </is>
      </c>
      <c r="V1704" s="3">
        <v>46112.78107638889</v>
      </c>
      <c r="W1704" t="inlineStr">
        <is>
          <t>2026-Q1</t>
        </is>
      </c>
    </row>
    <row r="1705" ht="25.5" customHeight="1">
      <c r="A1705" t="inlineStr">
        <is>
          <t>withtong-2.0低腰直筒松弛百搭复古天丝亚麻裤～松紧腰</t>
        </is>
      </c>
      <c r="B1705" t="inlineStr">
        <is>
          <t>recvf5pAkIJ86i.jpg</t>
        </is>
      </c>
      <c r="C1705" s="2" t="str">
        <f>=HYPERLINK("https://xhslink.com/m/1bIbx1HfVCa", "https://xhslink.com/m/1bIbx1HfVCa")</f>
        <v>https://xhslink.com/m/1bIbx1HfVCa</v>
      </c>
      <c r="D1705"/>
      <c r="E1705">
        <v>17000</v>
      </c>
      <c r="F1705">
        <v>149</v>
      </c>
      <c r="G1705">
        <v>109</v>
      </c>
      <c r="H1705">
        <v>200</v>
      </c>
      <c r="I1705" t="inlineStr">
        <is>
          <t>休闲裤</t>
        </is>
      </c>
      <c r="J1705" t="inlineStr">
        <is>
          <t>0.01</t>
        </is>
      </c>
      <c r="K1705"/>
      <c r="L1705" t="inlineStr">
        <is>
          <t>withtong_的店</t>
        </is>
      </c>
      <c r="M1705">
        <v>18000</v>
      </c>
      <c r="N1705">
        <v>4.51</v>
      </c>
      <c r="O1705">
        <v>113000</v>
      </c>
      <c r="P1705" t="inlineStr">
        <is>
          <t>69ad1023dd2f4400012b2756</t>
        </is>
      </c>
      <c r="Q1705" t="inlineStr">
        <is>
          <t>🚫重复</t>
        </is>
      </c>
      <c r="R1705" t="inlineStr">
        <is>
          <t>14周</t>
        </is>
      </c>
      <c r="S1705" t="inlineStr">
        <is>
          <t>0.94</t>
        </is>
      </c>
      <c r="T1705" t="inlineStr">
        <is>
          <t>服饰穿搭</t>
        </is>
      </c>
      <c r="U1705" t="inlineStr">
        <is>
          <t>女装</t>
        </is>
      </c>
      <c r="V1705" s="3">
        <v>46112.78107638889</v>
      </c>
      <c r="W1705" t="inlineStr">
        <is>
          <t>2026-Q1</t>
        </is>
      </c>
    </row>
    <row r="1706" ht="25.5" customHeight="1">
      <c r="A1706" t="inlineStr">
        <is>
          <t>【前2W单减10】波点糯米裤慵懒阔腿遛弯裤</t>
        </is>
      </c>
      <c r="B1706" t="inlineStr">
        <is>
          <t>recvf5pAkIEKT3.jpg</t>
        </is>
      </c>
      <c r="C1706" s="2" t="str">
        <f>=HYPERLINK("https://xhslink.com/m/6dg1nZQcU2d", "https://xhslink.com/m/6dg1nZQcU2d")</f>
        <v>https://xhslink.com/m/6dg1nZQcU2d</v>
      </c>
      <c r="D1706"/>
      <c r="E1706">
        <v>19000</v>
      </c>
      <c r="F1706">
        <v>48.8</v>
      </c>
      <c r="G1706">
        <v>38.8</v>
      </c>
      <c r="H1706">
        <v>200</v>
      </c>
      <c r="I1706" t="inlineStr">
        <is>
          <t>休闲裤</t>
        </is>
      </c>
      <c r="J1706" t="inlineStr">
        <is>
          <t>0.01</t>
        </is>
      </c>
      <c r="K1706" t="inlineStr">
        <is>
          <t>🔥低粉爆款</t>
        </is>
      </c>
      <c r="L1706" t="inlineStr">
        <is>
          <t>小曦学姐穿搭的店</t>
        </is>
      </c>
      <c r="M1706">
        <v>1065</v>
      </c>
      <c r="N1706">
        <v>4.7</v>
      </c>
      <c r="O1706">
        <v>26000</v>
      </c>
      <c r="P1706" t="inlineStr">
        <is>
          <t>68189f69791e94001594c330</t>
        </is>
      </c>
      <c r="Q1706" t="inlineStr">
        <is>
          <t>🚫重复</t>
        </is>
      </c>
      <c r="R1706" t="inlineStr">
        <is>
          <t>14周</t>
        </is>
      </c>
      <c r="S1706" t="inlineStr">
        <is>
          <t>17.84</t>
        </is>
      </c>
      <c r="T1706" t="inlineStr">
        <is>
          <t>服饰穿搭</t>
        </is>
      </c>
      <c r="U1706" t="inlineStr">
        <is>
          <t>女装</t>
        </is>
      </c>
      <c r="V1706" s="3">
        <v>46112.78107638889</v>
      </c>
      <c r="W1706" t="inlineStr">
        <is>
          <t>2026-Q1</t>
        </is>
      </c>
    </row>
    <row r="1707" ht="25.5" customHeight="1">
      <c r="A1707" t="inlineStr">
        <is>
          <t>【镇店裤型】现货 窄版直筒裤春季天丝羊毛胖妹妹苹果型显瘦遮肉</t>
        </is>
      </c>
      <c r="B1707" t="inlineStr">
        <is>
          <t>recvf5pAkILpRK.jpg</t>
        </is>
      </c>
      <c r="C1707" s="2" t="str">
        <f>=HYPERLINK("https://xhslink.com/m/9OA1GpvEThW", "https://xhslink.com/m/9OA1GpvEThW")</f>
        <v>https://xhslink.com/m/9OA1GpvEThW</v>
      </c>
      <c r="D1707"/>
      <c r="E1707">
        <v>48000</v>
      </c>
      <c r="F1707">
        <v>179.9</v>
      </c>
      <c r="G1707">
        <v>158</v>
      </c>
      <c r="H1707">
        <v>200</v>
      </c>
      <c r="I1707" t="inlineStr">
        <is>
          <t>休闲裤</t>
        </is>
      </c>
      <c r="J1707" t="inlineStr">
        <is>
          <t>0.00</t>
        </is>
      </c>
      <c r="K1707"/>
      <c r="L1707" t="inlineStr">
        <is>
          <t>萱萱微胖大码定制的店</t>
        </is>
      </c>
      <c r="M1707">
        <v>74000</v>
      </c>
      <c r="N1707">
        <v>4.58</v>
      </c>
      <c r="O1707">
        <v>134000</v>
      </c>
      <c r="P1707" t="inlineStr">
        <is>
          <t>66e2c57a17128e0001683d14</t>
        </is>
      </c>
      <c r="Q1707"/>
      <c r="R1707" t="inlineStr">
        <is>
          <t>14周</t>
        </is>
      </c>
      <c r="S1707" t="inlineStr">
        <is>
          <t>0.65</t>
        </is>
      </c>
      <c r="T1707" t="inlineStr">
        <is>
          <t>服饰穿搭</t>
        </is>
      </c>
      <c r="U1707" t="inlineStr">
        <is>
          <t>女装</t>
        </is>
      </c>
      <c r="V1707" s="3">
        <v>46112.78107638889</v>
      </c>
      <c r="W1707" t="inlineStr">
        <is>
          <t>2026-Q1</t>
        </is>
      </c>
    </row>
    <row r="1708" ht="25.5" customHeight="1">
      <c r="A1708" t="inlineStr">
        <is>
          <t>【晚秋浅蓝色】春季不贴腿微喇牛仔裤女宽松弹力显瘦百搭直筒裤</t>
        </is>
      </c>
      <c r="B1708" t="inlineStr">
        <is>
          <t>recvf5pAkIAFyF.jpg</t>
        </is>
      </c>
      <c r="C1708" s="2" t="str">
        <f>=HYPERLINK("https://xhslink.com/m/6PhrhzYQjLd", "https://xhslink.com/m/6PhrhzYQjLd")</f>
        <v>https://xhslink.com/m/6PhrhzYQjLd</v>
      </c>
      <c r="D1708"/>
      <c r="E1708">
        <v>22000</v>
      </c>
      <c r="F1708">
        <v>99.99</v>
      </c>
      <c r="G1708"/>
      <c r="H1708">
        <v>200</v>
      </c>
      <c r="I1708" t="inlineStr">
        <is>
          <t>直筒裤</t>
        </is>
      </c>
      <c r="J1708" t="inlineStr">
        <is>
          <t>0.01</t>
        </is>
      </c>
      <c r="K1708"/>
      <c r="L1708" t="inlineStr">
        <is>
          <t>李空空的店</t>
        </is>
      </c>
      <c r="M1708">
        <v>102000</v>
      </c>
      <c r="N1708">
        <v>4.6</v>
      </c>
      <c r="O1708">
        <v>559000</v>
      </c>
      <c r="P1708" t="inlineStr">
        <is>
          <t>67baca4e97592600018ada9f</t>
        </is>
      </c>
      <c r="Q1708" t="inlineStr">
        <is>
          <t>🚫重复</t>
        </is>
      </c>
      <c r="R1708" t="inlineStr">
        <is>
          <t>14周</t>
        </is>
      </c>
      <c r="S1708" t="inlineStr">
        <is>
          <t>0.22</t>
        </is>
      </c>
      <c r="T1708" t="inlineStr">
        <is>
          <t>服饰穿搭</t>
        </is>
      </c>
      <c r="U1708" t="inlineStr">
        <is>
          <t>女装</t>
        </is>
      </c>
      <c r="V1708" s="3">
        <v>46112.78107638889</v>
      </c>
      <c r="W1708" t="inlineStr">
        <is>
          <t>2026-Q1</t>
        </is>
      </c>
    </row>
    <row r="1709" ht="25.5" customHeight="1">
      <c r="A1709" t="inlineStr">
        <is>
          <t>高腰美式复古设计感女直筒裤牛仔裤女宽松休闲显瘦阔腿裤</t>
        </is>
      </c>
      <c r="B1709" t="inlineStr">
        <is>
          <t>recvf5pAkI0PSD.jpg</t>
        </is>
      </c>
      <c r="C1709" s="2" t="str">
        <f>=HYPERLINK("https://xhslink.com/m/vsiqez2iR6", "https://xhslink.com/m/vsiqez2iR6")</f>
        <v>https://xhslink.com/m/vsiqez2iR6</v>
      </c>
      <c r="D1709"/>
      <c r="E1709">
        <v>22000</v>
      </c>
      <c r="F1709">
        <v>109.99</v>
      </c>
      <c r="G1709">
        <v>99.99</v>
      </c>
      <c r="H1709">
        <v>200</v>
      </c>
      <c r="I1709" t="inlineStr">
        <is>
          <t>直筒裤</t>
        </is>
      </c>
      <c r="J1709" t="inlineStr">
        <is>
          <t>0.01</t>
        </is>
      </c>
      <c r="K1709"/>
      <c r="L1709" t="inlineStr">
        <is>
          <t>酷酷裤裤吖的店</t>
        </is>
      </c>
      <c r="M1709">
        <v>36000</v>
      </c>
      <c r="N1709">
        <v>4.56</v>
      </c>
      <c r="O1709">
        <v>204000</v>
      </c>
      <c r="P1709" t="inlineStr">
        <is>
          <t>67f8da7d2a334f0001e4dcb0</t>
        </is>
      </c>
      <c r="Q1709" t="inlineStr">
        <is>
          <t>🚫重复</t>
        </is>
      </c>
      <c r="R1709" t="inlineStr">
        <is>
          <t>14周</t>
        </is>
      </c>
      <c r="S1709" t="inlineStr">
        <is>
          <t>0.61</t>
        </is>
      </c>
      <c r="T1709" t="inlineStr">
        <is>
          <t>服饰穿搭</t>
        </is>
      </c>
      <c r="U1709" t="inlineStr">
        <is>
          <t>女装</t>
        </is>
      </c>
      <c r="V1709" s="3">
        <v>46112.78107638889</v>
      </c>
      <c r="W1709" t="inlineStr">
        <is>
          <t>2026-Q1</t>
        </is>
      </c>
    </row>
    <row r="1710" ht="25.5" customHeight="1">
      <c r="A1710" t="inlineStr">
        <is>
          <t>2025新款设计感高腰休闲直筒西装裤女秋季垂感显瘦宽松休闲裤</t>
        </is>
      </c>
      <c r="B1710" t="inlineStr">
        <is>
          <t>recvf5pAkIcp0N.jpg</t>
        </is>
      </c>
      <c r="C1710" s="2" t="str">
        <f>=HYPERLINK("https://xhslink.com/m/55O9dEcGzCQ", "https://xhslink.com/m/55O9dEcGzCQ")</f>
        <v>https://xhslink.com/m/55O9dEcGzCQ</v>
      </c>
      <c r="D1710"/>
      <c r="E1710">
        <v>7572</v>
      </c>
      <c r="F1710">
        <v>79</v>
      </c>
      <c r="G1710">
        <v>69</v>
      </c>
      <c r="H1710">
        <v>200</v>
      </c>
      <c r="I1710" t="inlineStr">
        <is>
          <t>直筒裤</t>
        </is>
      </c>
      <c r="J1710" t="inlineStr">
        <is>
          <t>0.03</t>
        </is>
      </c>
      <c r="K1710"/>
      <c r="L1710" t="inlineStr">
        <is>
          <t>琳琳Coco的店</t>
        </is>
      </c>
      <c r="M1710">
        <v>7339</v>
      </c>
      <c r="N1710">
        <v>4.54</v>
      </c>
      <c r="O1710">
        <v>20000</v>
      </c>
      <c r="P1710" t="inlineStr">
        <is>
          <t>69605949c429e2000110a628</t>
        </is>
      </c>
      <c r="Q1710"/>
      <c r="R1710" t="inlineStr">
        <is>
          <t>14周</t>
        </is>
      </c>
      <c r="S1710" t="inlineStr">
        <is>
          <t>1.03</t>
        </is>
      </c>
      <c r="T1710" t="inlineStr">
        <is>
          <t>服饰穿搭</t>
        </is>
      </c>
      <c r="U1710" t="inlineStr">
        <is>
          <t>女装</t>
        </is>
      </c>
      <c r="V1710" s="3">
        <v>46112.78107638889</v>
      </c>
      <c r="W1710" t="inlineStr">
        <is>
          <t>2026-Q1</t>
        </is>
      </c>
    </row>
    <row r="1711" ht="25.5" customHeight="1">
      <c r="A1711" t="inlineStr">
        <is>
          <t>小个子2026春夏法棍裤高腰弹力直筒梨型身材显瘦牛仔八九分显腿直</t>
        </is>
      </c>
      <c r="B1711" t="inlineStr">
        <is>
          <t>recvf5pAkIa1gi.jpg</t>
        </is>
      </c>
      <c r="C1711" s="2" t="str">
        <f>=HYPERLINK("https://xhslink.com/m/2HLgrKf0xKg", "https://xhslink.com/m/2HLgrKf0xKg")</f>
        <v>https://xhslink.com/m/2HLgrKf0xKg</v>
      </c>
      <c r="D1711"/>
      <c r="E1711">
        <v>4515</v>
      </c>
      <c r="F1711">
        <v>128.9</v>
      </c>
      <c r="G1711">
        <v>98.9</v>
      </c>
      <c r="H1711">
        <v>200</v>
      </c>
      <c r="I1711" t="inlineStr">
        <is>
          <t>直筒裤</t>
        </is>
      </c>
      <c r="J1711" t="inlineStr">
        <is>
          <t>0.04</t>
        </is>
      </c>
      <c r="K1711"/>
      <c r="L1711" t="inlineStr">
        <is>
          <t>幸运小财精的店</t>
        </is>
      </c>
      <c r="M1711">
        <v>1769</v>
      </c>
      <c r="N1711">
        <v>4.62</v>
      </c>
      <c r="O1711">
        <v>34000</v>
      </c>
      <c r="P1711" t="inlineStr">
        <is>
          <t>681daf69a53ff6000126050f</t>
        </is>
      </c>
      <c r="Q1711" t="inlineStr">
        <is>
          <t>🚫重复</t>
        </is>
      </c>
      <c r="R1711" t="inlineStr">
        <is>
          <t>14周</t>
        </is>
      </c>
      <c r="S1711" t="inlineStr">
        <is>
          <t>2.55</t>
        </is>
      </c>
      <c r="T1711" t="inlineStr">
        <is>
          <t>服饰穿搭</t>
        </is>
      </c>
      <c r="U1711" t="inlineStr">
        <is>
          <t>女装</t>
        </is>
      </c>
      <c r="V1711" s="3">
        <v>46112.78107638889</v>
      </c>
      <c r="W1711" t="inlineStr">
        <is>
          <t>2026-Q1</t>
        </is>
      </c>
    </row>
    <row r="1712" ht="25.5" customHeight="1">
      <c r="A1712" t="inlineStr">
        <is>
          <t>小富自制· 2cm增高韩系甜美洞洞鞋女2026春季厚底玛丽珍不臭不响</t>
        </is>
      </c>
      <c r="B1712" t="inlineStr">
        <is>
          <t>recvf5pAkIzACn.jpg</t>
        </is>
      </c>
      <c r="C1712" s="2" t="str">
        <f>=HYPERLINK("https://xhslink.com/m/2YahiBDYV55", "https://xhslink.com/m/2YahiBDYV55")</f>
        <v>https://xhslink.com/m/2YahiBDYV55</v>
      </c>
      <c r="D1712"/>
      <c r="E1712">
        <v>1126</v>
      </c>
      <c r="F1712">
        <v>128</v>
      </c>
      <c r="G1712">
        <v>58.88</v>
      </c>
      <c r="H1712">
        <v>200</v>
      </c>
      <c r="I1712" t="inlineStr">
        <is>
          <t>凉鞋</t>
        </is>
      </c>
      <c r="J1712" t="inlineStr">
        <is>
          <t>0.18</t>
        </is>
      </c>
      <c r="K1712"/>
      <c r="L1712" t="inlineStr">
        <is>
          <t>小富的鞋柜的店</t>
        </is>
      </c>
      <c r="M1712">
        <v>1968</v>
      </c>
      <c r="N1712">
        <v>4.71</v>
      </c>
      <c r="O1712">
        <v>14000</v>
      </c>
      <c r="P1712" t="inlineStr">
        <is>
          <t>69b3e99405ddcd0001f82956</t>
        </is>
      </c>
      <c r="Q1712" t="inlineStr">
        <is>
          <t>🚫重复</t>
        </is>
      </c>
      <c r="R1712" t="inlineStr">
        <is>
          <t>14周</t>
        </is>
      </c>
      <c r="S1712" t="inlineStr">
        <is>
          <t>0.57</t>
        </is>
      </c>
      <c r="T1712" t="inlineStr">
        <is>
          <t>服饰穿搭</t>
        </is>
      </c>
      <c r="U1712" t="inlineStr">
        <is>
          <t>鞋靴箱包</t>
        </is>
      </c>
      <c r="V1712" s="3">
        <v>46112.78107638889</v>
      </c>
      <c r="W1712" t="inlineStr">
        <is>
          <t>2026-Q1</t>
        </is>
      </c>
    </row>
    <row r="1713" ht="25.5" customHeight="1">
      <c r="A1713" t="inlineStr">
        <is>
          <t>优调·负跟鞋前高后低足弓训练鞋拉伸腿部夏季防臭防滑拖鞋1</t>
        </is>
      </c>
      <c r="B1713" t="inlineStr">
        <is>
          <t>recvf5pAkIYdw1.jpg</t>
        </is>
      </c>
      <c r="C1713" s="2" t="str">
        <f>=HYPERLINK("https://xhslink.com/m/AUwUFipVj27", "https://xhslink.com/m/AUwUFipVj27")</f>
        <v>https://xhslink.com/m/AUwUFipVj27</v>
      </c>
      <c r="D1713"/>
      <c r="E1713">
        <v>23000</v>
      </c>
      <c r="F1713">
        <v>49.8</v>
      </c>
      <c r="G1713">
        <v>29.9</v>
      </c>
      <c r="H1713">
        <v>200</v>
      </c>
      <c r="I1713" t="inlineStr">
        <is>
          <t>凉鞋</t>
        </is>
      </c>
      <c r="J1713" t="inlineStr">
        <is>
          <t>0.01</t>
        </is>
      </c>
      <c r="K1713" t="inlineStr">
        <is>
          <t>🔥低粉爆款</t>
        </is>
      </c>
      <c r="L1713" t="inlineStr">
        <is>
          <t>大荷麻麻的店</t>
        </is>
      </c>
      <c r="M1713">
        <v>326</v>
      </c>
      <c r="N1713">
        <v>4.63</v>
      </c>
      <c r="O1713">
        <v>32000</v>
      </c>
      <c r="P1713" t="inlineStr">
        <is>
          <t>6886c3edb1b9df0001e1ea62</t>
        </is>
      </c>
      <c r="Q1713" t="inlineStr">
        <is>
          <t>🚫重复</t>
        </is>
      </c>
      <c r="R1713" t="inlineStr">
        <is>
          <t>14周</t>
        </is>
      </c>
      <c r="S1713" t="inlineStr">
        <is>
          <t>70.55</t>
        </is>
      </c>
      <c r="T1713" t="inlineStr">
        <is>
          <t>服饰穿搭</t>
        </is>
      </c>
      <c r="U1713" t="inlineStr">
        <is>
          <t>鞋靴箱包</t>
        </is>
      </c>
      <c r="V1713" s="3">
        <v>46112.78107638889</v>
      </c>
      <c r="W1713" t="inlineStr">
        <is>
          <t>2026-Q1</t>
        </is>
      </c>
    </row>
    <row r="1714" ht="25.5" customHeight="1">
      <c r="A1714" t="inlineStr">
        <is>
          <t>Orange mood · 【全色号】显白爆款拍三免一美甲推荐免烤快干可撕拉</t>
        </is>
      </c>
      <c r="B1714" t="inlineStr">
        <is>
          <t>recvf5pAkIaPjd.jpg</t>
        </is>
      </c>
      <c r="C1714" s="2" t="str">
        <f>=HYPERLINK("https://xhslink.com/m/5vlK3xZ9qYu", "https://xhslink.com/m/5vlK3xZ9qYu")</f>
        <v>https://xhslink.com/m/5vlK3xZ9qYu</v>
      </c>
      <c r="D1714"/>
      <c r="E1714">
        <v>317000</v>
      </c>
      <c r="F1714">
        <v>19.8</v>
      </c>
      <c r="G1714"/>
      <c r="H1714">
        <v>200</v>
      </c>
      <c r="I1714" t="inlineStr">
        <is>
          <t>美甲美睫</t>
        </is>
      </c>
      <c r="J1714" t="inlineStr">
        <is>
          <t>0.00</t>
        </is>
      </c>
      <c r="K1714"/>
      <c r="L1714" t="inlineStr">
        <is>
          <t>Orange Mood的店</t>
        </is>
      </c>
      <c r="M1714">
        <v>142000</v>
      </c>
      <c r="N1714">
        <v>4.78</v>
      </c>
      <c r="O1714">
        <v>640000</v>
      </c>
      <c r="P1714" t="inlineStr">
        <is>
          <t>63590290a046e10001990638</t>
        </is>
      </c>
      <c r="Q1714" t="inlineStr">
        <is>
          <t>🚫重复</t>
        </is>
      </c>
      <c r="R1714" t="inlineStr">
        <is>
          <t>14周</t>
        </is>
      </c>
      <c r="S1714" t="inlineStr">
        <is>
          <t>2.23</t>
        </is>
      </c>
      <c r="T1714" t="inlineStr">
        <is>
          <t>美妆个护</t>
        </is>
      </c>
      <c r="U1714" t="inlineStr">
        <is>
          <t>护肤彩妆</t>
        </is>
      </c>
      <c r="V1714" s="3">
        <v>46112.78107638889</v>
      </c>
      <c r="W1714" t="inlineStr">
        <is>
          <t>2026-Q1</t>
        </is>
      </c>
    </row>
    <row r="1715" ht="25.5" customHeight="1">
      <c r="A1715" t="inlineStr">
        <is>
          <t>Dannycoll 丹妮蔻 · 素颜裸肤冰透裸色甲油胶推荐2026新款嬛嬛美甲同款裸色【需烤灯】</t>
        </is>
      </c>
      <c r="B1715" t="inlineStr">
        <is>
          <t>recvf5pAkIcKMa.jpg</t>
        </is>
      </c>
      <c r="C1715" s="2" t="str">
        <f>=HYPERLINK("https://xhslink.com/m/PWW7nAHs4F", "https://xhslink.com/m/PWW7nAHs4F")</f>
        <v>https://xhslink.com/m/PWW7nAHs4F</v>
      </c>
      <c r="D1715"/>
      <c r="E1715">
        <v>66000</v>
      </c>
      <c r="F1715">
        <v>15.8</v>
      </c>
      <c r="G1715">
        <v>13.43</v>
      </c>
      <c r="H1715">
        <v>200</v>
      </c>
      <c r="I1715" t="inlineStr">
        <is>
          <t>美甲美睫</t>
        </is>
      </c>
      <c r="J1715" t="inlineStr">
        <is>
          <t>0.00</t>
        </is>
      </c>
      <c r="K1715"/>
      <c r="L1715" t="inlineStr">
        <is>
          <t>丹妮蔻DANNY COLL旗舰店</t>
        </is>
      </c>
      <c r="M1715">
        <v>26000</v>
      </c>
      <c r="N1715">
        <v>4.56</v>
      </c>
      <c r="O1715">
        <v>249000</v>
      </c>
      <c r="P1715" t="inlineStr">
        <is>
          <t>66397fd05b71d300011f8a1d</t>
        </is>
      </c>
      <c r="Q1715" t="inlineStr">
        <is>
          <t>🚫重复</t>
        </is>
      </c>
      <c r="R1715" t="inlineStr">
        <is>
          <t>14周</t>
        </is>
      </c>
      <c r="S1715" t="inlineStr">
        <is>
          <t>2.54</t>
        </is>
      </c>
      <c r="T1715" t="inlineStr">
        <is>
          <t>美妆个护</t>
        </is>
      </c>
      <c r="U1715" t="inlineStr">
        <is>
          <t>护肤彩妆</t>
        </is>
      </c>
      <c r="V1715" s="3">
        <v>46112.78107638889</v>
      </c>
      <c r="W1715" t="inlineStr">
        <is>
          <t>2026-Q1</t>
        </is>
      </c>
    </row>
    <row r="1716" ht="25.5" customHeight="1">
      <c r="A1716" t="inlineStr">
        <is>
          <t>乳果那年 · 【春日市集】山竹冰茉莉白葡萄甜酒6度低度数微醺果酒晚安酒720ml</t>
        </is>
      </c>
      <c r="B1716" t="inlineStr">
        <is>
          <t>recvf5pAkIMM70.jpg</t>
        </is>
      </c>
      <c r="C1716" s="2" t="str">
        <f>=HYPERLINK("https://xhslink.com/m/7XXTyKnc7Qb", "https://xhslink.com/m/7XXTyKnc7Qb")</f>
        <v>https://xhslink.com/m/7XXTyKnc7Qb</v>
      </c>
      <c r="D1716"/>
      <c r="E1716">
        <v>39000</v>
      </c>
      <c r="F1716">
        <v>63.9</v>
      </c>
      <c r="G1716">
        <v>40.9</v>
      </c>
      <c r="H1716">
        <v>200</v>
      </c>
      <c r="I1716" t="inlineStr">
        <is>
          <t>白葡萄酒</t>
        </is>
      </c>
      <c r="J1716" t="inlineStr">
        <is>
          <t>0.01</t>
        </is>
      </c>
      <c r="K1716"/>
      <c r="L1716" t="inlineStr">
        <is>
          <t>乳果那年旗舰店</t>
        </is>
      </c>
      <c r="M1716">
        <v>30000</v>
      </c>
      <c r="N1716">
        <v>4.47</v>
      </c>
      <c r="O1716">
        <v>60000</v>
      </c>
      <c r="P1716" t="inlineStr">
        <is>
          <t>686f5238739881000109129b</t>
        </is>
      </c>
      <c r="Q1716" t="inlineStr">
        <is>
          <t>🚫重复</t>
        </is>
      </c>
      <c r="R1716" t="inlineStr">
        <is>
          <t>14周</t>
        </is>
      </c>
      <c r="S1716" t="inlineStr">
        <is>
          <t>1.30</t>
        </is>
      </c>
      <c r="T1716" t="inlineStr">
        <is>
          <t>美食滋补</t>
        </is>
      </c>
      <c r="U1716" t="inlineStr">
        <is>
          <t>酒水冲饮</t>
        </is>
      </c>
      <c r="V1716" s="3">
        <v>46112.78107638889</v>
      </c>
      <c r="W1716" t="inlineStr">
        <is>
          <t>2026-Q1</t>
        </is>
      </c>
    </row>
    <row r="1717" ht="25.5" customHeight="1">
      <c r="A1717" t="inlineStr">
        <is>
          <t>Tangle · 温变系列扭扭乐ADHD专注力手指训练神器解压小玩具</t>
        </is>
      </c>
      <c r="B1717" t="inlineStr">
        <is>
          <t>recvf5pAkInpGj.jpg</t>
        </is>
      </c>
      <c r="C1717" s="2" t="str">
        <f>=HYPERLINK("https://xhslink.com/m/7sb9F37JrQh", "https://xhslink.com/m/7sb9F37JrQh")</f>
        <v>https://xhslink.com/m/7sb9F37JrQh</v>
      </c>
      <c r="D1717"/>
      <c r="E1717">
        <v>41000</v>
      </c>
      <c r="F1717">
        <v>50</v>
      </c>
      <c r="G1717"/>
      <c r="H1717">
        <v>200</v>
      </c>
      <c r="I1717" t="inlineStr">
        <is>
          <t>解压</t>
        </is>
      </c>
      <c r="J1717" t="inlineStr">
        <is>
          <t>0.00</t>
        </is>
      </c>
      <c r="K1717"/>
      <c r="L1717" t="inlineStr">
        <is>
          <t>Tangle旗舰店</t>
        </is>
      </c>
      <c r="M1717">
        <v>83000</v>
      </c>
      <c r="N1717">
        <v>4.52</v>
      </c>
      <c r="O1717">
        <v>147000</v>
      </c>
      <c r="P1717" t="inlineStr">
        <is>
          <t>69057a707be2990015b75cc0</t>
        </is>
      </c>
      <c r="Q1717" t="inlineStr">
        <is>
          <t>🚫重复</t>
        </is>
      </c>
      <c r="R1717" t="inlineStr">
        <is>
          <t>14周</t>
        </is>
      </c>
      <c r="S1717" t="inlineStr">
        <is>
          <t>0.49</t>
        </is>
      </c>
      <c r="T1717" t="inlineStr">
        <is>
          <t>母婴亲子</t>
        </is>
      </c>
      <c r="U1717" t="inlineStr">
        <is>
          <t>玩具早教</t>
        </is>
      </c>
      <c r="V1717" s="3">
        <v>46112.78107638889</v>
      </c>
      <c r="W1717" t="inlineStr">
        <is>
          <t>2026-Q1</t>
        </is>
      </c>
    </row>
    <row r="1718" ht="25.5" customHeight="1">
      <c r="A1718" t="inlineStr">
        <is>
          <t>二合一跑步短裤！男女同款自带打底裤夏户外训练运动速干三分裤</t>
        </is>
      </c>
      <c r="B1718" t="inlineStr">
        <is>
          <t>recvf5pAkIaKSi.jpg</t>
        </is>
      </c>
      <c r="C1718" s="2" t="str">
        <f>=HYPERLINK("https://xhslink.com/m/4WxTaUBItnI", "https://xhslink.com/m/4WxTaUBItnI")</f>
        <v>https://xhslink.com/m/4WxTaUBItnI</v>
      </c>
      <c r="D1718"/>
      <c r="E1718">
        <v>6787</v>
      </c>
      <c r="F1718">
        <v>69</v>
      </c>
      <c r="G1718"/>
      <c r="H1718">
        <v>200</v>
      </c>
      <c r="I1718" t="inlineStr">
        <is>
          <t>运动裤</t>
        </is>
      </c>
      <c r="J1718" t="inlineStr">
        <is>
          <t>0.03</t>
        </is>
      </c>
      <c r="K1718"/>
      <c r="L1718" t="inlineStr">
        <is>
          <t>福多外贸服饰的店</t>
        </is>
      </c>
      <c r="M1718">
        <v>11000</v>
      </c>
      <c r="N1718">
        <v>4.53</v>
      </c>
      <c r="O1718">
        <v>174000</v>
      </c>
      <c r="P1718" t="inlineStr">
        <is>
          <t>6800fd3c7107a800010d8800</t>
        </is>
      </c>
      <c r="Q1718" t="inlineStr">
        <is>
          <t>🚫重复</t>
        </is>
      </c>
      <c r="R1718" t="inlineStr">
        <is>
          <t>14周</t>
        </is>
      </c>
      <c r="S1718" t="inlineStr">
        <is>
          <t>0.62</t>
        </is>
      </c>
      <c r="T1718" t="inlineStr">
        <is>
          <t>服饰穿搭</t>
        </is>
      </c>
      <c r="U1718" t="inlineStr">
        <is>
          <t>女装</t>
        </is>
      </c>
      <c r="V1718" s="3">
        <v>46112.78107638889</v>
      </c>
      <c r="W1718" t="inlineStr">
        <is>
          <t>2026-Q1</t>
        </is>
      </c>
    </row>
    <row r="1719" ht="25.5" customHeight="1">
      <c r="A1719" t="inlineStr">
        <is>
          <t>帕梅拉莫代尔空气层垂垂裤春夏高腰显瘦百搭垂感运动直筒裤M80147</t>
        </is>
      </c>
      <c r="B1719" t="inlineStr">
        <is>
          <t>recvf5pAkIgQnr.jpg</t>
        </is>
      </c>
      <c r="C1719" s="2" t="str">
        <f>=HYPERLINK("https://xhslink.com/m/28HQiKm6VhL", "https://xhslink.com/m/28HQiKm6VhL")</f>
        <v>https://xhslink.com/m/28HQiKm6VhL</v>
      </c>
      <c r="D1719"/>
      <c r="E1719">
        <v>6437</v>
      </c>
      <c r="F1719">
        <v>119.9</v>
      </c>
      <c r="G1719"/>
      <c r="H1719">
        <v>200</v>
      </c>
      <c r="I1719" t="inlineStr">
        <is>
          <t>运动裤</t>
        </is>
      </c>
      <c r="J1719" t="inlineStr">
        <is>
          <t>0.03</t>
        </is>
      </c>
      <c r="K1719"/>
      <c r="L1719" t="inlineStr">
        <is>
          <t>青岛瑜伽工厂的店</t>
        </is>
      </c>
      <c r="M1719">
        <v>28000</v>
      </c>
      <c r="N1719">
        <v>4.55</v>
      </c>
      <c r="O1719">
        <v>57000</v>
      </c>
      <c r="P1719" t="inlineStr">
        <is>
          <t>69af4dc7dd2f4400016ee681</t>
        </is>
      </c>
      <c r="Q1719"/>
      <c r="R1719" t="inlineStr">
        <is>
          <t>14周</t>
        </is>
      </c>
      <c r="S1719" t="inlineStr">
        <is>
          <t>0.23</t>
        </is>
      </c>
      <c r="T1719" t="inlineStr">
        <is>
          <t>服饰穿搭</t>
        </is>
      </c>
      <c r="U1719" t="inlineStr">
        <is>
          <t>女装</t>
        </is>
      </c>
      <c r="V1719" s="3">
        <v>46112.78107638889</v>
      </c>
      <c r="W1719" t="inlineStr">
        <is>
          <t>2026-Q1</t>
        </is>
      </c>
    </row>
    <row r="1720" ht="25.5" customHeight="1">
      <c r="A1720" t="inlineStr">
        <is>
          <t>瑜伽小熊 · 复古文艺-国风棉麻宽松百搭松紧瑜伽灯笼裤运动普拉提束脚家居裤</t>
        </is>
      </c>
      <c r="B1720" t="inlineStr">
        <is>
          <t>recvf5pAkIm8kY.jpg</t>
        </is>
      </c>
      <c r="C1720" s="2" t="str">
        <f>=HYPERLINK("https://xhslink.com/m/ALSIyC3iU7n", "https://xhslink.com/m/ALSIyC3iU7n")</f>
        <v>https://xhslink.com/m/ALSIyC3iU7n</v>
      </c>
      <c r="D1720"/>
      <c r="E1720">
        <v>6606</v>
      </c>
      <c r="F1720">
        <v>99</v>
      </c>
      <c r="G1720"/>
      <c r="H1720">
        <v>200</v>
      </c>
      <c r="I1720" t="inlineStr">
        <is>
          <t>运动裤</t>
        </is>
      </c>
      <c r="J1720" t="inlineStr">
        <is>
          <t>0.03</t>
        </is>
      </c>
      <c r="K1720"/>
      <c r="L1720" t="inlineStr">
        <is>
          <t>瑜伽小熊带你练瑜伽的店</t>
        </is>
      </c>
      <c r="M1720">
        <v>155000</v>
      </c>
      <c r="N1720">
        <v>4.56</v>
      </c>
      <c r="O1720">
        <v>220000</v>
      </c>
      <c r="P1720" t="inlineStr">
        <is>
          <t>687a5363f9d7c800011fb57f</t>
        </is>
      </c>
      <c r="Q1720" t="inlineStr">
        <is>
          <t>🚫重复</t>
        </is>
      </c>
      <c r="R1720" t="inlineStr">
        <is>
          <t>14周</t>
        </is>
      </c>
      <c r="S1720" t="inlineStr">
        <is>
          <t>0.04</t>
        </is>
      </c>
      <c r="T1720" t="inlineStr">
        <is>
          <t>运动潮玩</t>
        </is>
      </c>
      <c r="U1720" t="inlineStr">
        <is>
          <t>运动户外装备</t>
        </is>
      </c>
      <c r="V1720" s="3">
        <v>46112.78107638889</v>
      </c>
      <c r="W1720" t="inlineStr">
        <is>
          <t>2026-Q1</t>
        </is>
      </c>
    </row>
    <row r="1721" ht="25.5" customHeight="1">
      <c r="A1721" t="inlineStr">
        <is>
          <t>星之诺 2026春季简约设计感纯色松紧腰运动休闲汉麻裤BB01</t>
        </is>
      </c>
      <c r="B1721" t="inlineStr">
        <is>
          <t>recvf5pAkIRdwK.jpg</t>
        </is>
      </c>
      <c r="C1721" s="2" t="str">
        <f>=HYPERLINK("https://xhslink.com/m/w6Ow9PpI32", "https://xhslink.com/m/w6Ow9PpI32")</f>
        <v>https://xhslink.com/m/w6Ow9PpI32</v>
      </c>
      <c r="D1721"/>
      <c r="E1721">
        <v>1434</v>
      </c>
      <c r="F1721">
        <v>139.9</v>
      </c>
      <c r="G1721"/>
      <c r="H1721">
        <v>200</v>
      </c>
      <c r="I1721" t="inlineStr">
        <is>
          <t>运动裤</t>
        </is>
      </c>
      <c r="J1721" t="inlineStr">
        <is>
          <t>0.14</t>
        </is>
      </c>
      <c r="K1721" t="inlineStr">
        <is>
          <t>🔥低粉爆款</t>
        </is>
      </c>
      <c r="L1721" t="inlineStr">
        <is>
          <t>星之诺服装工厂2号的店</t>
        </is>
      </c>
      <c r="M1721">
        <v>47</v>
      </c>
      <c r="N1721">
        <v>4.35</v>
      </c>
      <c r="O1721">
        <v>25000</v>
      </c>
      <c r="P1721" t="inlineStr">
        <is>
          <t>69bd1aecc0b0790015cb6182</t>
        </is>
      </c>
      <c r="Q1721"/>
      <c r="R1721" t="inlineStr">
        <is>
          <t>14周</t>
        </is>
      </c>
      <c r="S1721" t="inlineStr">
        <is>
          <t>30.51</t>
        </is>
      </c>
      <c r="T1721" t="inlineStr">
        <is>
          <t>运动潮玩</t>
        </is>
      </c>
      <c r="U1721" t="inlineStr">
        <is>
          <t>运动户外装备</t>
        </is>
      </c>
      <c r="V1721" s="3">
        <v>46112.78107638889</v>
      </c>
      <c r="W1721" t="inlineStr">
        <is>
          <t>2026-Q1</t>
        </is>
      </c>
    </row>
    <row r="1722" ht="25.5" customHeight="1">
      <c r="A1722" t="inlineStr">
        <is>
          <t>ins风可爱pingu企鹅卡通陶瓷杯手绘可爱马克杯情侣杯网红杯手握杯</t>
        </is>
      </c>
      <c r="B1722" t="inlineStr">
        <is>
          <t>recvf5pAkI3Oip.jpg</t>
        </is>
      </c>
      <c r="C1722" s="2" t="str">
        <f>=HYPERLINK("https://xhslink.com/m/19sFZmmkU3J", "https://xhslink.com/m/19sFZmmkU3J")</f>
        <v>https://xhslink.com/m/19sFZmmkU3J</v>
      </c>
      <c r="D1722"/>
      <c r="E1722">
        <v>4082</v>
      </c>
      <c r="F1722">
        <v>26.9</v>
      </c>
      <c r="G1722">
        <v>15.9</v>
      </c>
      <c r="H1722">
        <v>200</v>
      </c>
      <c r="I1722" t="inlineStr">
        <is>
          <t>陶瓷</t>
        </is>
      </c>
      <c r="J1722" t="inlineStr">
        <is>
          <t>0.05</t>
        </is>
      </c>
      <c r="K1722" t="inlineStr">
        <is>
          <t>🔥低粉爆款</t>
        </is>
      </c>
      <c r="L1722" t="inlineStr">
        <is>
          <t>早早am的店</t>
        </is>
      </c>
      <c r="M1722">
        <v>1253</v>
      </c>
      <c r="N1722">
        <v>4.68</v>
      </c>
      <c r="O1722">
        <v>6385</v>
      </c>
      <c r="P1722" t="inlineStr">
        <is>
          <t>68ff57a5ae1c170001144af2</t>
        </is>
      </c>
      <c r="Q1722"/>
      <c r="R1722" t="inlineStr">
        <is>
          <t>14周</t>
        </is>
      </c>
      <c r="S1722" t="inlineStr">
        <is>
          <t>3.26</t>
        </is>
      </c>
      <c r="T1722" t="inlineStr">
        <is>
          <t>家居生活</t>
        </is>
      </c>
      <c r="U1722" t="inlineStr">
        <is>
          <t>厨房餐饮</t>
        </is>
      </c>
      <c r="V1722" s="3">
        <v>46112.78107638889</v>
      </c>
      <c r="W1722" t="inlineStr">
        <is>
          <t>2026-Q1</t>
        </is>
      </c>
    </row>
    <row r="1723" ht="25.5" customHeight="1">
      <c r="A1723" t="inlineStr">
        <is>
          <t>新品· 小苍兰系列复古风芝麻釉陶瓷米饭碗一人食碗盘套装酸奶碗</t>
        </is>
      </c>
      <c r="B1723" t="inlineStr">
        <is>
          <t>recvf5pAkIvNQn.jpg</t>
        </is>
      </c>
      <c r="C1723" s="2" t="str">
        <f>=HYPERLINK("https://xhslink.com/m/3AvL5QWwHjS", "https://xhslink.com/m/3AvL5QWwHjS")</f>
        <v>https://xhslink.com/m/3AvL5QWwHjS</v>
      </c>
      <c r="D1723"/>
      <c r="E1723">
        <v>9154</v>
      </c>
      <c r="F1723">
        <v>28.8</v>
      </c>
      <c r="G1723"/>
      <c r="H1723">
        <v>200</v>
      </c>
      <c r="I1723" t="inlineStr">
        <is>
          <t>陶瓷</t>
        </is>
      </c>
      <c r="J1723" t="inlineStr">
        <is>
          <t>0.02</t>
        </is>
      </c>
      <c r="K1723"/>
      <c r="L1723" t="inlineStr">
        <is>
          <t>Mno 米诺家的店</t>
        </is>
      </c>
      <c r="M1723">
        <v>1125000</v>
      </c>
      <c r="N1723">
        <v>4.38</v>
      </c>
      <c r="O1723">
        <v>828000</v>
      </c>
      <c r="P1723" t="inlineStr">
        <is>
          <t>69841b5b9814200001b67766</t>
        </is>
      </c>
      <c r="Q1723"/>
      <c r="R1723" t="inlineStr">
        <is>
          <t>14周</t>
        </is>
      </c>
      <c r="S1723" t="inlineStr">
        <is>
          <t>0.01</t>
        </is>
      </c>
      <c r="T1723" t="inlineStr">
        <is>
          <t>家居生活</t>
        </is>
      </c>
      <c r="U1723" t="inlineStr">
        <is>
          <t>厨房餐饮</t>
        </is>
      </c>
      <c r="V1723" s="3">
        <v>46112.78107638889</v>
      </c>
      <c r="W1723" t="inlineStr">
        <is>
          <t>2026-Q1</t>
        </is>
      </c>
    </row>
    <row r="1724" ht="25.5" customHeight="1">
      <c r="A1724" t="inlineStr">
        <is>
          <t>清仓手绘线条贴画小象陶瓷马克杯</t>
        </is>
      </c>
      <c r="B1724" t="inlineStr">
        <is>
          <t>recvf5pAkIFZbq.jpg</t>
        </is>
      </c>
      <c r="C1724" s="2" t="str">
        <f>=HYPERLINK("https://xhslink.com/m/2nWVu7HxIiV", "https://xhslink.com/m/2nWVu7HxIiV")</f>
        <v>https://xhslink.com/m/2nWVu7HxIiV</v>
      </c>
      <c r="D1724"/>
      <c r="E1724">
        <v>3845</v>
      </c>
      <c r="F1724">
        <v>59</v>
      </c>
      <c r="G1724"/>
      <c r="H1724">
        <v>200</v>
      </c>
      <c r="I1724" t="inlineStr">
        <is>
          <t>陶瓷</t>
        </is>
      </c>
      <c r="J1724" t="inlineStr">
        <is>
          <t>0.05</t>
        </is>
      </c>
      <c r="K1724"/>
      <c r="L1724" t="inlineStr">
        <is>
          <t>L'été je veux grandir的店</t>
        </is>
      </c>
      <c r="M1724">
        <v>10000</v>
      </c>
      <c r="N1724">
        <v>4.01</v>
      </c>
      <c r="O1724">
        <v>22000</v>
      </c>
      <c r="P1724" t="inlineStr">
        <is>
          <t>696848e9adb68400010c9441</t>
        </is>
      </c>
      <c r="Q1724"/>
      <c r="R1724" t="inlineStr">
        <is>
          <t>14周</t>
        </is>
      </c>
      <c r="S1724" t="inlineStr">
        <is>
          <t>0.38</t>
        </is>
      </c>
      <c r="T1724" t="inlineStr">
        <is>
          <t>家居生活</t>
        </is>
      </c>
      <c r="U1724" t="inlineStr">
        <is>
          <t>厨房餐饮</t>
        </is>
      </c>
      <c r="V1724" s="3">
        <v>46112.78107638889</v>
      </c>
      <c r="W1724" t="inlineStr">
        <is>
          <t>2026-Q1</t>
        </is>
      </c>
    </row>
    <row r="1725" ht="25.5" customHeight="1">
      <c r="A1725" t="inlineStr">
        <is>
          <t>【儿保推荐】0~3岁蒙氏拼图中英双语启蒙早教蒙氏玩具婴童专用</t>
        </is>
      </c>
      <c r="B1725" t="inlineStr">
        <is>
          <t>recvfenb18xE52.jpg</t>
        </is>
      </c>
      <c r="C1725" s="2" t="str">
        <f>=HYPERLINK("https://xhslink.com/m/7BQH8o1XPKB", "https://xhslink.com/m/7BQH8o1XPKB")</f>
        <v>https://xhslink.com/m/7BQH8o1XPKB</v>
      </c>
      <c r="D1725"/>
      <c r="E1725">
        <v>54000</v>
      </c>
      <c r="F1725">
        <v>19.9</v>
      </c>
      <c r="G1725">
        <v>14.9</v>
      </c>
      <c r="H1725">
        <v>200</v>
      </c>
      <c r="I1725" t="inlineStr">
        <is>
          <t>益智玩具</t>
        </is>
      </c>
      <c r="J1725" t="inlineStr">
        <is>
          <t>0.00</t>
        </is>
      </c>
      <c r="K1725" t="inlineStr">
        <is>
          <t>🔥低粉爆款</t>
        </is>
      </c>
      <c r="L1725" t="inlineStr">
        <is>
          <t>辣妈美美好物（90斤版）的店</t>
        </is>
      </c>
      <c r="M1725">
        <v>6339</v>
      </c>
      <c r="N1725">
        <v>4.65</v>
      </c>
      <c r="O1725">
        <v>204000</v>
      </c>
      <c r="P1725" t="inlineStr">
        <is>
          <t>68b67eea4290ae00157b3bdb</t>
        </is>
      </c>
      <c r="Q1725" t="inlineStr">
        <is>
          <t>🚫重复</t>
        </is>
      </c>
      <c r="R1725" t="inlineStr">
        <is>
          <t>14周</t>
        </is>
      </c>
      <c r="S1725" t="inlineStr">
        <is>
          <t>8.52</t>
        </is>
      </c>
      <c r="T1725" t="inlineStr">
        <is>
          <t>母婴亲子</t>
        </is>
      </c>
      <c r="U1725" t="inlineStr">
        <is>
          <t>玩具早教</t>
        </is>
      </c>
      <c r="V1725" s="3">
        <v>46112.78107638889</v>
      </c>
      <c r="W1725" t="inlineStr">
        <is>
          <t>2026-Q1</t>
        </is>
      </c>
    </row>
    <row r="1726" ht="25.5" customHeight="1">
      <c r="A1726" t="inlineStr">
        <is>
          <t>大容量旅行包女手提行李包短途出差旅游袋待产收纳包运动健身包袋</t>
        </is>
      </c>
      <c r="B1726" t="inlineStr">
        <is>
          <t>recvfenb18hxq5.jpg</t>
        </is>
      </c>
      <c r="C1726" s="2" t="str">
        <f>=HYPERLINK("https://xhslink.com/m/1CfBcIrBi06", "https://xhslink.com/m/1CfBcIrBi06")</f>
        <v>https://xhslink.com/m/1CfBcIrBi06</v>
      </c>
      <c r="D1726"/>
      <c r="E1726">
        <v>121000</v>
      </c>
      <c r="F1726">
        <v>39.9</v>
      </c>
      <c r="G1726"/>
      <c r="H1726">
        <v>200</v>
      </c>
      <c r="I1726" t="inlineStr">
        <is>
          <t>包收纳</t>
        </is>
      </c>
      <c r="J1726" t="inlineStr">
        <is>
          <t>0.00</t>
        </is>
      </c>
      <c r="K1726" t="inlineStr">
        <is>
          <t>🔥低粉爆款</t>
        </is>
      </c>
      <c r="L1726" t="inlineStr">
        <is>
          <t>小荆皮具的店</t>
        </is>
      </c>
      <c r="M1726">
        <v>9529</v>
      </c>
      <c r="N1726">
        <v>4.74</v>
      </c>
      <c r="O1726">
        <v>207000</v>
      </c>
      <c r="P1726" t="inlineStr">
        <is>
          <t>6871d2017398810001645956</t>
        </is>
      </c>
      <c r="Q1726" t="inlineStr">
        <is>
          <t>🚫重复</t>
        </is>
      </c>
      <c r="R1726" t="inlineStr">
        <is>
          <t>14周</t>
        </is>
      </c>
      <c r="S1726" t="inlineStr">
        <is>
          <t>12.70</t>
        </is>
      </c>
      <c r="T1726" t="inlineStr">
        <is>
          <t>运动潮玩</t>
        </is>
      </c>
      <c r="U1726" t="inlineStr">
        <is>
          <t>旅行出行</t>
        </is>
      </c>
      <c r="V1726" s="3">
        <v>46112.78107638889</v>
      </c>
      <c r="W1726" t="inlineStr">
        <is>
          <t>2026-Q1</t>
        </is>
      </c>
    </row>
    <row r="1727" ht="25.5" customHeight="1">
      <c r="A1727" t="inlineStr">
        <is>
          <t>森之物Thingswoo · 猫猫情绪盲盒打工人办公室桌面摆件治愈系小众可爱男女生生日礼物</t>
        </is>
      </c>
      <c r="B1727" t="inlineStr">
        <is>
          <t>recvfenb1864jx.jpg</t>
        </is>
      </c>
      <c r="C1727" s="2" t="str">
        <f>=HYPERLINK("https://xhslink.com/m/2KU227DBBus", "https://xhslink.com/m/2KU227DBBus")</f>
        <v>https://xhslink.com/m/2KU227DBBus</v>
      </c>
      <c r="D1727"/>
      <c r="E1727">
        <v>9058</v>
      </c>
      <c r="F1727">
        <v>17.9</v>
      </c>
      <c r="G1727">
        <v>14.9</v>
      </c>
      <c r="H1727">
        <v>200</v>
      </c>
      <c r="I1727" t="inlineStr">
        <is>
          <t>家居装饰</t>
        </is>
      </c>
      <c r="J1727" t="inlineStr">
        <is>
          <t>0.02</t>
        </is>
      </c>
      <c r="K1727" t="inlineStr">
        <is>
          <t>🔥低粉爆款</t>
        </is>
      </c>
      <c r="L1727" t="inlineStr">
        <is>
          <t>一口小甜咪的店</t>
        </is>
      </c>
      <c r="M1727">
        <v>1620</v>
      </c>
      <c r="N1727">
        <v>4.7</v>
      </c>
      <c r="O1727">
        <v>10000</v>
      </c>
      <c r="P1727" t="inlineStr">
        <is>
          <t>6923dfff2f4b40000169a932</t>
        </is>
      </c>
      <c r="Q1727" t="inlineStr">
        <is>
          <t>🚫重复</t>
        </is>
      </c>
      <c r="R1727" t="inlineStr">
        <is>
          <t>14周</t>
        </is>
      </c>
      <c r="S1727" t="inlineStr">
        <is>
          <t>5.59</t>
        </is>
      </c>
      <c r="T1727" t="inlineStr">
        <is>
          <t>家居生活</t>
        </is>
      </c>
      <c r="U1727" t="inlineStr">
        <is>
          <t>家具家装</t>
        </is>
      </c>
      <c r="V1727" s="3">
        <v>46112.78107638889</v>
      </c>
      <c r="W1727" t="inlineStr">
        <is>
          <t>2026-Q1</t>
        </is>
      </c>
    </row>
    <row r="1728" ht="25.5" customHeight="1">
      <c r="A1728" t="inlineStr">
        <is>
          <t>插画海报小夜灯卧室客厅沙发角落书桌氛围感2025新款今年流行灯</t>
        </is>
      </c>
      <c r="B1728" t="inlineStr">
        <is>
          <t>recvfenb18qnro.jpg</t>
        </is>
      </c>
      <c r="C1728" s="2" t="str">
        <f>=HYPERLINK("https://xhslink.com/m/DlqnXsxUfZ", "https://xhslink.com/m/DlqnXsxUfZ")</f>
        <v>https://xhslink.com/m/DlqnXsxUfZ</v>
      </c>
      <c r="D1728"/>
      <c r="E1728">
        <v>3240</v>
      </c>
      <c r="F1728">
        <v>49.9</v>
      </c>
      <c r="G1728">
        <v>42.41</v>
      </c>
      <c r="H1728">
        <v>200</v>
      </c>
      <c r="I1728" t="inlineStr">
        <is>
          <t>家居装饰</t>
        </is>
      </c>
      <c r="J1728" t="inlineStr">
        <is>
          <t>0.06</t>
        </is>
      </c>
      <c r="K1728"/>
      <c r="L1728" t="inlineStr">
        <is>
          <t>原画in room的店</t>
        </is>
      </c>
      <c r="M1728">
        <v>1461</v>
      </c>
      <c r="N1728">
        <v>4.69</v>
      </c>
      <c r="O1728">
        <v>3458</v>
      </c>
      <c r="P1728" t="inlineStr">
        <is>
          <t>68a48d38dc73de000142f89a</t>
        </is>
      </c>
      <c r="Q1728" t="inlineStr">
        <is>
          <t>🚫重复</t>
        </is>
      </c>
      <c r="R1728" t="inlineStr">
        <is>
          <t>14周</t>
        </is>
      </c>
      <c r="S1728" t="inlineStr">
        <is>
          <t>2.22</t>
        </is>
      </c>
      <c r="T1728" t="inlineStr">
        <is>
          <t>家居生活</t>
        </is>
      </c>
      <c r="U1728" t="inlineStr">
        <is>
          <t>家具家装</t>
        </is>
      </c>
      <c r="V1728" s="3">
        <v>46112.78107638889</v>
      </c>
      <c r="W1728" t="inlineStr">
        <is>
          <t>2026-Q1</t>
        </is>
      </c>
    </row>
    <row r="1729" ht="25.5" customHeight="1">
      <c r="A1729" t="inlineStr">
        <is>
          <t>【矮牵牛】10cm盆栽苗（请查看详情页再下单）全店满39包邮</t>
        </is>
      </c>
      <c r="B1729" t="inlineStr">
        <is>
          <t>recvfenb1816VH.jpg</t>
        </is>
      </c>
      <c r="C1729" s="2" t="str">
        <f>=HYPERLINK("https://xhslink.com/m/6i5PmTz7fzx", "https://xhslink.com/m/6i5PmTz7fzx")</f>
        <v>https://xhslink.com/m/6i5PmTz7fzx</v>
      </c>
      <c r="D1729"/>
      <c r="E1729">
        <v>23000</v>
      </c>
      <c r="F1729">
        <v>7.9</v>
      </c>
      <c r="G1729"/>
      <c r="H1729">
        <v>200</v>
      </c>
      <c r="I1729" t="inlineStr">
        <is>
          <t>花</t>
        </is>
      </c>
      <c r="J1729" t="inlineStr">
        <is>
          <t>0.01</t>
        </is>
      </c>
      <c r="K1729"/>
      <c r="L1729" t="inlineStr">
        <is>
          <t>深夜种花的男子-48小时内发货的店</t>
        </is>
      </c>
      <c r="M1729">
        <v>28000</v>
      </c>
      <c r="N1729">
        <v>4.6</v>
      </c>
      <c r="O1729">
        <v>163000</v>
      </c>
      <c r="P1729" t="inlineStr">
        <is>
          <t>67612b7479f3cb0001601c84</t>
        </is>
      </c>
      <c r="Q1729" t="inlineStr">
        <is>
          <t>🚫重复</t>
        </is>
      </c>
      <c r="R1729" t="inlineStr">
        <is>
          <t>14周</t>
        </is>
      </c>
      <c r="S1729" t="inlineStr">
        <is>
          <t>0.82</t>
        </is>
      </c>
      <c r="T1729" t="inlineStr">
        <is>
          <t>家居生活</t>
        </is>
      </c>
      <c r="U1729" t="inlineStr">
        <is>
          <t>家具家装</t>
        </is>
      </c>
      <c r="V1729" s="3">
        <v>46112.78107638889</v>
      </c>
      <c r="W1729" t="inlineStr">
        <is>
          <t>2026-Q1</t>
        </is>
      </c>
    </row>
    <row r="1730" ht="25.5" customHeight="1">
      <c r="A1730" t="inlineStr">
        <is>
          <t>顺丰物流-星星蝴蝶兰【威尼斯】单颗3.0寸杯（开放度低 多花苞）</t>
        </is>
      </c>
      <c r="B1730" t="inlineStr">
        <is>
          <t>recvfenb18sfT4.jpg</t>
        </is>
      </c>
      <c r="C1730" s="2" t="str">
        <f>=HYPERLINK("https://xhslink.com/m/5od85znBOLK", "https://xhslink.com/m/5od85znBOLK")</f>
        <v>https://xhslink.com/m/5od85znBOLK</v>
      </c>
      <c r="D1730"/>
      <c r="E1730">
        <v>5244</v>
      </c>
      <c r="F1730">
        <v>39.8</v>
      </c>
      <c r="G1730"/>
      <c r="H1730">
        <v>200</v>
      </c>
      <c r="I1730" t="inlineStr">
        <is>
          <t>花</t>
        </is>
      </c>
      <c r="J1730" t="inlineStr">
        <is>
          <t>0.04</t>
        </is>
      </c>
      <c r="K1730"/>
      <c r="L1730" t="inlineStr">
        <is>
          <t>星星蝴蝶兰的店</t>
        </is>
      </c>
      <c r="M1730">
        <v>33000</v>
      </c>
      <c r="N1730">
        <v>4.49</v>
      </c>
      <c r="O1730">
        <v>61000</v>
      </c>
      <c r="P1730" t="inlineStr">
        <is>
          <t>6937cf9402483f0001363d8d</t>
        </is>
      </c>
      <c r="Q1730" t="inlineStr">
        <is>
          <t>🚫重复</t>
        </is>
      </c>
      <c r="R1730" t="inlineStr">
        <is>
          <t>14周</t>
        </is>
      </c>
      <c r="S1730" t="inlineStr">
        <is>
          <t>0.16</t>
        </is>
      </c>
      <c r="T1730" t="inlineStr">
        <is>
          <t>家居生活</t>
        </is>
      </c>
      <c r="U1730" t="inlineStr">
        <is>
          <t>厨房餐饮</t>
        </is>
      </c>
      <c r="V1730" s="3">
        <v>46112.78107638889</v>
      </c>
      <c r="W1730" t="inlineStr">
        <is>
          <t>2026-Q1</t>
        </is>
      </c>
    </row>
    <row r="1731" ht="25.5" customHeight="1">
      <c r="A1731" t="inlineStr">
        <is>
          <t>春日桃桃六初  60cm左右 包邮    0下拍保温棉</t>
        </is>
      </c>
      <c r="B1731" t="inlineStr">
        <is>
          <t>recvfenb181nGc.jpg</t>
        </is>
      </c>
      <c r="C1731" s="2" t="str">
        <f>=HYPERLINK("https://xhslink.com/m/2Tgx8IdEITt", "https://xhslink.com/m/2Tgx8IdEITt")</f>
        <v>https://xhslink.com/m/2Tgx8IdEITt</v>
      </c>
      <c r="D1731"/>
      <c r="E1731">
        <v>2871</v>
      </c>
      <c r="F1731">
        <v>34.99</v>
      </c>
      <c r="G1731"/>
      <c r="H1731">
        <v>200</v>
      </c>
      <c r="I1731" t="inlineStr">
        <is>
          <t>花</t>
        </is>
      </c>
      <c r="J1731" t="inlineStr">
        <is>
          <t>0.07</t>
        </is>
      </c>
      <c r="K1731" t="inlineStr">
        <is>
          <t>🔥低粉爆款</t>
        </is>
      </c>
      <c r="L1731" t="inlineStr">
        <is>
          <t>阿呆花卉5号店的店</t>
        </is>
      </c>
      <c r="M1731">
        <v>65</v>
      </c>
      <c r="N1731">
        <v>4.44</v>
      </c>
      <c r="O1731">
        <v>40000</v>
      </c>
      <c r="P1731" t="inlineStr">
        <is>
          <t>69aef456f89e9d001543bd1e</t>
        </is>
      </c>
      <c r="Q1731"/>
      <c r="R1731" t="inlineStr">
        <is>
          <t>14周</t>
        </is>
      </c>
      <c r="S1731" t="inlineStr">
        <is>
          <t>44.17</t>
        </is>
      </c>
      <c r="T1731" t="inlineStr">
        <is>
          <t>家居生活</t>
        </is>
      </c>
      <c r="U1731" t="inlineStr">
        <is>
          <t>家具家装</t>
        </is>
      </c>
      <c r="V1731" s="3">
        <v>46112.78107638889</v>
      </c>
      <c r="W1731" t="inlineStr">
        <is>
          <t>2026-Q1</t>
        </is>
      </c>
    </row>
    <row r="1732" ht="25.5" customHeight="1">
      <c r="A1732" t="inlineStr">
        <is>
          <t>顺丰物流-星星蝴蝶兰【金玉满堂】3.0寸杯（开放度低多花苞）</t>
        </is>
      </c>
      <c r="B1732" t="inlineStr">
        <is>
          <t>recvfenb185F8m.jpg</t>
        </is>
      </c>
      <c r="C1732" s="2" t="str">
        <f>=HYPERLINK("https://xhslink.com/m/744zaJyBeMN", "https://xhslink.com/m/744zaJyBeMN")</f>
        <v>https://xhslink.com/m/744zaJyBeMN</v>
      </c>
      <c r="D1732"/>
      <c r="E1732">
        <v>963</v>
      </c>
      <c r="F1732">
        <v>29.8</v>
      </c>
      <c r="G1732"/>
      <c r="H1732">
        <v>200</v>
      </c>
      <c r="I1732" t="inlineStr">
        <is>
          <t>花</t>
        </is>
      </c>
      <c r="J1732" t="inlineStr">
        <is>
          <t>0.21</t>
        </is>
      </c>
      <c r="K1732"/>
      <c r="L1732" t="inlineStr">
        <is>
          <t>星星蝴蝶兰的店</t>
        </is>
      </c>
      <c r="M1732">
        <v>33000</v>
      </c>
      <c r="N1732">
        <v>4.49</v>
      </c>
      <c r="O1732">
        <v>61000</v>
      </c>
      <c r="P1732" t="inlineStr">
        <is>
          <t>6922bbcb01312b0001134df7</t>
        </is>
      </c>
      <c r="Q1732" t="inlineStr">
        <is>
          <t>🚫重复</t>
        </is>
      </c>
      <c r="R1732" t="inlineStr">
        <is>
          <t>14周</t>
        </is>
      </c>
      <c r="S1732" t="inlineStr">
        <is>
          <t>0.03</t>
        </is>
      </c>
      <c r="T1732" t="inlineStr">
        <is>
          <t>家居生活</t>
        </is>
      </c>
      <c r="U1732" t="inlineStr">
        <is>
          <t>厨房餐饮</t>
        </is>
      </c>
      <c r="V1732" s="3">
        <v>46112.78107638889</v>
      </c>
      <c r="W1732" t="inlineStr">
        <is>
          <t>2026-Q1</t>
        </is>
      </c>
    </row>
    <row r="1733" ht="25.5" customHeight="1">
      <c r="A1733" t="inlineStr">
        <is>
          <t>GirlsCrush · GC水丝绒遮瑕提亮液 干皮友好遮黑眼圈泛红痘印</t>
        </is>
      </c>
      <c r="B1733" t="inlineStr">
        <is>
          <t>recvfenb18HwUi.jpg</t>
        </is>
      </c>
      <c r="C1733" s="2" t="str">
        <f>=HYPERLINK("https://xhslink.com/m/3AJX6vW1OEL", "https://xhslink.com/m/3AJX6vW1OEL")</f>
        <v>https://xhslink.com/m/3AJX6vW1OEL</v>
      </c>
      <c r="D1733"/>
      <c r="E1733">
        <v>59000</v>
      </c>
      <c r="F1733">
        <v>89.9</v>
      </c>
      <c r="G1733">
        <v>69.9</v>
      </c>
      <c r="H1733">
        <v>200</v>
      </c>
      <c r="I1733" t="inlineStr">
        <is>
          <t>祛红痘印</t>
        </is>
      </c>
      <c r="J1733" t="inlineStr">
        <is>
          <t>0.00</t>
        </is>
      </c>
      <c r="K1733"/>
      <c r="L1733" t="inlineStr">
        <is>
          <t>GirlsCrush旗舰店</t>
        </is>
      </c>
      <c r="M1733">
        <v>41000</v>
      </c>
      <c r="N1733">
        <v>4.66</v>
      </c>
      <c r="O1733">
        <v>286000</v>
      </c>
      <c r="P1733" t="inlineStr">
        <is>
          <t>64db273fec087c00019fe2c1</t>
        </is>
      </c>
      <c r="Q1733" t="inlineStr">
        <is>
          <t>🚫重复</t>
        </is>
      </c>
      <c r="R1733" t="inlineStr">
        <is>
          <t>14周</t>
        </is>
      </c>
      <c r="S1733" t="inlineStr">
        <is>
          <t>1.44</t>
        </is>
      </c>
      <c r="T1733" t="inlineStr">
        <is>
          <t>美妆个护</t>
        </is>
      </c>
      <c r="U1733" t="inlineStr">
        <is>
          <t>护肤彩妆</t>
        </is>
      </c>
      <c r="V1733" s="3">
        <v>46112.78107638889</v>
      </c>
      <c r="W1733" t="inlineStr">
        <is>
          <t>2026-Q1</t>
        </is>
      </c>
    </row>
    <row r="1734" ht="25.5" customHeight="1">
      <c r="A1734" t="inlineStr">
        <is>
          <t>鲜一 · 冻干粉修护精华 淡红黑痘印细致毛孔补水提亮 1盒/2盒/3盒</t>
        </is>
      </c>
      <c r="B1734" t="inlineStr">
        <is>
          <t>recvfenb18pKfh.jpg</t>
        </is>
      </c>
      <c r="C1734" s="2" t="str">
        <f>=HYPERLINK("https://xhslink.com/m/M21FnQ4Xsl", "https://xhslink.com/m/M21FnQ4Xsl")</f>
        <v>https://xhslink.com/m/M21FnQ4Xsl</v>
      </c>
      <c r="D1734"/>
      <c r="E1734">
        <v>21000</v>
      </c>
      <c r="F1734">
        <v>187</v>
      </c>
      <c r="G1734">
        <v>157</v>
      </c>
      <c r="H1734">
        <v>200</v>
      </c>
      <c r="I1734" t="inlineStr">
        <is>
          <t>祛红痘印</t>
        </is>
      </c>
      <c r="J1734" t="inlineStr">
        <is>
          <t>0.01</t>
        </is>
      </c>
      <c r="K1734"/>
      <c r="L1734" t="inlineStr">
        <is>
          <t>鲜一旗舰店</t>
        </is>
      </c>
      <c r="M1734">
        <v>65000</v>
      </c>
      <c r="N1734">
        <v>4.57</v>
      </c>
      <c r="O1734">
        <v>170000</v>
      </c>
      <c r="P1734" t="inlineStr">
        <is>
          <t>68760e98071cdc0001d34b32</t>
        </is>
      </c>
      <c r="Q1734" t="inlineStr">
        <is>
          <t>🚫重复</t>
        </is>
      </c>
      <c r="R1734" t="inlineStr">
        <is>
          <t>14周</t>
        </is>
      </c>
      <c r="S1734" t="inlineStr">
        <is>
          <t>0.32</t>
        </is>
      </c>
      <c r="T1734" t="inlineStr">
        <is>
          <t>美妆个护</t>
        </is>
      </c>
      <c r="U1734" t="inlineStr">
        <is>
          <t>护肤彩妆</t>
        </is>
      </c>
      <c r="V1734" s="3">
        <v>46112.78107638889</v>
      </c>
      <c r="W1734" t="inlineStr">
        <is>
          <t>2026-Q1</t>
        </is>
      </c>
    </row>
    <row r="1735" ht="25.5" customHeight="1">
      <c r="A1735" t="inlineStr">
        <is>
          <t>MALU WILZ · 德国玛露遮瑕膏化妆师推荐 遮盖黑眼圈斑点痘印泪沟法令纹</t>
        </is>
      </c>
      <c r="B1735" t="inlineStr">
        <is>
          <t>recvfenb18surW.jpg</t>
        </is>
      </c>
      <c r="C1735" s="2" t="str">
        <f>=HYPERLINK("https://xhslink.com/m/5colwVQMj89", "https://xhslink.com/m/5colwVQMj89")</f>
        <v>https://xhslink.com/m/5colwVQMj89</v>
      </c>
      <c r="D1735"/>
      <c r="E1735">
        <v>21000</v>
      </c>
      <c r="F1735">
        <v>138</v>
      </c>
      <c r="G1735">
        <v>95</v>
      </c>
      <c r="H1735">
        <v>200</v>
      </c>
      <c r="I1735" t="inlineStr">
        <is>
          <t>祛红痘印</t>
        </is>
      </c>
      <c r="J1735" t="inlineStr">
        <is>
          <t>0.01</t>
        </is>
      </c>
      <c r="K1735"/>
      <c r="L1735" t="inlineStr">
        <is>
          <t>MALU WILZ 玛露·维尔姿旗舰店</t>
        </is>
      </c>
      <c r="M1735">
        <v>36000</v>
      </c>
      <c r="N1735">
        <v>4.66</v>
      </c>
      <c r="O1735">
        <v>29000</v>
      </c>
      <c r="P1735" t="inlineStr">
        <is>
          <t>60f3f41585aa4e000131e552</t>
        </is>
      </c>
      <c r="Q1735" t="inlineStr">
        <is>
          <t>🚫重复</t>
        </is>
      </c>
      <c r="R1735" t="inlineStr">
        <is>
          <t>14周</t>
        </is>
      </c>
      <c r="S1735" t="inlineStr">
        <is>
          <t>0.58</t>
        </is>
      </c>
      <c r="T1735" t="inlineStr">
        <is>
          <t>美妆个护</t>
        </is>
      </c>
      <c r="U1735" t="inlineStr">
        <is>
          <t>护肤彩妆</t>
        </is>
      </c>
      <c r="V1735" s="3">
        <v>46112.78107638889</v>
      </c>
      <c r="W1735" t="inlineStr">
        <is>
          <t>2026-Q1</t>
        </is>
      </c>
    </row>
    <row r="1736" ht="25.5" customHeight="1">
      <c r="A1736" t="inlineStr">
        <is>
          <t>氧默 · 黑麦全麦面包整箱吐司代餐饱腹无添蔗糖精粗粮主食脂健康早餐食品</t>
        </is>
      </c>
      <c r="B1736" t="inlineStr">
        <is>
          <t>recvfenb18T8tX.jpg</t>
        </is>
      </c>
      <c r="C1736" s="2" t="str">
        <f>=HYPERLINK("https://xhslink.com/m/51QBQJavHc7", "https://xhslink.com/m/51QBQJavHc7")</f>
        <v>https://xhslink.com/m/51QBQJavHc7</v>
      </c>
      <c r="D1736"/>
      <c r="E1736">
        <v>105000</v>
      </c>
      <c r="F1736">
        <v>19.9</v>
      </c>
      <c r="G1736"/>
      <c r="H1736">
        <v>200</v>
      </c>
      <c r="I1736" t="inlineStr">
        <is>
          <t>面包</t>
        </is>
      </c>
      <c r="J1736" t="inlineStr">
        <is>
          <t>0.00</t>
        </is>
      </c>
      <c r="K1736" t="inlineStr">
        <is>
          <t>🔥低粉爆款</t>
        </is>
      </c>
      <c r="L1736" t="inlineStr">
        <is>
          <t>氧默旗舰店</t>
        </is>
      </c>
      <c r="M1736">
        <v>26000</v>
      </c>
      <c r="N1736">
        <v>4.58</v>
      </c>
      <c r="O1736">
        <v>261000</v>
      </c>
      <c r="P1736" t="inlineStr">
        <is>
          <t>63fbfa69774c400001762e03</t>
        </is>
      </c>
      <c r="Q1736" t="inlineStr">
        <is>
          <t>🚫重复</t>
        </is>
      </c>
      <c r="R1736" t="inlineStr">
        <is>
          <t>14周</t>
        </is>
      </c>
      <c r="S1736" t="inlineStr">
        <is>
          <t>4.04</t>
        </is>
      </c>
      <c r="T1736" t="inlineStr">
        <is>
          <t>美食滋补</t>
        </is>
      </c>
      <c r="U1736" t="inlineStr">
        <is>
          <t>休闲零食</t>
        </is>
      </c>
      <c r="V1736" s="3">
        <v>46112.78107638889</v>
      </c>
      <c r="W1736" t="inlineStr">
        <is>
          <t>2026-Q1</t>
        </is>
      </c>
    </row>
    <row r="1737" ht="25.5" customHeight="1">
      <c r="A1737" t="inlineStr">
        <is>
          <t>厚底3cm德训鞋女春秋透气低帮百搭休闲鞋舒适软弹阿甘鞋休闲板鞋</t>
        </is>
      </c>
      <c r="B1737" t="inlineStr">
        <is>
          <t>recvfenb18wLK0.jpg</t>
        </is>
      </c>
      <c r="C1737" s="2" t="str">
        <f>=HYPERLINK("https://xhslink.com/m/2xEVnoGi1Vl", "https://xhslink.com/m/2xEVnoGi1Vl")</f>
        <v>https://xhslink.com/m/2xEVnoGi1Vl</v>
      </c>
      <c r="D1737"/>
      <c r="E1737">
        <v>34000</v>
      </c>
      <c r="F1737">
        <v>69</v>
      </c>
      <c r="G1737"/>
      <c r="H1737">
        <v>200</v>
      </c>
      <c r="I1737" t="inlineStr">
        <is>
          <t>德训鞋</t>
        </is>
      </c>
      <c r="J1737" t="inlineStr">
        <is>
          <t>0.01</t>
        </is>
      </c>
      <c r="K1737" t="inlineStr">
        <is>
          <t>🔥低粉爆款</t>
        </is>
      </c>
      <c r="L1737" t="inlineStr">
        <is>
          <t>格物桃的店</t>
        </is>
      </c>
      <c r="M1737">
        <v>3288</v>
      </c>
      <c r="N1737">
        <v>4.69</v>
      </c>
      <c r="O1737">
        <v>61000</v>
      </c>
      <c r="P1737" t="inlineStr">
        <is>
          <t>66d124510614b500016aca36</t>
        </is>
      </c>
      <c r="Q1737" t="inlineStr">
        <is>
          <t>🚫重复</t>
        </is>
      </c>
      <c r="R1737" t="inlineStr">
        <is>
          <t>14周</t>
        </is>
      </c>
      <c r="S1737" t="inlineStr">
        <is>
          <t>10.34</t>
        </is>
      </c>
      <c r="T1737" t="inlineStr">
        <is>
          <t>服饰穿搭</t>
        </is>
      </c>
      <c r="U1737" t="inlineStr">
        <is>
          <t>鞋靴箱包</t>
        </is>
      </c>
      <c r="V1737" s="3">
        <v>46112.78107638889</v>
      </c>
      <c r="W1737" t="inlineStr">
        <is>
          <t>2026-Q1</t>
        </is>
      </c>
    </row>
    <row r="1738" ht="25.5" customHeight="1">
      <c r="A1738" t="inlineStr">
        <is>
          <t>实物拍摄增高5cm春夏新款轻便厚底德训鞋百搭韩版运动休闲鞋子女</t>
        </is>
      </c>
      <c r="B1738" t="inlineStr">
        <is>
          <t>recvfenb183oHc.jpg</t>
        </is>
      </c>
      <c r="C1738" s="2" t="str">
        <f>=HYPERLINK("https://xhslink.com/m/Art0QZg1lfu", "https://xhslink.com/m/Art0QZg1lfu")</f>
        <v>https://xhslink.com/m/Art0QZg1lfu</v>
      </c>
      <c r="D1738"/>
      <c r="E1738">
        <v>5123</v>
      </c>
      <c r="F1738">
        <v>168</v>
      </c>
      <c r="G1738">
        <v>89.9</v>
      </c>
      <c r="H1738">
        <v>200</v>
      </c>
      <c r="I1738" t="inlineStr">
        <is>
          <t>德训鞋</t>
        </is>
      </c>
      <c r="J1738" t="inlineStr">
        <is>
          <t>0.04</t>
        </is>
      </c>
      <c r="K1738"/>
      <c r="L1738" t="inlineStr">
        <is>
          <t>可颂croissant女鞋的店</t>
        </is>
      </c>
      <c r="M1738">
        <v>3954</v>
      </c>
      <c r="N1738">
        <v>4.59</v>
      </c>
      <c r="O1738">
        <v>24000</v>
      </c>
      <c r="P1738" t="inlineStr">
        <is>
          <t>68dadfb8c7536100017fa9bd</t>
        </is>
      </c>
      <c r="Q1738" t="inlineStr">
        <is>
          <t>🚫重复</t>
        </is>
      </c>
      <c r="R1738" t="inlineStr">
        <is>
          <t>14周</t>
        </is>
      </c>
      <c r="S1738" t="inlineStr">
        <is>
          <t>1.30</t>
        </is>
      </c>
      <c r="T1738" t="inlineStr">
        <is>
          <t>服饰穿搭</t>
        </is>
      </c>
      <c r="U1738" t="inlineStr">
        <is>
          <t>鞋靴箱包</t>
        </is>
      </c>
      <c r="V1738" s="3">
        <v>46112.78107638889</v>
      </c>
      <c r="W1738" t="inlineStr">
        <is>
          <t>2026-Q1</t>
        </is>
      </c>
    </row>
    <row r="1739" ht="25.5" customHeight="1">
      <c r="A1739" t="inlineStr">
        <is>
          <t>361° · 张艺凡同款扁扁鞋 运动鞋T头鞋新款薄底休闲板鞋德训鞋682546718</t>
        </is>
      </c>
      <c r="B1739" t="inlineStr">
        <is>
          <t>recvfenb18tDJc.jpg</t>
        </is>
      </c>
      <c r="C1739" s="2" t="str">
        <f>=HYPERLINK("https://xhslink.com/m/5Te9NEUzfmB", "https://xhslink.com/m/5Te9NEUzfmB")</f>
        <v>https://xhslink.com/m/5Te9NEUzfmB</v>
      </c>
      <c r="D1739"/>
      <c r="E1739">
        <v>3991</v>
      </c>
      <c r="F1739">
        <v>339</v>
      </c>
      <c r="G1739">
        <v>141</v>
      </c>
      <c r="H1739">
        <v>200</v>
      </c>
      <c r="I1739" t="inlineStr">
        <is>
          <t>德训鞋</t>
        </is>
      </c>
      <c r="J1739" t="inlineStr">
        <is>
          <t>0.05</t>
        </is>
      </c>
      <c r="K1739"/>
      <c r="L1739" t="inlineStr">
        <is>
          <t>361°旗舰店</t>
        </is>
      </c>
      <c r="M1739">
        <v>40000</v>
      </c>
      <c r="N1739">
        <v>4.41</v>
      </c>
      <c r="O1739">
        <v>124000</v>
      </c>
      <c r="P1739" t="inlineStr">
        <is>
          <t>699fa7bbc3a4860001c88673</t>
        </is>
      </c>
      <c r="Q1739" t="inlineStr">
        <is>
          <t>🚫重复</t>
        </is>
      </c>
      <c r="R1739" t="inlineStr">
        <is>
          <t>14周</t>
        </is>
      </c>
      <c r="S1739" t="inlineStr">
        <is>
          <t>0.10</t>
        </is>
      </c>
      <c r="T1739" t="inlineStr">
        <is>
          <t>服饰穿搭</t>
        </is>
      </c>
      <c r="U1739" t="inlineStr">
        <is>
          <t>鞋靴箱包</t>
        </is>
      </c>
      <c r="V1739" s="3">
        <v>46112.78107638889</v>
      </c>
      <c r="W1739" t="inlineStr">
        <is>
          <t>2026-Q1</t>
        </is>
      </c>
    </row>
    <row r="1740" ht="25.5" customHeight="1">
      <c r="A1740" t="inlineStr">
        <is>
          <t>3.5cm复古风运动鞋夏秋季透气网面德训鞋百搭休闲健身鞋爬坡女鞋</t>
        </is>
      </c>
      <c r="B1740" t="inlineStr">
        <is>
          <t>recvfenb18fByk.jpg</t>
        </is>
      </c>
      <c r="C1740" s="2" t="str">
        <f>=HYPERLINK("https://xhslink.com/m/22leGGgTtDs", "https://xhslink.com/m/22leGGgTtDs")</f>
        <v>https://xhslink.com/m/22leGGgTtDs</v>
      </c>
      <c r="D1740"/>
      <c r="E1740">
        <v>4399</v>
      </c>
      <c r="F1740">
        <v>91</v>
      </c>
      <c r="G1740">
        <v>74.8</v>
      </c>
      <c r="H1740">
        <v>200</v>
      </c>
      <c r="I1740" t="inlineStr">
        <is>
          <t>德训鞋</t>
        </is>
      </c>
      <c r="J1740" t="inlineStr">
        <is>
          <t>0.05</t>
        </is>
      </c>
      <c r="K1740"/>
      <c r="L1740" t="inlineStr">
        <is>
          <t>晴天女鞋的店</t>
        </is>
      </c>
      <c r="M1740">
        <v>1519</v>
      </c>
      <c r="N1740">
        <v>4.61</v>
      </c>
      <c r="O1740">
        <v>10000</v>
      </c>
      <c r="P1740" t="inlineStr">
        <is>
          <t>6892cfbebc668f0015b963f1</t>
        </is>
      </c>
      <c r="Q1740" t="inlineStr">
        <is>
          <t>🚫重复</t>
        </is>
      </c>
      <c r="R1740" t="inlineStr">
        <is>
          <t>14周</t>
        </is>
      </c>
      <c r="S1740" t="inlineStr">
        <is>
          <t>2.90</t>
        </is>
      </c>
      <c r="T1740" t="inlineStr">
        <is>
          <t>服饰穿搭</t>
        </is>
      </c>
      <c r="U1740" t="inlineStr">
        <is>
          <t>鞋靴箱包</t>
        </is>
      </c>
      <c r="V1740" s="3">
        <v>46112.78107638889</v>
      </c>
      <c r="W1740" t="inlineStr">
        <is>
          <t>2026-Q1</t>
        </is>
      </c>
    </row>
    <row r="1741" ht="25.5" customHeight="1">
      <c r="A1741" t="inlineStr">
        <is>
          <t>新款百搭德训鞋女浅色复古小众设计休闲鞋时尚平底舒适阿甘鞋</t>
        </is>
      </c>
      <c r="B1741" t="inlineStr">
        <is>
          <t>recvfenb185pVV.jpg</t>
        </is>
      </c>
      <c r="C1741" s="2" t="str">
        <f>=HYPERLINK("https://xhslink.com/m/2VEnZL2XPhp", "https://xhslink.com/m/2VEnZL2XPhp")</f>
        <v>https://xhslink.com/m/2VEnZL2XPhp</v>
      </c>
      <c r="D1741"/>
      <c r="E1741">
        <v>621</v>
      </c>
      <c r="F1741">
        <v>98.9</v>
      </c>
      <c r="G1741">
        <v>72.9</v>
      </c>
      <c r="H1741">
        <v>200</v>
      </c>
      <c r="I1741" t="inlineStr">
        <is>
          <t>德训鞋</t>
        </is>
      </c>
      <c r="J1741" t="inlineStr">
        <is>
          <t>0.32</t>
        </is>
      </c>
      <c r="K1741"/>
      <c r="L1741" t="inlineStr">
        <is>
          <t>杨小松的店</t>
        </is>
      </c>
      <c r="M1741">
        <v>12000</v>
      </c>
      <c r="N1741">
        <v>4.68</v>
      </c>
      <c r="O1741">
        <v>50000</v>
      </c>
      <c r="P1741" t="inlineStr">
        <is>
          <t>69afd7d4dd2f4400010a8e09</t>
        </is>
      </c>
      <c r="Q1741" t="inlineStr">
        <is>
          <t>🚫重复</t>
        </is>
      </c>
      <c r="R1741" t="inlineStr">
        <is>
          <t>14周</t>
        </is>
      </c>
      <c r="S1741" t="inlineStr">
        <is>
          <t>0.05</t>
        </is>
      </c>
      <c r="T1741" t="inlineStr">
        <is>
          <t>服饰穿搭</t>
        </is>
      </c>
      <c r="U1741" t="inlineStr">
        <is>
          <t>鞋靴箱包</t>
        </is>
      </c>
      <c r="V1741" s="3">
        <v>46112.78107638889</v>
      </c>
      <c r="W1741" t="inlineStr">
        <is>
          <t>2026-Q1</t>
        </is>
      </c>
    </row>
    <row r="1742" ht="25.5" customHeight="1">
      <c r="A1742" t="inlineStr">
        <is>
          <t>HEQICHOU · 牛皮软底时尚休闲鞋女平板鞋 真皮德训鞋女鞋运动鞋女单鞋</t>
        </is>
      </c>
      <c r="B1742" t="inlineStr">
        <is>
          <t>recvfenb18BcfI.jpg</t>
        </is>
      </c>
      <c r="C1742" s="2" t="str">
        <f>=HYPERLINK("https://xhslink.com/m/9djYpYc8mHl", "https://xhslink.com/m/9djYpYc8mHl")</f>
        <v>https://xhslink.com/m/9djYpYc8mHl</v>
      </c>
      <c r="D1742"/>
      <c r="E1742">
        <v>798</v>
      </c>
      <c r="F1742">
        <v>258</v>
      </c>
      <c r="G1742">
        <v>198</v>
      </c>
      <c r="H1742">
        <v>200</v>
      </c>
      <c r="I1742" t="inlineStr">
        <is>
          <t>德训鞋</t>
        </is>
      </c>
      <c r="J1742" t="inlineStr">
        <is>
          <t>0.25</t>
        </is>
      </c>
      <c r="K1742"/>
      <c r="L1742" t="inlineStr">
        <is>
          <t>奇怪的鞋店 HEQICHOU女鞋的店</t>
        </is>
      </c>
      <c r="M1742">
        <v>379000</v>
      </c>
      <c r="N1742">
        <v>4.7</v>
      </c>
      <c r="O1742">
        <v>303000</v>
      </c>
      <c r="P1742" t="inlineStr">
        <is>
          <t>690c60ec4b151d0015329641</t>
        </is>
      </c>
      <c r="Q1742" t="inlineStr">
        <is>
          <t>🚫重复</t>
        </is>
      </c>
      <c r="R1742" t="inlineStr">
        <is>
          <t>14周</t>
        </is>
      </c>
      <c r="S1742" t="inlineStr">
        <is>
          <t>0.00</t>
        </is>
      </c>
      <c r="T1742" t="inlineStr">
        <is>
          <t>服饰穿搭</t>
        </is>
      </c>
      <c r="U1742" t="inlineStr">
        <is>
          <t>鞋靴箱包</t>
        </is>
      </c>
      <c r="V1742" s="3">
        <v>46112.78107638889</v>
      </c>
      <c r="W1742" t="inlineStr">
        <is>
          <t>2026-Q1</t>
        </is>
      </c>
    </row>
    <row r="1743" ht="25.5" customHeight="1">
      <c r="A1743" t="inlineStr">
        <is>
          <t>【上新特价】小个子内增高7cm阿甘鞋2026款隐形增高厚底德训鞋</t>
        </is>
      </c>
      <c r="B1743" t="inlineStr">
        <is>
          <t>recvfenb18G9ad.jpg</t>
        </is>
      </c>
      <c r="C1743" s="2" t="str">
        <f>=HYPERLINK("https://xhslink.com/m/4BWmvQCGaCR", "https://xhslink.com/m/4BWmvQCGaCR")</f>
        <v>https://xhslink.com/m/4BWmvQCGaCR</v>
      </c>
      <c r="D1743"/>
      <c r="E1743">
        <v>24000</v>
      </c>
      <c r="F1743">
        <v>297</v>
      </c>
      <c r="G1743">
        <v>187</v>
      </c>
      <c r="H1743">
        <v>200</v>
      </c>
      <c r="I1743" t="inlineStr">
        <is>
          <t>德训鞋</t>
        </is>
      </c>
      <c r="J1743" t="inlineStr">
        <is>
          <t>0.01</t>
        </is>
      </c>
      <c r="K1743"/>
      <c r="L1743" t="inlineStr">
        <is>
          <t>胖大馒的店</t>
        </is>
      </c>
      <c r="M1743">
        <v>499000</v>
      </c>
      <c r="N1743">
        <v>4.51</v>
      </c>
      <c r="O1743">
        <v>249000</v>
      </c>
      <c r="P1743" t="inlineStr">
        <is>
          <t>68ba484e5d27660001677b76</t>
        </is>
      </c>
      <c r="Q1743"/>
      <c r="R1743" t="inlineStr">
        <is>
          <t>14周</t>
        </is>
      </c>
      <c r="S1743" t="inlineStr">
        <is>
          <t>0.05</t>
        </is>
      </c>
      <c r="T1743" t="inlineStr">
        <is>
          <t>服饰穿搭</t>
        </is>
      </c>
      <c r="U1743" t="inlineStr">
        <is>
          <t>鞋靴箱包</t>
        </is>
      </c>
      <c r="V1743" s="3">
        <v>46112.78107638889</v>
      </c>
      <c r="W1743" t="inlineStr">
        <is>
          <t>2026-Q1</t>
        </is>
      </c>
    </row>
    <row r="1744" ht="25.5" customHeight="1">
      <c r="A1744" t="inlineStr">
        <is>
          <t>SDX · 拾度【冯建宇同款】胶原修护颈霜保湿颈膜抗皱淡化脖子去颈纹霜</t>
        </is>
      </c>
      <c r="B1744" t="inlineStr">
        <is>
          <t>recvfenb18oZ8F.jpg</t>
        </is>
      </c>
      <c r="C1744" s="2" t="str">
        <f>=HYPERLINK("https://xhslink.com/m/2l36BZgqshg", "https://xhslink.com/m/2l36BZgqshg")</f>
        <v>https://xhslink.com/m/2l36BZgqshg</v>
      </c>
      <c r="D1744"/>
      <c r="E1744">
        <v>310000</v>
      </c>
      <c r="F1744">
        <v>119.9</v>
      </c>
      <c r="G1744">
        <v>79.9</v>
      </c>
      <c r="H1744">
        <v>200</v>
      </c>
      <c r="I1744" t="inlineStr">
        <is>
          <t>抗衰</t>
        </is>
      </c>
      <c r="J1744" t="inlineStr">
        <is>
          <t>0.00</t>
        </is>
      </c>
      <c r="K1744" t="inlineStr">
        <is>
          <t>🔥低粉爆款</t>
        </is>
      </c>
      <c r="L1744" t="inlineStr">
        <is>
          <t>SDX旗舰店</t>
        </is>
      </c>
      <c r="M1744">
        <v>89000</v>
      </c>
      <c r="N1744">
        <v>4.62</v>
      </c>
      <c r="O1744">
        <v>1618000</v>
      </c>
      <c r="P1744" t="inlineStr">
        <is>
          <t>5f02f304a09141538f802033</t>
        </is>
      </c>
      <c r="Q1744" t="inlineStr">
        <is>
          <t>🚫重复</t>
        </is>
      </c>
      <c r="R1744" t="inlineStr">
        <is>
          <t>14周</t>
        </is>
      </c>
      <c r="S1744" t="inlineStr">
        <is>
          <t>3.48</t>
        </is>
      </c>
      <c r="T1744" t="inlineStr">
        <is>
          <t>美妆个护</t>
        </is>
      </c>
      <c r="U1744" t="inlineStr">
        <is>
          <t>护肤彩妆</t>
        </is>
      </c>
      <c r="V1744" s="3">
        <v>46112.78107638889</v>
      </c>
      <c r="W1744" t="inlineStr">
        <is>
          <t>2026-Q1</t>
        </is>
      </c>
    </row>
    <row r="1745" ht="25.5" customHeight="1">
      <c r="A1745" t="inlineStr">
        <is>
          <t>OUT-OF-OFFICE · 【明星同款】ooo双头修容笔人中笔鼻影哑光膏体侧影修容</t>
        </is>
      </c>
      <c r="B1745" t="inlineStr">
        <is>
          <t>recvfenb18xNvm.jpg</t>
        </is>
      </c>
      <c r="C1745" s="2" t="str">
        <f>=HYPERLINK("https://xhslink.com/m/2qG3izbfGkb", "https://xhslink.com/m/2qG3izbfGkb")</f>
        <v>https://xhslink.com/m/2qG3izbfGkb</v>
      </c>
      <c r="D1745"/>
      <c r="E1745">
        <v>289000</v>
      </c>
      <c r="F1745">
        <v>46</v>
      </c>
      <c r="G1745">
        <v>39</v>
      </c>
      <c r="H1745">
        <v>200</v>
      </c>
      <c r="I1745" t="inlineStr">
        <is>
          <t>修容</t>
        </is>
      </c>
      <c r="J1745" t="inlineStr">
        <is>
          <t>0.00</t>
        </is>
      </c>
      <c r="K1745"/>
      <c r="L1745" t="inlineStr">
        <is>
          <t>Out Of Office哦野旗舰店</t>
        </is>
      </c>
      <c r="M1745">
        <v>146000</v>
      </c>
      <c r="N1745">
        <v>4.79</v>
      </c>
      <c r="O1745">
        <v>1000000</v>
      </c>
      <c r="P1745" t="inlineStr">
        <is>
          <t>66d55f4b0614b50001879f4f</t>
        </is>
      </c>
      <c r="Q1745"/>
      <c r="R1745" t="inlineStr">
        <is>
          <t>14周</t>
        </is>
      </c>
      <c r="S1745" t="inlineStr">
        <is>
          <t>1.98</t>
        </is>
      </c>
      <c r="T1745" t="inlineStr">
        <is>
          <t>美妆个护</t>
        </is>
      </c>
      <c r="U1745" t="inlineStr">
        <is>
          <t>护肤彩妆</t>
        </is>
      </c>
      <c r="V1745" s="3">
        <v>46112.78107638889</v>
      </c>
      <c r="W1745" t="inlineStr">
        <is>
          <t>2026-Q1</t>
        </is>
      </c>
    </row>
    <row r="1746" ht="25.5" customHeight="1">
      <c r="A1746" t="inlineStr">
        <is>
          <t>A.M.G · 双头卧蚕笔珠光提靓亮晶晶哑光自然浅棕色阴影下至学生新手平价d2</t>
        </is>
      </c>
      <c r="B1746" t="inlineStr">
        <is>
          <t>recvfenb180zbz.jpg</t>
        </is>
      </c>
      <c r="C1746" s="2" t="str">
        <f>=HYPERLINK("https://xhslink.com/m/8MSeaXmhLtH", "https://xhslink.com/m/8MSeaXmhLtH")</f>
        <v>https://xhslink.com/m/8MSeaXmhLtH</v>
      </c>
      <c r="D1746"/>
      <c r="E1746">
        <v>114000</v>
      </c>
      <c r="F1746">
        <v>23.9</v>
      </c>
      <c r="G1746">
        <v>8.9</v>
      </c>
      <c r="H1746">
        <v>200</v>
      </c>
      <c r="I1746" t="inlineStr">
        <is>
          <t>彩妆</t>
        </is>
      </c>
      <c r="J1746" t="inlineStr">
        <is>
          <t>0.00</t>
        </is>
      </c>
      <c r="K1746" t="inlineStr">
        <is>
          <t>🔥低粉爆款</t>
        </is>
      </c>
      <c r="L1746" t="inlineStr">
        <is>
          <t>BANGNA邦娜彩妆的店</t>
        </is>
      </c>
      <c r="M1746">
        <v>1256</v>
      </c>
      <c r="N1746">
        <v>4.37</v>
      </c>
      <c r="O1746">
        <v>164000</v>
      </c>
      <c r="P1746" t="inlineStr">
        <is>
          <t>67cbfc56e15c9100010e007d</t>
        </is>
      </c>
      <c r="Q1746" t="inlineStr">
        <is>
          <t>🚫重复</t>
        </is>
      </c>
      <c r="R1746" t="inlineStr">
        <is>
          <t>14周</t>
        </is>
      </c>
      <c r="S1746" t="inlineStr">
        <is>
          <t>90.76</t>
        </is>
      </c>
      <c r="T1746" t="inlineStr">
        <is>
          <t>美妆个护</t>
        </is>
      </c>
      <c r="U1746" t="inlineStr">
        <is>
          <t>护肤彩妆</t>
        </is>
      </c>
      <c r="V1746" s="3">
        <v>46112.78107638889</v>
      </c>
      <c r="W1746" t="inlineStr">
        <is>
          <t>2026-Q1</t>
        </is>
      </c>
    </row>
    <row r="1747" ht="25.5" customHeight="1">
      <c r="A1747" t="inlineStr">
        <is>
          <t>现代简约台灯卧室床头灯客厅书房ins风创意灯具</t>
        </is>
      </c>
      <c r="B1747" t="inlineStr">
        <is>
          <t>recvfenb18qddx.jpg</t>
        </is>
      </c>
      <c r="C1747" s="2" t="str">
        <f>=HYPERLINK("https://xhslink.com/m/7lHA2KfkX0O", "https://xhslink.com/m/7lHA2KfkX0O")</f>
        <v>https://xhslink.com/m/7lHA2KfkX0O</v>
      </c>
      <c r="D1747"/>
      <c r="E1747">
        <v>890</v>
      </c>
      <c r="F1747">
        <v>89</v>
      </c>
      <c r="G1747"/>
      <c r="H1747">
        <v>200</v>
      </c>
      <c r="I1747" t="inlineStr">
        <is>
          <t>床头装饰</t>
        </is>
      </c>
      <c r="J1747" t="inlineStr">
        <is>
          <t>0.22</t>
        </is>
      </c>
      <c r="K1747" t="inlineStr">
        <is>
          <t>🔥低粉爆款</t>
        </is>
      </c>
      <c r="L1747" t="inlineStr">
        <is>
          <t>森燎灯饰的店的店</t>
        </is>
      </c>
      <c r="M1747">
        <v>17</v>
      </c>
      <c r="N1747">
        <v>4.35</v>
      </c>
      <c r="O1747">
        <v>2674</v>
      </c>
      <c r="P1747" t="inlineStr">
        <is>
          <t>6944b95f110a7f00011c0e86</t>
        </is>
      </c>
      <c r="Q1747"/>
      <c r="R1747" t="inlineStr">
        <is>
          <t>14周</t>
        </is>
      </c>
      <c r="S1747" t="inlineStr">
        <is>
          <t>52.35</t>
        </is>
      </c>
      <c r="T1747" t="inlineStr">
        <is>
          <t>家居生活</t>
        </is>
      </c>
      <c r="U1747" t="inlineStr">
        <is>
          <t>家具家装</t>
        </is>
      </c>
      <c r="V1747" s="3">
        <v>46112.78107638889</v>
      </c>
      <c r="W1747" t="inlineStr">
        <is>
          <t>2026-Q1</t>
        </is>
      </c>
    </row>
    <row r="1748" ht="25.5" customHeight="1">
      <c r="A1748" t="inlineStr">
        <is>
          <t>GUNAI·棉柔合集 65x65方巾（完美主义者慎拍）</t>
        </is>
      </c>
      <c r="B1748" t="inlineStr">
        <is>
          <t>recvfenb18Wj0n.jpg</t>
        </is>
      </c>
      <c r="C1748" s="2" t="str">
        <f>=HYPERLINK("https://xhslink.com/m/4dExdxJXOW4", "https://xhslink.com/m/4dExdxJXOW4")</f>
        <v>https://xhslink.com/m/4dExdxJXOW4</v>
      </c>
      <c r="D1748"/>
      <c r="E1748">
        <v>41000</v>
      </c>
      <c r="F1748">
        <v>19.9</v>
      </c>
      <c r="G1748">
        <v>16.9</v>
      </c>
      <c r="H1748">
        <v>200</v>
      </c>
      <c r="I1748" t="inlineStr">
        <is>
          <t>浴室用品</t>
        </is>
      </c>
      <c r="J1748" t="inlineStr">
        <is>
          <t>0.00</t>
        </is>
      </c>
      <c r="K1748"/>
      <c r="L1748" t="inlineStr">
        <is>
          <t>顾萘丝巾铺的店</t>
        </is>
      </c>
      <c r="M1748">
        <v>46000</v>
      </c>
      <c r="N1748">
        <v>4.56</v>
      </c>
      <c r="O1748">
        <v>69000</v>
      </c>
      <c r="P1748" t="inlineStr">
        <is>
          <t>68175161cd029e0001ef4add</t>
        </is>
      </c>
      <c r="Q1748" t="inlineStr">
        <is>
          <t>🚫重复</t>
        </is>
      </c>
      <c r="R1748" t="inlineStr">
        <is>
          <t>14周</t>
        </is>
      </c>
      <c r="S1748" t="inlineStr">
        <is>
          <t>0.89</t>
        </is>
      </c>
      <c r="T1748" t="inlineStr">
        <is>
          <t>家居生活</t>
        </is>
      </c>
      <c r="U1748" t="inlineStr">
        <is>
          <t>家居日用</t>
        </is>
      </c>
      <c r="V1748" s="3">
        <v>46112.78107638889</v>
      </c>
      <c r="W1748" t="inlineStr">
        <is>
          <t>2026-Q1</t>
        </is>
      </c>
    </row>
    <row r="1749" ht="25.5" customHeight="1">
      <c r="A1749" t="inlineStr">
        <is>
          <t>苏农科JAAS · 农科院的无花果干 权威检测天然果干零食无硫熏</t>
        </is>
      </c>
      <c r="B1749" t="inlineStr">
        <is>
          <t>recvfenb18m2bm.jpg</t>
        </is>
      </c>
      <c r="C1749" s="2" t="str">
        <f>=HYPERLINK("https://xhslink.com/m/1O5Yq6lu5zI", "https://xhslink.com/m/1O5Yq6lu5zI")</f>
        <v>https://xhslink.com/m/1O5Yq6lu5zI</v>
      </c>
      <c r="D1749"/>
      <c r="E1749">
        <v>213000</v>
      </c>
      <c r="F1749">
        <v>78.8</v>
      </c>
      <c r="G1749">
        <v>63.9</v>
      </c>
      <c r="H1749">
        <v>200</v>
      </c>
      <c r="I1749" t="inlineStr">
        <is>
          <t>坚果果干</t>
        </is>
      </c>
      <c r="J1749" t="inlineStr">
        <is>
          <t>0.00</t>
        </is>
      </c>
      <c r="K1749"/>
      <c r="L1749" t="inlineStr">
        <is>
          <t>苏农科JAAS的店</t>
        </is>
      </c>
      <c r="M1749">
        <v>136000</v>
      </c>
      <c r="N1749">
        <v>4.7</v>
      </c>
      <c r="O1749">
        <v>549000</v>
      </c>
      <c r="P1749" t="inlineStr">
        <is>
          <t>66f7f18b4cd2890001b69f95</t>
        </is>
      </c>
      <c r="Q1749" t="inlineStr">
        <is>
          <t>🚫重复</t>
        </is>
      </c>
      <c r="R1749" t="inlineStr">
        <is>
          <t>14周</t>
        </is>
      </c>
      <c r="S1749" t="inlineStr">
        <is>
          <t>1.57</t>
        </is>
      </c>
      <c r="T1749" t="inlineStr">
        <is>
          <t>美食滋补</t>
        </is>
      </c>
      <c r="U1749" t="inlineStr">
        <is>
          <t>休闲零食</t>
        </is>
      </c>
      <c r="V1749" s="3">
        <v>46112.78107638889</v>
      </c>
      <c r="W1749" t="inlineStr">
        <is>
          <t>2026-Q1</t>
        </is>
      </c>
    </row>
    <row r="1750" ht="25.5" customHeight="1">
      <c r="A1750" t="inlineStr">
        <is>
          <t>原味红薯干不加糖地瓜干软糯香甜番薯干孕妇零食宝宝磨牙棒</t>
        </is>
      </c>
      <c r="B1750" t="inlineStr">
        <is>
          <t>recvfenb18zIcU.jpg</t>
        </is>
      </c>
      <c r="C1750" s="2" t="str">
        <f>=HYPERLINK("https://xhslink.com/m/zdZrHRFUp0", "https://xhslink.com/m/zdZrHRFUp0")</f>
        <v>https://xhslink.com/m/zdZrHRFUp0</v>
      </c>
      <c r="D1750"/>
      <c r="E1750">
        <v>138000</v>
      </c>
      <c r="F1750">
        <v>39.9</v>
      </c>
      <c r="G1750">
        <v>32.9</v>
      </c>
      <c r="H1750">
        <v>200</v>
      </c>
      <c r="I1750" t="inlineStr">
        <is>
          <t>坚果果干</t>
        </is>
      </c>
      <c r="J1750" t="inlineStr">
        <is>
          <t>0.00</t>
        </is>
      </c>
      <c r="K1750" t="inlineStr">
        <is>
          <t>🔥低粉爆款</t>
        </is>
      </c>
      <c r="L1750" t="inlineStr">
        <is>
          <t>小新糯叽叽的店</t>
        </is>
      </c>
      <c r="M1750">
        <v>27000</v>
      </c>
      <c r="N1750">
        <v>4.59</v>
      </c>
      <c r="O1750">
        <v>705000</v>
      </c>
      <c r="P1750" t="inlineStr">
        <is>
          <t>65ec6b7e70fc9b0001ae5a33</t>
        </is>
      </c>
      <c r="Q1750" t="inlineStr">
        <is>
          <t>🚫重复</t>
        </is>
      </c>
      <c r="R1750" t="inlineStr">
        <is>
          <t>14周</t>
        </is>
      </c>
      <c r="S1750" t="inlineStr">
        <is>
          <t>5.11</t>
        </is>
      </c>
      <c r="T1750" t="inlineStr">
        <is>
          <t>美食滋补</t>
        </is>
      </c>
      <c r="U1750" t="inlineStr">
        <is>
          <t>休闲零食</t>
        </is>
      </c>
      <c r="V1750" s="3">
        <v>46112.78107638889</v>
      </c>
      <c r="W1750" t="inlineStr">
        <is>
          <t>2026-Q1</t>
        </is>
      </c>
    </row>
    <row r="1751" ht="25.5" customHeight="1">
      <c r="A1751" t="inlineStr">
        <is>
          <t>【老板疯了】零食大盲盒！从不刷评！良心做事！不满意包邮退回！</t>
        </is>
      </c>
      <c r="B1751" t="inlineStr">
        <is>
          <t>recvfenb182jbu.jpg</t>
        </is>
      </c>
      <c r="C1751" s="2" t="str">
        <f>=HYPERLINK("https://xhslink.com/m/9Ryy7plpF1i", "https://xhslink.com/m/9Ryy7plpF1i")</f>
        <v>https://xhslink.com/m/9Ryy7plpF1i</v>
      </c>
      <c r="D1751"/>
      <c r="E1751">
        <v>181000</v>
      </c>
      <c r="F1751">
        <v>29.9</v>
      </c>
      <c r="G1751"/>
      <c r="H1751">
        <v>200</v>
      </c>
      <c r="I1751" t="inlineStr">
        <is>
          <t>饼干膨化</t>
        </is>
      </c>
      <c r="J1751" t="inlineStr">
        <is>
          <t>0.00</t>
        </is>
      </c>
      <c r="K1751" t="inlineStr">
        <is>
          <t>🔥低粉爆款</t>
        </is>
      </c>
      <c r="L1751" t="inlineStr">
        <is>
          <t>林幺幺食品铺子的店</t>
        </is>
      </c>
      <c r="M1751">
        <v>6206</v>
      </c>
      <c r="N1751">
        <v>4.29</v>
      </c>
      <c r="O1751">
        <v>194000</v>
      </c>
      <c r="P1751" t="inlineStr">
        <is>
          <t>6895f4e379bc47000175bb74</t>
        </is>
      </c>
      <c r="Q1751" t="inlineStr">
        <is>
          <t>🚫重复</t>
        </is>
      </c>
      <c r="R1751" t="inlineStr">
        <is>
          <t>14周</t>
        </is>
      </c>
      <c r="S1751" t="inlineStr">
        <is>
          <t>29.17</t>
        </is>
      </c>
      <c r="T1751" t="inlineStr">
        <is>
          <t>美食滋补</t>
        </is>
      </c>
      <c r="U1751" t="inlineStr">
        <is>
          <t>休闲零食</t>
        </is>
      </c>
      <c r="V1751" s="3">
        <v>46112.78107638889</v>
      </c>
      <c r="W1751" t="inlineStr">
        <is>
          <t>2026-Q1</t>
        </is>
      </c>
    </row>
    <row r="1752" ht="25.5" customHeight="1">
      <c r="A1752" t="inlineStr">
        <is>
          <t>Juicy零食点心意式坚果脆饼健康零食</t>
        </is>
      </c>
      <c r="B1752" t="inlineStr">
        <is>
          <t>recvfenb18DqSO.jpg</t>
        </is>
      </c>
      <c r="C1752" s="2" t="str">
        <f>=HYPERLINK("https://xhslink.com/m/1G0EI9Ua923", "https://xhslink.com/m/1G0EI9Ua923")</f>
        <v>https://xhslink.com/m/1G0EI9Ua923</v>
      </c>
      <c r="D1752"/>
      <c r="E1752">
        <v>144000</v>
      </c>
      <c r="F1752">
        <v>39</v>
      </c>
      <c r="G1752">
        <v>19.99</v>
      </c>
      <c r="H1752">
        <v>200</v>
      </c>
      <c r="I1752" t="inlineStr">
        <is>
          <t>饼干膨化</t>
        </is>
      </c>
      <c r="J1752" t="inlineStr">
        <is>
          <t>0.00</t>
        </is>
      </c>
      <c r="K1752"/>
      <c r="L1752" t="inlineStr">
        <is>
          <t>JUICY SUPPLY的店</t>
        </is>
      </c>
      <c r="M1752">
        <v>262000</v>
      </c>
      <c r="N1752">
        <v>4.4</v>
      </c>
      <c r="O1752">
        <v>843000</v>
      </c>
      <c r="P1752" t="inlineStr">
        <is>
          <t>69aaec34970f000001b35961</t>
        </is>
      </c>
      <c r="Q1752" t="inlineStr">
        <is>
          <t>🚫重复</t>
        </is>
      </c>
      <c r="R1752" t="inlineStr">
        <is>
          <t>14周</t>
        </is>
      </c>
      <c r="S1752" t="inlineStr">
        <is>
          <t>0.55</t>
        </is>
      </c>
      <c r="T1752" t="inlineStr">
        <is>
          <t>美食滋补</t>
        </is>
      </c>
      <c r="U1752" t="inlineStr">
        <is>
          <t>休闲零食</t>
        </is>
      </c>
      <c r="V1752" s="3">
        <v>46112.78107638889</v>
      </c>
      <c r="W1752" t="inlineStr">
        <is>
          <t>2026-Q1</t>
        </is>
      </c>
    </row>
    <row r="1753" ht="25.5" customHeight="1">
      <c r="A1753" t="inlineStr">
        <is>
          <t>苹果黄芪麦冬桂圆水升级版2.0春夏天气色茶水熬夜素颜养生茶包</t>
        </is>
      </c>
      <c r="B1753" t="inlineStr">
        <is>
          <t>recvfenb18vkg2.jpg</t>
        </is>
      </c>
      <c r="C1753" s="2" t="str">
        <f>=HYPERLINK("https://xhslink.com/m/ARrzvLktwS1", "https://xhslink.com/m/ARrzvLktwS1")</f>
        <v>https://xhslink.com/m/ARrzvLktwS1</v>
      </c>
      <c r="D1753"/>
      <c r="E1753">
        <v>58000</v>
      </c>
      <c r="F1753">
        <v>50.9</v>
      </c>
      <c r="G1753">
        <v>16.9</v>
      </c>
      <c r="H1753">
        <v>200</v>
      </c>
      <c r="I1753" t="inlineStr">
        <is>
          <t>养生茶</t>
        </is>
      </c>
      <c r="J1753" t="inlineStr">
        <is>
          <t>0.00</t>
        </is>
      </c>
      <c r="K1753" t="inlineStr">
        <is>
          <t>🔥低粉爆款</t>
        </is>
      </c>
      <c r="L1753" t="inlineStr">
        <is>
          <t>方源茶寮的店</t>
        </is>
      </c>
      <c r="M1753">
        <v>345</v>
      </c>
      <c r="N1753">
        <v>4.42</v>
      </c>
      <c r="O1753">
        <v>60000</v>
      </c>
      <c r="P1753" t="inlineStr">
        <is>
          <t>68c7e29289b74800158eb582</t>
        </is>
      </c>
      <c r="Q1753" t="inlineStr">
        <is>
          <t>🚫重复</t>
        </is>
      </c>
      <c r="R1753" t="inlineStr">
        <is>
          <t>14周</t>
        </is>
      </c>
      <c r="S1753" t="inlineStr">
        <is>
          <t>168.12</t>
        </is>
      </c>
      <c r="T1753" t="inlineStr">
        <is>
          <t>美食滋补</t>
        </is>
      </c>
      <c r="U1753" t="inlineStr">
        <is>
          <t>酒水冲饮</t>
        </is>
      </c>
      <c r="V1753" s="3">
        <v>46112.78107638889</v>
      </c>
      <c r="W1753" t="inlineStr">
        <is>
          <t>2026-Q1</t>
        </is>
      </c>
    </row>
    <row r="1754" ht="25.5" customHeight="1">
      <c r="A1754" t="inlineStr">
        <is>
          <t>特级版苹果黄芪素颜水.无花果苹果黄芪枸杞麦冬桂圆红枣干组合装</t>
        </is>
      </c>
      <c r="B1754" t="inlineStr">
        <is>
          <t>recvfenb18otDW.jpg</t>
        </is>
      </c>
      <c r="C1754" s="2" t="str">
        <f>=HYPERLINK("https://xhslink.com/m/3ubv9Luo2Fk", "https://xhslink.com/m/3ubv9Luo2Fk")</f>
        <v>https://xhslink.com/m/3ubv9Luo2Fk</v>
      </c>
      <c r="D1754"/>
      <c r="E1754">
        <v>30000</v>
      </c>
      <c r="F1754">
        <v>39.9</v>
      </c>
      <c r="G1754">
        <v>29.9</v>
      </c>
      <c r="H1754">
        <v>200</v>
      </c>
      <c r="I1754" t="inlineStr">
        <is>
          <t>养生茶</t>
        </is>
      </c>
      <c r="J1754" t="inlineStr">
        <is>
          <t>0.01</t>
        </is>
      </c>
      <c r="K1754" t="inlineStr">
        <is>
          <t>🔥低粉爆款</t>
        </is>
      </c>
      <c r="L1754" t="inlineStr">
        <is>
          <t>岁春堂茶记的店</t>
        </is>
      </c>
      <c r="M1754">
        <v>3305</v>
      </c>
      <c r="N1754">
        <v>4.4</v>
      </c>
      <c r="O1754">
        <v>32000</v>
      </c>
      <c r="P1754" t="inlineStr">
        <is>
          <t>68d127e34c95b60001d148dc</t>
        </is>
      </c>
      <c r="Q1754"/>
      <c r="R1754" t="inlineStr">
        <is>
          <t>14周</t>
        </is>
      </c>
      <c r="S1754" t="inlineStr">
        <is>
          <t>9.08</t>
        </is>
      </c>
      <c r="T1754" t="inlineStr">
        <is>
          <t>美食滋补</t>
        </is>
      </c>
      <c r="U1754" t="inlineStr">
        <is>
          <t>营养滋补</t>
        </is>
      </c>
      <c r="V1754" s="3">
        <v>46112.78107638889</v>
      </c>
      <c r="W1754" t="inlineStr">
        <is>
          <t>2026-Q1</t>
        </is>
      </c>
    </row>
    <row r="1755" ht="25.5" customHeight="1">
      <c r="A1755" t="inlineStr">
        <is>
          <t>beanies · 【推荐做奶咖】贝尼诗英国进口冻干风味速溶薄荷巧克力黑咖啡</t>
        </is>
      </c>
      <c r="B1755" t="inlineStr">
        <is>
          <t>recvfenb18AiOD.jpg</t>
        </is>
      </c>
      <c r="C1755" s="2" t="str">
        <f>=HYPERLINK("https://xhslink.com/m/goNxl67hVu", "https://xhslink.com/m/goNxl67hVu")</f>
        <v>https://xhslink.com/m/goNxl67hVu</v>
      </c>
      <c r="D1755"/>
      <c r="E1755">
        <v>63000</v>
      </c>
      <c r="F1755">
        <v>72</v>
      </c>
      <c r="G1755">
        <v>49</v>
      </c>
      <c r="H1755">
        <v>200</v>
      </c>
      <c r="I1755" t="inlineStr">
        <is>
          <t>冻干咖啡</t>
        </is>
      </c>
      <c r="J1755" t="inlineStr">
        <is>
          <t>0.00</t>
        </is>
      </c>
      <c r="K1755"/>
      <c r="L1755" t="inlineStr">
        <is>
          <t>皇太后御食生活的店</t>
        </is>
      </c>
      <c r="M1755">
        <v>36000</v>
      </c>
      <c r="N1755">
        <v>4.6</v>
      </c>
      <c r="O1755">
        <v>243000</v>
      </c>
      <c r="P1755" t="inlineStr">
        <is>
          <t>691a850643699b0001d5783b</t>
        </is>
      </c>
      <c r="Q1755" t="inlineStr">
        <is>
          <t>🚫重复</t>
        </is>
      </c>
      <c r="R1755" t="inlineStr">
        <is>
          <t>14周</t>
        </is>
      </c>
      <c r="S1755" t="inlineStr">
        <is>
          <t>1.75</t>
        </is>
      </c>
      <c r="T1755" t="inlineStr">
        <is>
          <t>美食滋补</t>
        </is>
      </c>
      <c r="U1755" t="inlineStr">
        <is>
          <t>休闲零食</t>
        </is>
      </c>
      <c r="V1755" s="3">
        <v>46112.78107638889</v>
      </c>
      <c r="W1755" t="inlineStr">
        <is>
          <t>2026-Q1</t>
        </is>
      </c>
    </row>
    <row r="1756" ht="25.5" customHeight="1">
      <c r="A1756" t="inlineStr">
        <is>
          <t>水一方 · 0糖烤虾手扒烤虾仁虾干即食低脂零食办公室解馋追剧</t>
        </is>
      </c>
      <c r="B1756" t="inlineStr">
        <is>
          <t>recvfenb187R1Q.jpg</t>
        </is>
      </c>
      <c r="C1756" s="2" t="str">
        <f>=HYPERLINK("https://xhslink.com/m/4WdP8yI2odL", "https://xhslink.com/m/4WdP8yI2odL")</f>
        <v>https://xhslink.com/m/4WdP8yI2odL</v>
      </c>
      <c r="D1756"/>
      <c r="E1756">
        <v>88000</v>
      </c>
      <c r="F1756">
        <v>79.9</v>
      </c>
      <c r="G1756">
        <v>57.9</v>
      </c>
      <c r="H1756">
        <v>200</v>
      </c>
      <c r="I1756" t="inlineStr">
        <is>
          <t>低脂零食</t>
        </is>
      </c>
      <c r="J1756" t="inlineStr">
        <is>
          <t>0.00</t>
        </is>
      </c>
      <c r="K1756"/>
      <c r="L1756" t="inlineStr">
        <is>
          <t>水一方零食旗舰店</t>
        </is>
      </c>
      <c r="M1756">
        <v>67000</v>
      </c>
      <c r="N1756">
        <v>4.58</v>
      </c>
      <c r="O1756">
        <v>345000</v>
      </c>
      <c r="P1756" t="inlineStr">
        <is>
          <t>65965377847b9c0001f53c8c</t>
        </is>
      </c>
      <c r="Q1756" t="inlineStr">
        <is>
          <t>🚫重复</t>
        </is>
      </c>
      <c r="R1756" t="inlineStr">
        <is>
          <t>14周</t>
        </is>
      </c>
      <c r="S1756" t="inlineStr">
        <is>
          <t>1.31</t>
        </is>
      </c>
      <c r="T1756" t="inlineStr">
        <is>
          <t>美食滋补</t>
        </is>
      </c>
      <c r="U1756" t="inlineStr">
        <is>
          <t>休闲零食</t>
        </is>
      </c>
      <c r="V1756" s="3">
        <v>46112.78107638889</v>
      </c>
      <c r="W1756" t="inlineStr">
        <is>
          <t>2026-Q1</t>
        </is>
      </c>
    </row>
    <row r="1757" ht="25.5" customHeight="1">
      <c r="A1757" t="inlineStr">
        <is>
          <t>三只松鼠 · 【到手28包】减脂期每日轻食组合7日装蜻蜓教练鸡腿肉好吃轻负担</t>
        </is>
      </c>
      <c r="B1757" t="inlineStr">
        <is>
          <t>recvfenb18GRlh.jpg</t>
        </is>
      </c>
      <c r="C1757" s="2" t="str">
        <f>=HYPERLINK("https://xhslink.com/m/3rE1UqFcO7t", "https://xhslink.com/m/3rE1UqFcO7t")</f>
        <v>https://xhslink.com/m/3rE1UqFcO7t</v>
      </c>
      <c r="D1757"/>
      <c r="E1757">
        <v>19000</v>
      </c>
      <c r="F1757">
        <v>29.9</v>
      </c>
      <c r="G1757">
        <v>19.9</v>
      </c>
      <c r="H1757">
        <v>200</v>
      </c>
      <c r="I1757" t="inlineStr">
        <is>
          <t>低脂零食</t>
        </is>
      </c>
      <c r="J1757" t="inlineStr">
        <is>
          <t>0.01</t>
        </is>
      </c>
      <c r="K1757"/>
      <c r="L1757" t="inlineStr">
        <is>
          <t>呓语小零食铺子的店</t>
        </is>
      </c>
      <c r="M1757">
        <v>17000</v>
      </c>
      <c r="N1757">
        <v>4.49</v>
      </c>
      <c r="O1757">
        <v>298000</v>
      </c>
      <c r="P1757" t="inlineStr">
        <is>
          <t>694393fcb1e6660001cfd951</t>
        </is>
      </c>
      <c r="Q1757" t="inlineStr">
        <is>
          <t>🚫重复</t>
        </is>
      </c>
      <c r="R1757" t="inlineStr">
        <is>
          <t>14周</t>
        </is>
      </c>
      <c r="S1757" t="inlineStr">
        <is>
          <t>1.12</t>
        </is>
      </c>
      <c r="T1757" t="inlineStr">
        <is>
          <t>美食滋补</t>
        </is>
      </c>
      <c r="U1757" t="inlineStr">
        <is>
          <t>休闲零食</t>
        </is>
      </c>
      <c r="V1757" s="3">
        <v>46112.78107638889</v>
      </c>
      <c r="W1757" t="inlineStr">
        <is>
          <t>2026-Q1</t>
        </is>
      </c>
    </row>
    <row r="1758" ht="25.5" customHeight="1">
      <c r="A1758" t="inlineStr">
        <is>
          <t>米尼尼 韩系辣妹高级感V领修身短袖T恤</t>
        </is>
      </c>
      <c r="B1758" t="inlineStr">
        <is>
          <t>recvfenb18dJRN.jpg</t>
        </is>
      </c>
      <c r="C1758" s="2" t="str">
        <f>=HYPERLINK("https://xhslink.com/m/D34q7jaKni", "https://xhslink.com/m/D34q7jaKni")</f>
        <v>https://xhslink.com/m/D34q7jaKni</v>
      </c>
      <c r="D1758"/>
      <c r="E1758">
        <v>55000</v>
      </c>
      <c r="F1758">
        <v>55.9</v>
      </c>
      <c r="G1758">
        <v>45.9</v>
      </c>
      <c r="H1758">
        <v>200</v>
      </c>
      <c r="I1758" t="inlineStr">
        <is>
          <t>T恤</t>
        </is>
      </c>
      <c r="J1758" t="inlineStr">
        <is>
          <t>0.00</t>
        </is>
      </c>
      <c r="K1758"/>
      <c r="L1758" t="inlineStr">
        <is>
          <t>米尼尼studio的店</t>
        </is>
      </c>
      <c r="M1758">
        <v>488000</v>
      </c>
      <c r="N1758">
        <v>4.52</v>
      </c>
      <c r="O1758">
        <v>602000</v>
      </c>
      <c r="P1758" t="inlineStr">
        <is>
          <t>680240071374670001bc5c2a</t>
        </is>
      </c>
      <c r="Q1758" t="inlineStr">
        <is>
          <t>🚫重复</t>
        </is>
      </c>
      <c r="R1758" t="inlineStr">
        <is>
          <t>14周</t>
        </is>
      </c>
      <c r="S1758" t="inlineStr">
        <is>
          <t>0.11</t>
        </is>
      </c>
      <c r="T1758" t="inlineStr">
        <is>
          <t>服饰穿搭</t>
        </is>
      </c>
      <c r="U1758" t="inlineStr">
        <is>
          <t>女装</t>
        </is>
      </c>
      <c r="V1758" s="3">
        <v>46112.78107638889</v>
      </c>
      <c r="W1758" t="inlineStr">
        <is>
          <t>2026-Q1</t>
        </is>
      </c>
    </row>
    <row r="1759" ht="25.5" customHeight="1">
      <c r="A1759" t="inlineStr">
        <is>
          <t>她奢 · 二十块捡漏！高品质 chao显瘦正肩短袖T恤</t>
        </is>
      </c>
      <c r="B1759" t="inlineStr">
        <is>
          <t>recvfenb184g5A.jpg</t>
        </is>
      </c>
      <c r="C1759" s="2" t="str">
        <f>=HYPERLINK("https://xhslink.com/m/7t3RFcn9GIQ", "https://xhslink.com/m/7t3RFcn9GIQ")</f>
        <v>https://xhslink.com/m/7t3RFcn9GIQ</v>
      </c>
      <c r="D1759"/>
      <c r="E1759">
        <v>7042</v>
      </c>
      <c r="F1759">
        <v>20</v>
      </c>
      <c r="G1759"/>
      <c r="H1759">
        <v>200</v>
      </c>
      <c r="I1759" t="inlineStr">
        <is>
          <t>T恤</t>
        </is>
      </c>
      <c r="J1759" t="inlineStr">
        <is>
          <t>0.03</t>
        </is>
      </c>
      <c r="K1759"/>
      <c r="L1759" t="inlineStr">
        <is>
          <t>她奢的店</t>
        </is>
      </c>
      <c r="M1759">
        <v>530000</v>
      </c>
      <c r="N1759">
        <v>4.54</v>
      </c>
      <c r="O1759">
        <v>4337000</v>
      </c>
      <c r="P1759" t="inlineStr">
        <is>
          <t>69bb9b27d6abc60001482c8a</t>
        </is>
      </c>
      <c r="Q1759" t="inlineStr">
        <is>
          <t>🚫重复</t>
        </is>
      </c>
      <c r="R1759" t="inlineStr">
        <is>
          <t>14周</t>
        </is>
      </c>
      <c r="S1759" t="inlineStr">
        <is>
          <t>0.01</t>
        </is>
      </c>
      <c r="T1759" t="inlineStr">
        <is>
          <t>服饰穿搭</t>
        </is>
      </c>
      <c r="U1759" t="inlineStr">
        <is>
          <t>女装</t>
        </is>
      </c>
      <c r="V1759" s="3">
        <v>46112.78107638889</v>
      </c>
      <c r="W1759" t="inlineStr">
        <is>
          <t>2026-Q1</t>
        </is>
      </c>
    </row>
    <row r="1760" ht="25.5" customHeight="1">
      <c r="A1760" t="inlineStr">
        <is>
          <t>美式重磅纯棉短袖t恤女夏季新款宽松卡通ins国潮牌小众半袖上衣</t>
        </is>
      </c>
      <c r="B1760" t="inlineStr">
        <is>
          <t>recvfenb18xudW.jpg</t>
        </is>
      </c>
      <c r="C1760" s="2" t="str">
        <f>=HYPERLINK("https://xhslink.com/m/4ywinfavFaI", "https://xhslink.com/m/4ywinfavFaI")</f>
        <v>https://xhslink.com/m/4ywinfavFaI</v>
      </c>
      <c r="D1760"/>
      <c r="E1760">
        <v>4423</v>
      </c>
      <c r="F1760">
        <v>30.8</v>
      </c>
      <c r="G1760">
        <v>28.8</v>
      </c>
      <c r="H1760">
        <v>200</v>
      </c>
      <c r="I1760" t="inlineStr">
        <is>
          <t>T恤</t>
        </is>
      </c>
      <c r="J1760" t="inlineStr">
        <is>
          <t>0.05</t>
        </is>
      </c>
      <c r="K1760"/>
      <c r="L1760" t="inlineStr">
        <is>
          <t>XIAO詹原创工作室的店</t>
        </is>
      </c>
      <c r="M1760">
        <v>531000</v>
      </c>
      <c r="N1760">
        <v>4.55</v>
      </c>
      <c r="O1760">
        <v>1835000</v>
      </c>
      <c r="P1760" t="inlineStr">
        <is>
          <t>67c852d297592600010d943b</t>
        </is>
      </c>
      <c r="Q1760" t="inlineStr">
        <is>
          <t>🚫重复</t>
        </is>
      </c>
      <c r="R1760" t="inlineStr">
        <is>
          <t>14周</t>
        </is>
      </c>
      <c r="S1760" t="inlineStr">
        <is>
          <t>0.01</t>
        </is>
      </c>
      <c r="T1760" t="inlineStr">
        <is>
          <t>服饰穿搭</t>
        </is>
      </c>
      <c r="U1760" t="inlineStr">
        <is>
          <t>女装</t>
        </is>
      </c>
      <c r="V1760" s="3">
        <v>46112.78107638889</v>
      </c>
      <c r="W1760" t="inlineStr">
        <is>
          <t>2026-Q1</t>
        </is>
      </c>
    </row>
    <row r="1761" ht="25.5" customHeight="1">
      <c r="A1761" t="inlineStr">
        <is>
          <t>2026春夏新款小个子正肩纯色短袖T恤女小众设计圆领休闲百搭上衣</t>
        </is>
      </c>
      <c r="B1761" t="inlineStr">
        <is>
          <t>recvfenb18yi2N.jpg</t>
        </is>
      </c>
      <c r="C1761" s="2" t="str">
        <f>=HYPERLINK("https://xhslink.com/m/3YRlNZ4DBMe", "https://xhslink.com/m/3YRlNZ4DBMe")</f>
        <v>https://xhslink.com/m/3YRlNZ4DBMe</v>
      </c>
      <c r="D1761"/>
      <c r="E1761">
        <v>8011</v>
      </c>
      <c r="F1761">
        <v>34</v>
      </c>
      <c r="G1761">
        <v>28</v>
      </c>
      <c r="H1761">
        <v>200</v>
      </c>
      <c r="I1761" t="inlineStr">
        <is>
          <t>T恤</t>
        </is>
      </c>
      <c r="J1761" t="inlineStr">
        <is>
          <t>0.02</t>
        </is>
      </c>
      <c r="K1761"/>
      <c r="L1761" t="inlineStr">
        <is>
          <t>葵秋潮牌的店</t>
        </is>
      </c>
      <c r="M1761">
        <v>54000</v>
      </c>
      <c r="N1761">
        <v>4.65</v>
      </c>
      <c r="O1761">
        <v>408000</v>
      </c>
      <c r="P1761" t="inlineStr">
        <is>
          <t>63e9ddd594975b000145feac</t>
        </is>
      </c>
      <c r="Q1761" t="inlineStr">
        <is>
          <t>🚫重复</t>
        </is>
      </c>
      <c r="R1761" t="inlineStr">
        <is>
          <t>14周</t>
        </is>
      </c>
      <c r="S1761" t="inlineStr">
        <is>
          <t>0.15</t>
        </is>
      </c>
      <c r="T1761" t="inlineStr">
        <is>
          <t>服饰穿搭</t>
        </is>
      </c>
      <c r="U1761" t="inlineStr">
        <is>
          <t>女装</t>
        </is>
      </c>
      <c r="V1761" s="3">
        <v>46112.78107638889</v>
      </c>
      <c r="W1761" t="inlineStr">
        <is>
          <t>2026-Q1</t>
        </is>
      </c>
    </row>
    <row r="1762" ht="25.5" customHeight="1">
      <c r="A1762" t="inlineStr">
        <is>
          <t>【健身运动】训练速干短袖打底衫吸湿排汗圆领户外跑步长袖T恤</t>
        </is>
      </c>
      <c r="B1762" t="inlineStr">
        <is>
          <t>recvfenb18ZLbI.jpg</t>
        </is>
      </c>
      <c r="C1762" s="2" t="str">
        <f>=HYPERLINK("https://xhslink.com/m/9bpqCdh4HMH", "https://xhslink.com/m/9bpqCdh4HMH")</f>
        <v>https://xhslink.com/m/9bpqCdh4HMH</v>
      </c>
      <c r="D1762"/>
      <c r="E1762">
        <v>23000</v>
      </c>
      <c r="F1762">
        <v>59</v>
      </c>
      <c r="G1762"/>
      <c r="H1762">
        <v>200</v>
      </c>
      <c r="I1762" t="inlineStr">
        <is>
          <t>T恤</t>
        </is>
      </c>
      <c r="J1762" t="inlineStr">
        <is>
          <t>0.01</t>
        </is>
      </c>
      <c r="K1762"/>
      <c r="L1762" t="inlineStr">
        <is>
          <t>良衣优选的店</t>
        </is>
      </c>
      <c r="M1762">
        <v>69000</v>
      </c>
      <c r="N1762">
        <v>4.41</v>
      </c>
      <c r="O1762">
        <v>349000</v>
      </c>
      <c r="P1762" t="inlineStr">
        <is>
          <t>67ed2daa2af7ec0015229c8d</t>
        </is>
      </c>
      <c r="Q1762" t="inlineStr">
        <is>
          <t>🚫重复</t>
        </is>
      </c>
      <c r="R1762" t="inlineStr">
        <is>
          <t>14周</t>
        </is>
      </c>
      <c r="S1762" t="inlineStr">
        <is>
          <t>0.33</t>
        </is>
      </c>
      <c r="T1762" t="inlineStr">
        <is>
          <t>服饰穿搭</t>
        </is>
      </c>
      <c r="U1762" t="inlineStr">
        <is>
          <t>女装</t>
        </is>
      </c>
      <c r="V1762" s="3">
        <v>46112.78107638889</v>
      </c>
      <c r="W1762" t="inlineStr">
        <is>
          <t>2026-Q1</t>
        </is>
      </c>
    </row>
    <row r="1763" ht="25.5" customHeight="1">
      <c r="A1763" t="inlineStr">
        <is>
          <t>金煌芒（放软食用）新鲜热带水果 青皮/黄皮甜心芒</t>
        </is>
      </c>
      <c r="B1763" t="inlineStr">
        <is>
          <t>recvfenb18YqnO.jpg</t>
        </is>
      </c>
      <c r="C1763" s="2" t="str">
        <f>=HYPERLINK("https://xhslink.com/m/2Z3XlqDsYpF", "https://xhslink.com/m/2Z3XlqDsYpF")</f>
        <v>https://xhslink.com/m/2Z3XlqDsYpF</v>
      </c>
      <c r="D1763"/>
      <c r="E1763">
        <v>724000</v>
      </c>
      <c r="F1763">
        <v>21.9</v>
      </c>
      <c r="G1763">
        <v>14.9</v>
      </c>
      <c r="H1763">
        <v>200</v>
      </c>
      <c r="I1763" t="inlineStr">
        <is>
          <t>时令水果</t>
        </is>
      </c>
      <c r="J1763" t="inlineStr">
        <is>
          <t>0.00</t>
        </is>
      </c>
      <c r="K1763" t="inlineStr">
        <is>
          <t>🔥低粉爆款</t>
        </is>
      </c>
      <c r="L1763" t="inlineStr">
        <is>
          <t>朱一一的水果铺的店</t>
        </is>
      </c>
      <c r="M1763">
        <v>31000</v>
      </c>
      <c r="N1763">
        <v>4.56</v>
      </c>
      <c r="O1763">
        <v>560000</v>
      </c>
      <c r="P1763" t="inlineStr">
        <is>
          <t>65fc2e6d6b92310001d24efb</t>
        </is>
      </c>
      <c r="Q1763" t="inlineStr">
        <is>
          <t>🚫重复</t>
        </is>
      </c>
      <c r="R1763" t="inlineStr">
        <is>
          <t>14周</t>
        </is>
      </c>
      <c r="S1763" t="inlineStr">
        <is>
          <t>23.35</t>
        </is>
      </c>
      <c r="T1763" t="inlineStr">
        <is>
          <t>美食滋补</t>
        </is>
      </c>
      <c r="U1763" t="inlineStr">
        <is>
          <t>生鲜特产</t>
        </is>
      </c>
      <c r="V1763" s="3">
        <v>46112.78107638889</v>
      </c>
      <c r="W1763" t="inlineStr">
        <is>
          <t>2026-Q1</t>
        </is>
      </c>
    </row>
    <row r="1764" ht="25.5" customHeight="1">
      <c r="A1764" t="inlineStr">
        <is>
          <t>加点滋味 · 乌冬面碳水饱腹轻主食100g</t>
        </is>
      </c>
      <c r="B1764" t="inlineStr">
        <is>
          <t>recvfjOYGLN7C9.jpg</t>
        </is>
      </c>
      <c r="C1764" s="2" t="str">
        <f>=HYPERLINK("https://xhslink.com/m/7FqtGBLoP01", "https://xhslink.com/m/7FqtGBLoP01")</f>
        <v>https://xhslink.com/m/7FqtGBLoP01</v>
      </c>
      <c r="D1764"/>
      <c r="E1764">
        <v>18000</v>
      </c>
      <c r="F1764">
        <v>34.5</v>
      </c>
      <c r="G1764">
        <v>29.32</v>
      </c>
      <c r="H1764">
        <v>200</v>
      </c>
      <c r="I1764" t="inlineStr">
        <is>
          <t>一人食</t>
        </is>
      </c>
      <c r="J1764" t="inlineStr">
        <is>
          <t>0.01</t>
        </is>
      </c>
      <c r="K1764"/>
      <c r="L1764" t="inlineStr">
        <is>
          <t>加点滋味旗舰店</t>
        </is>
      </c>
      <c r="M1764">
        <v>24000</v>
      </c>
      <c r="N1764">
        <v>4.61</v>
      </c>
      <c r="O1764">
        <v>391000</v>
      </c>
      <c r="P1764" t="inlineStr">
        <is>
          <t>68fc2f93e0f3b20001e709c2</t>
        </is>
      </c>
      <c r="Q1764" t="inlineStr">
        <is>
          <t>🚫重复</t>
        </is>
      </c>
      <c r="R1764" t="inlineStr">
        <is>
          <t>14周</t>
        </is>
      </c>
      <c r="S1764" t="inlineStr">
        <is>
          <t>0.75</t>
        </is>
      </c>
      <c r="T1764" t="inlineStr">
        <is>
          <t>美食滋补</t>
        </is>
      </c>
      <c r="U1764" t="inlineStr">
        <is>
          <t>休闲零食</t>
        </is>
      </c>
      <c r="V1764" s="3">
        <v>46112.78107638889</v>
      </c>
      <c r="W1764" t="inlineStr">
        <is>
          <t>2026-Q1</t>
        </is>
      </c>
    </row>
    <row r="1765" ht="25.5" customHeight="1">
      <c r="A1765" t="inlineStr">
        <is>
          <t>周三的情书 天气：小雨 · 手工厚切吐司面包奶香手撕吐司营养早餐糕点代餐零食品整箱即食</t>
        </is>
      </c>
      <c r="B1765" t="inlineStr">
        <is>
          <t>recvfjOYGL8ovV.jpg</t>
        </is>
      </c>
      <c r="C1765" s="2" t="str">
        <f>=HYPERLINK("https://xhslink.com/m/54KzmyF8p5u", "https://xhslink.com/m/54KzmyF8p5u")</f>
        <v>https://xhslink.com/m/54KzmyF8p5u</v>
      </c>
      <c r="D1765"/>
      <c r="E1765">
        <v>179000</v>
      </c>
      <c r="F1765">
        <v>24.9</v>
      </c>
      <c r="G1765">
        <v>13.9</v>
      </c>
      <c r="H1765">
        <v>200</v>
      </c>
      <c r="I1765" t="inlineStr">
        <is>
          <t>面包早餐</t>
        </is>
      </c>
      <c r="J1765" t="inlineStr">
        <is>
          <t>0.00</t>
        </is>
      </c>
      <c r="K1765" t="inlineStr">
        <is>
          <t>🔥低粉爆款</t>
        </is>
      </c>
      <c r="L1765" t="inlineStr">
        <is>
          <t>周三的情书 天气：小雨旗舰店</t>
        </is>
      </c>
      <c r="M1765">
        <v>27000</v>
      </c>
      <c r="N1765">
        <v>4.02</v>
      </c>
      <c r="O1765">
        <v>426000</v>
      </c>
      <c r="P1765" t="inlineStr">
        <is>
          <t>66cf0b43912c5400015b5eb7</t>
        </is>
      </c>
      <c r="Q1765" t="inlineStr">
        <is>
          <t>🚫重复</t>
        </is>
      </c>
      <c r="R1765" t="inlineStr">
        <is>
          <t>14周</t>
        </is>
      </c>
      <c r="S1765" t="inlineStr">
        <is>
          <t>6.63</t>
        </is>
      </c>
      <c r="T1765" t="inlineStr">
        <is>
          <t>美食滋补</t>
        </is>
      </c>
      <c r="U1765" t="inlineStr">
        <is>
          <t>休闲零食</t>
        </is>
      </c>
      <c r="V1765" s="3">
        <v>46112.78107638889</v>
      </c>
      <c r="W1765" t="inlineStr">
        <is>
          <t>2026-Q1</t>
        </is>
      </c>
    </row>
    <row r="1766" ht="25.5" customHeight="1">
      <c r="A1766" t="inlineStr">
        <is>
          <t>轻薄显脸小字母鸭舌女帽软顶大头围加深百搭做旧棒球帽遮阳帽子男</t>
        </is>
      </c>
      <c r="B1766" t="inlineStr">
        <is>
          <t>recvfjOYGLpcxM.jpg</t>
        </is>
      </c>
      <c r="C1766" s="2" t="str">
        <f>=HYPERLINK("https://xhslink.com/m/1M6ii31FZcN", "https://xhslink.com/m/1M6ii31FZcN")</f>
        <v>https://xhslink.com/m/1M6ii31FZcN</v>
      </c>
      <c r="D1766"/>
      <c r="E1766">
        <v>33000</v>
      </c>
      <c r="F1766">
        <v>32.5</v>
      </c>
      <c r="G1766">
        <v>30.5</v>
      </c>
      <c r="H1766">
        <v>200</v>
      </c>
      <c r="I1766" t="inlineStr">
        <is>
          <t>帽子</t>
        </is>
      </c>
      <c r="J1766" t="inlineStr">
        <is>
          <t>0.01</t>
        </is>
      </c>
      <c r="K1766"/>
      <c r="L1766" t="inlineStr">
        <is>
          <t>帽大户帽行的店</t>
        </is>
      </c>
      <c r="M1766">
        <v>24000</v>
      </c>
      <c r="N1766">
        <v>4.6</v>
      </c>
      <c r="O1766">
        <v>94000</v>
      </c>
      <c r="P1766" t="inlineStr">
        <is>
          <t>66875cf849c6f40001b8199c</t>
        </is>
      </c>
      <c r="Q1766" t="inlineStr">
        <is>
          <t>🚫重复</t>
        </is>
      </c>
      <c r="R1766" t="inlineStr">
        <is>
          <t>14周</t>
        </is>
      </c>
      <c r="S1766" t="inlineStr">
        <is>
          <t>1.38</t>
        </is>
      </c>
      <c r="T1766" t="inlineStr">
        <is>
          <t>服饰穿搭</t>
        </is>
      </c>
      <c r="U1766" t="inlineStr">
        <is>
          <t>配饰</t>
        </is>
      </c>
      <c r="V1766" s="3">
        <v>46112.78107638889</v>
      </c>
      <c r="W1766" t="inlineStr">
        <is>
          <t>2026-Q1</t>
        </is>
      </c>
    </row>
    <row r="1767" ht="25.5" customHeight="1">
      <c r="A1767" t="inlineStr">
        <is>
          <t>【原创首发】w字母深顶大头围棒球帽女遮阳百搭刺绣显脸小鸭舌帽</t>
        </is>
      </c>
      <c r="B1767" t="inlineStr">
        <is>
          <t>recvfjOYGLBRpA.jpg</t>
        </is>
      </c>
      <c r="C1767" s="2" t="str">
        <f>=HYPERLINK("https://xhslink.com/m/5tNDC4vWQA9", "https://xhslink.com/m/5tNDC4vWQA9")</f>
        <v>https://xhslink.com/m/5tNDC4vWQA9</v>
      </c>
      <c r="D1767"/>
      <c r="E1767">
        <v>17000</v>
      </c>
      <c r="F1767">
        <v>31.9</v>
      </c>
      <c r="G1767"/>
      <c r="H1767">
        <v>200</v>
      </c>
      <c r="I1767" t="inlineStr">
        <is>
          <t>帽子</t>
        </is>
      </c>
      <c r="J1767" t="inlineStr">
        <is>
          <t>0.01</t>
        </is>
      </c>
      <c r="K1767"/>
      <c r="L1767" t="inlineStr">
        <is>
          <t>盖个帽儿总店铺的店</t>
        </is>
      </c>
      <c r="M1767">
        <v>154000</v>
      </c>
      <c r="N1767">
        <v>4.58</v>
      </c>
      <c r="O1767">
        <v>1601000</v>
      </c>
      <c r="P1767" t="inlineStr">
        <is>
          <t>6810dd9fafdaa600019a2567</t>
        </is>
      </c>
      <c r="Q1767" t="inlineStr">
        <is>
          <t>🚫重复</t>
        </is>
      </c>
      <c r="R1767" t="inlineStr">
        <is>
          <t>14周</t>
        </is>
      </c>
      <c r="S1767" t="inlineStr">
        <is>
          <t>0.11</t>
        </is>
      </c>
      <c r="T1767" t="inlineStr">
        <is>
          <t>服饰穿搭</t>
        </is>
      </c>
      <c r="U1767" t="inlineStr">
        <is>
          <t>配饰</t>
        </is>
      </c>
      <c r="V1767" s="3">
        <v>46112.78107638889</v>
      </c>
      <c r="W1767" t="inlineStr">
        <is>
          <t>2026-Q1</t>
        </is>
      </c>
    </row>
    <row r="1768" ht="25.5" customHeight="1">
      <c r="A1768" t="inlineStr">
        <is>
          <t>钱一波 · 原创设计痛包lolita女托特芭蕾缎带大容量单肩包</t>
        </is>
      </c>
      <c r="B1768" t="inlineStr">
        <is>
          <t>recvfjOYGLtto5.jpg</t>
        </is>
      </c>
      <c r="C1768" s="2" t="str">
        <f>=HYPERLINK("https://xhslink.com/m/AN3bRQwVWj9", "https://xhslink.com/m/AN3bRQwVWj9")</f>
        <v>https://xhslink.com/m/AN3bRQwVWj9</v>
      </c>
      <c r="D1768"/>
      <c r="E1768">
        <v>91000</v>
      </c>
      <c r="F1768">
        <v>59.9</v>
      </c>
      <c r="G1768"/>
      <c r="H1768">
        <v>200</v>
      </c>
      <c r="I1768" t="inlineStr">
        <is>
          <t>包包</t>
        </is>
      </c>
      <c r="J1768" t="inlineStr">
        <is>
          <t>0.00</t>
        </is>
      </c>
      <c r="K1768"/>
      <c r="L1768" t="inlineStr">
        <is>
          <t>钱一波的痛包的店</t>
        </is>
      </c>
      <c r="M1768">
        <v>284000</v>
      </c>
      <c r="N1768">
        <v>4.51</v>
      </c>
      <c r="O1768">
        <v>198000</v>
      </c>
      <c r="P1768" t="inlineStr">
        <is>
          <t>672ed9c2767bf6000133b0a7</t>
        </is>
      </c>
      <c r="Q1768" t="inlineStr">
        <is>
          <t>🚫重复</t>
        </is>
      </c>
      <c r="R1768" t="inlineStr">
        <is>
          <t>14周</t>
        </is>
      </c>
      <c r="S1768" t="inlineStr">
        <is>
          <t>0.32</t>
        </is>
      </c>
      <c r="T1768" t="inlineStr">
        <is>
          <t>服饰穿搭</t>
        </is>
      </c>
      <c r="U1768" t="inlineStr">
        <is>
          <t>鞋靴箱包</t>
        </is>
      </c>
      <c r="V1768" s="3">
        <v>46112.78107638889</v>
      </c>
      <c r="W1768" t="inlineStr">
        <is>
          <t>2026-Q1</t>
        </is>
      </c>
    </row>
    <row r="1769" ht="25.5" customHeight="1">
      <c r="A1769" t="inlineStr">
        <is>
          <t>Hello 新款荔枝纹牛皮真皮手提单肩斜挎包水桶菜篮子百搭韩系休闲</t>
        </is>
      </c>
      <c r="B1769" t="inlineStr">
        <is>
          <t>recvfjOYGLlbBf.jpg</t>
        </is>
      </c>
      <c r="C1769" s="2" t="str">
        <f>=HYPERLINK("https://xhslink.com/m/AyFt6MLZO1T", "https://xhslink.com/m/AyFt6MLZO1T")</f>
        <v>https://xhslink.com/m/AyFt6MLZO1T</v>
      </c>
      <c r="D1769"/>
      <c r="E1769">
        <v>5476</v>
      </c>
      <c r="F1769">
        <v>159</v>
      </c>
      <c r="G1769">
        <v>156</v>
      </c>
      <c r="H1769">
        <v>200</v>
      </c>
      <c r="I1769" t="inlineStr">
        <is>
          <t>包包</t>
        </is>
      </c>
      <c r="J1769" t="inlineStr">
        <is>
          <t>0.04</t>
        </is>
      </c>
      <c r="K1769"/>
      <c r="L1769" t="inlineStr">
        <is>
          <t>Hello的店</t>
        </is>
      </c>
      <c r="M1769">
        <v>2500</v>
      </c>
      <c r="N1769">
        <v>4.73</v>
      </c>
      <c r="O1769">
        <v>14000</v>
      </c>
      <c r="P1769" t="inlineStr">
        <is>
          <t>69a2b6f1ca73c20001423421</t>
        </is>
      </c>
      <c r="Q1769" t="inlineStr">
        <is>
          <t>🚫重复</t>
        </is>
      </c>
      <c r="R1769" t="inlineStr">
        <is>
          <t>14周</t>
        </is>
      </c>
      <c r="S1769" t="inlineStr">
        <is>
          <t>2.19</t>
        </is>
      </c>
      <c r="T1769" t="inlineStr">
        <is>
          <t>服饰穿搭</t>
        </is>
      </c>
      <c r="U1769" t="inlineStr">
        <is>
          <t>鞋靴箱包</t>
        </is>
      </c>
      <c r="V1769" s="3">
        <v>46112.78107638889</v>
      </c>
      <c r="W1769" t="inlineStr">
        <is>
          <t>2026-Q1</t>
        </is>
      </c>
    </row>
    <row r="1770" ht="25.5" customHeight="1">
      <c r="A1770" t="inlineStr">
        <is>
          <t>【KaKaYOMI原创】新款云朵托特包上班通勤大学生必备百搭单肩包</t>
        </is>
      </c>
      <c r="B1770" t="inlineStr">
        <is>
          <t>recvfjOYGLRI77.jpg</t>
        </is>
      </c>
      <c r="C1770" s="2" t="str">
        <f>=HYPERLINK("https://xhslink.com/m/AiFKuPeUFLs", "https://xhslink.com/m/AiFKuPeUFLs")</f>
        <v>https://xhslink.com/m/AiFKuPeUFLs</v>
      </c>
      <c r="D1770"/>
      <c r="E1770">
        <v>3478</v>
      </c>
      <c r="F1770">
        <v>128.8</v>
      </c>
      <c r="G1770">
        <v>87.8</v>
      </c>
      <c r="H1770">
        <v>200</v>
      </c>
      <c r="I1770" t="inlineStr">
        <is>
          <t>包包</t>
        </is>
      </c>
      <c r="J1770" t="inlineStr">
        <is>
          <t>0.06</t>
        </is>
      </c>
      <c r="K1770"/>
      <c r="L1770" t="inlineStr">
        <is>
          <t>KaKaYOMI的店</t>
        </is>
      </c>
      <c r="M1770">
        <v>2443</v>
      </c>
      <c r="N1770">
        <v>4.62</v>
      </c>
      <c r="O1770">
        <v>7211</v>
      </c>
      <c r="P1770" t="inlineStr">
        <is>
          <t>6957c646a751dc0001c45ce3</t>
        </is>
      </c>
      <c r="Q1770" t="inlineStr">
        <is>
          <t>🚫重复</t>
        </is>
      </c>
      <c r="R1770" t="inlineStr">
        <is>
          <t>14周</t>
        </is>
      </c>
      <c r="S1770" t="inlineStr">
        <is>
          <t>1.42</t>
        </is>
      </c>
      <c r="T1770" t="inlineStr">
        <is>
          <t>服饰穿搭</t>
        </is>
      </c>
      <c r="U1770" t="inlineStr">
        <is>
          <t>鞋靴箱包</t>
        </is>
      </c>
      <c r="V1770" s="3">
        <v>46112.78107638889</v>
      </c>
      <c r="W1770" t="inlineStr">
        <is>
          <t>2026-Q1</t>
        </is>
      </c>
    </row>
    <row r="1771" ht="25.5" customHeight="1">
      <c r="A1771" t="inlineStr">
        <is>
          <t>YUMU 自制大容量尼龙降落伞托特腋下包包女 多隔层通勤单肩手提包</t>
        </is>
      </c>
      <c r="B1771" t="inlineStr">
        <is>
          <t>recvfjOYGLZqgO.jpg</t>
        </is>
      </c>
      <c r="C1771" s="2" t="str">
        <f>=HYPERLINK("https://xhslink.com/m/AEYx34WIppA", "https://xhslink.com/m/AEYx34WIppA")</f>
        <v>https://xhslink.com/m/AEYx34WIppA</v>
      </c>
      <c r="D1771"/>
      <c r="E1771">
        <v>1388</v>
      </c>
      <c r="F1771">
        <v>229</v>
      </c>
      <c r="G1771">
        <v>199</v>
      </c>
      <c r="H1771">
        <v>200</v>
      </c>
      <c r="I1771" t="inlineStr">
        <is>
          <t>包包</t>
        </is>
      </c>
      <c r="J1771" t="inlineStr">
        <is>
          <t>0.14</t>
        </is>
      </c>
      <c r="K1771"/>
      <c r="L1771" t="inlineStr">
        <is>
          <t>YUMU与沐的店</t>
        </is>
      </c>
      <c r="M1771">
        <v>36000</v>
      </c>
      <c r="N1771">
        <v>4.62</v>
      </c>
      <c r="O1771">
        <v>37000</v>
      </c>
      <c r="P1771" t="inlineStr">
        <is>
          <t>69ad97c4f6806b0001ff3f63</t>
        </is>
      </c>
      <c r="Q1771" t="inlineStr">
        <is>
          <t>🚫重复</t>
        </is>
      </c>
      <c r="R1771" t="inlineStr">
        <is>
          <t>14周</t>
        </is>
      </c>
      <c r="S1771" t="inlineStr">
        <is>
          <t>0.04</t>
        </is>
      </c>
      <c r="T1771" t="inlineStr">
        <is>
          <t>服饰穿搭</t>
        </is>
      </c>
      <c r="U1771" t="inlineStr">
        <is>
          <t>鞋靴箱包</t>
        </is>
      </c>
      <c r="V1771" s="3">
        <v>46112.78107638889</v>
      </c>
      <c r="W1771" t="inlineStr">
        <is>
          <t>2026-Q1</t>
        </is>
      </c>
    </row>
    <row r="1772" ht="25.5" customHeight="1">
      <c r="A1772" t="inlineStr">
        <is>
          <t>小海鸥红标刺绣修身显瘦亨利衫弹力短袖T恤上衣女夏季半袖</t>
        </is>
      </c>
      <c r="B1772" t="inlineStr">
        <is>
          <t>recvfjOYGLKgOi.jpg</t>
        </is>
      </c>
      <c r="C1772" s="2" t="str">
        <f>=HYPERLINK("https://xhslink.com/m/3sfDU5MF8I", "https://xhslink.com/m/3sfDU5MF8I")</f>
        <v>https://xhslink.com/m/3sfDU5MF8I</v>
      </c>
      <c r="D1772"/>
      <c r="E1772">
        <v>1274</v>
      </c>
      <c r="F1772">
        <v>79</v>
      </c>
      <c r="G1772">
        <v>69</v>
      </c>
      <c r="H1772">
        <v>200</v>
      </c>
      <c r="I1772" t="inlineStr">
        <is>
          <t>短袖</t>
        </is>
      </c>
      <c r="J1772" t="inlineStr">
        <is>
          <t>0.16</t>
        </is>
      </c>
      <c r="K1772"/>
      <c r="L1772" t="inlineStr">
        <is>
          <t>MOTOKU的店</t>
        </is>
      </c>
      <c r="M1772">
        <v>1121</v>
      </c>
      <c r="N1772">
        <v>4.48</v>
      </c>
      <c r="O1772">
        <v>3913</v>
      </c>
      <c r="P1772" t="inlineStr">
        <is>
          <t>69846a391b200000013feeea</t>
        </is>
      </c>
      <c r="Q1772" t="inlineStr">
        <is>
          <t>🚫重复</t>
        </is>
      </c>
      <c r="R1772" t="inlineStr">
        <is>
          <t>14周</t>
        </is>
      </c>
      <c r="S1772" t="inlineStr">
        <is>
          <t>1.14</t>
        </is>
      </c>
      <c r="T1772" t="inlineStr">
        <is>
          <t>服饰穿搭</t>
        </is>
      </c>
      <c r="U1772" t="inlineStr">
        <is>
          <t>女装</t>
        </is>
      </c>
      <c r="V1772" s="3">
        <v>46112.78107638889</v>
      </c>
      <c r="W1772" t="inlineStr">
        <is>
          <t>2026-Q1</t>
        </is>
      </c>
    </row>
    <row r="1773" ht="25.5" customHeight="1">
      <c r="A1773" t="inlineStr">
        <is>
          <t>【多巴胺】晨总自制夏季外穿修身显瘦短款百搭纯色美背背心女</t>
        </is>
      </c>
      <c r="B1773" t="inlineStr">
        <is>
          <t>recvfjOYGLPbKV.jpg</t>
        </is>
      </c>
      <c r="C1773" s="2" t="str">
        <f>=HYPERLINK("https://xhslink.com/m/45noP3aRsVx", "https://xhslink.com/m/45noP3aRsVx")</f>
        <v>https://xhslink.com/m/45noP3aRsVx</v>
      </c>
      <c r="D1773"/>
      <c r="E1773">
        <v>43000</v>
      </c>
      <c r="F1773">
        <v>49</v>
      </c>
      <c r="G1773">
        <v>44</v>
      </c>
      <c r="H1773">
        <v>200</v>
      </c>
      <c r="I1773" t="inlineStr">
        <is>
          <t>背心吊带</t>
        </is>
      </c>
      <c r="J1773" t="inlineStr">
        <is>
          <t>0.00</t>
        </is>
      </c>
      <c r="K1773"/>
      <c r="L1773" t="inlineStr">
        <is>
          <t>晨总家的店</t>
        </is>
      </c>
      <c r="M1773">
        <v>33000</v>
      </c>
      <c r="N1773">
        <v>4.54</v>
      </c>
      <c r="O1773">
        <v>129000</v>
      </c>
      <c r="P1773" t="inlineStr">
        <is>
          <t>681d71d5927b0e0001ffa185</t>
        </is>
      </c>
      <c r="Q1773" t="inlineStr">
        <is>
          <t>🚫重复</t>
        </is>
      </c>
      <c r="R1773" t="inlineStr">
        <is>
          <t>14周</t>
        </is>
      </c>
      <c r="S1773" t="inlineStr">
        <is>
          <t>1.30</t>
        </is>
      </c>
      <c r="T1773" t="inlineStr">
        <is>
          <t>服饰穿搭</t>
        </is>
      </c>
      <c r="U1773" t="inlineStr">
        <is>
          <t>女装</t>
        </is>
      </c>
      <c r="V1773" s="3">
        <v>46112.78107638889</v>
      </c>
      <c r="W1773" t="inlineStr">
        <is>
          <t>2026-Q1</t>
        </is>
      </c>
    </row>
    <row r="1774" ht="25.5" customHeight="1">
      <c r="A1774" t="inlineStr">
        <is>
          <t>【高品质版】老头背心 慵懒宽松背心T恤夏季雪花棉百搭内搭打底</t>
        </is>
      </c>
      <c r="B1774" t="inlineStr">
        <is>
          <t>recvfjOYGLORqn.jpg</t>
        </is>
      </c>
      <c r="C1774" s="2" t="str">
        <f>=HYPERLINK("https://xhslink.com/m/NSodDM8TUk", "https://xhslink.com/m/NSodDM8TUk")</f>
        <v>https://xhslink.com/m/NSodDM8TUk</v>
      </c>
      <c r="D1774"/>
      <c r="E1774">
        <v>34000</v>
      </c>
      <c r="F1774">
        <v>39.9</v>
      </c>
      <c r="G1774">
        <v>29.9</v>
      </c>
      <c r="H1774">
        <v>200</v>
      </c>
      <c r="I1774" t="inlineStr">
        <is>
          <t>背心吊带</t>
        </is>
      </c>
      <c r="J1774" t="inlineStr">
        <is>
          <t>0.01</t>
        </is>
      </c>
      <c r="K1774" t="inlineStr">
        <is>
          <t>🔥低粉爆款</t>
        </is>
      </c>
      <c r="L1774" t="inlineStr">
        <is>
          <t>大耳朵藏不住的店</t>
        </is>
      </c>
      <c r="M1774">
        <v>7089</v>
      </c>
      <c r="N1774">
        <v>4.63</v>
      </c>
      <c r="O1774">
        <v>300000</v>
      </c>
      <c r="P1774" t="inlineStr">
        <is>
          <t>67fee6c1a7524b0001d379af</t>
        </is>
      </c>
      <c r="Q1774" t="inlineStr">
        <is>
          <t>🚫重复</t>
        </is>
      </c>
      <c r="R1774" t="inlineStr">
        <is>
          <t>14周</t>
        </is>
      </c>
      <c r="S1774" t="inlineStr">
        <is>
          <t>4.80</t>
        </is>
      </c>
      <c r="T1774" t="inlineStr">
        <is>
          <t>服饰穿搭</t>
        </is>
      </c>
      <c r="U1774" t="inlineStr">
        <is>
          <t>女装</t>
        </is>
      </c>
      <c r="V1774" s="3">
        <v>46112.78107638889</v>
      </c>
      <c r="W1774" t="inlineStr">
        <is>
          <t>2026-Q1</t>
        </is>
      </c>
    </row>
    <row r="1775" ht="25.5" customHeight="1">
      <c r="A1775" t="inlineStr">
        <is>
          <t>【工厂清仓】露露同款ebb运动舒适免穿Bra内衣固定胸垫工字背心</t>
        </is>
      </c>
      <c r="B1775" t="inlineStr">
        <is>
          <t>recvfjOYGLpKia.jpg</t>
        </is>
      </c>
      <c r="C1775" s="2" t="str">
        <f>=HYPERLINK("https://xhslink.com/m/8p1lA0IIqjd", "https://xhslink.com/m/8p1lA0IIqjd")</f>
        <v>https://xhslink.com/m/8p1lA0IIqjd</v>
      </c>
      <c r="D1775"/>
      <c r="E1775">
        <v>13000</v>
      </c>
      <c r="F1775">
        <v>49.9</v>
      </c>
      <c r="G1775">
        <v>29.9</v>
      </c>
      <c r="H1775">
        <v>200</v>
      </c>
      <c r="I1775" t="inlineStr">
        <is>
          <t>背心吊带</t>
        </is>
      </c>
      <c r="J1775" t="inlineStr">
        <is>
          <t>0.02</t>
        </is>
      </c>
      <c r="K1775"/>
      <c r="L1775" t="inlineStr">
        <is>
          <t>喵一个miao的店</t>
        </is>
      </c>
      <c r="M1775">
        <v>4511</v>
      </c>
      <c r="N1775">
        <v>4.33</v>
      </c>
      <c r="O1775">
        <v>40000</v>
      </c>
      <c r="P1775" t="inlineStr">
        <is>
          <t>685e6a1456ddbd0001eadaae</t>
        </is>
      </c>
      <c r="Q1775" t="inlineStr">
        <is>
          <t>🚫重复</t>
        </is>
      </c>
      <c r="R1775" t="inlineStr">
        <is>
          <t>14周</t>
        </is>
      </c>
      <c r="S1775" t="inlineStr">
        <is>
          <t>2.88</t>
        </is>
      </c>
      <c r="T1775" t="inlineStr">
        <is>
          <t>服饰穿搭</t>
        </is>
      </c>
      <c r="U1775" t="inlineStr">
        <is>
          <t>女装</t>
        </is>
      </c>
      <c r="V1775" s="3">
        <v>46112.78107638889</v>
      </c>
      <c r="W1775" t="inlineStr">
        <is>
          <t>2026-Q1</t>
        </is>
      </c>
    </row>
    <row r="1776" ht="25.5" customHeight="1">
      <c r="A1776" t="inlineStr">
        <is>
          <t>加厚棉麻收纳盒可折叠可视窗家用抽屉式家居衣柜衣服裤子收纳盒</t>
        </is>
      </c>
      <c r="B1776" t="inlineStr">
        <is>
          <t>recvfjOYGL9IOf.jpg</t>
        </is>
      </c>
      <c r="C1776" s="2" t="str">
        <f>=HYPERLINK("https://xhslink.com/m/65lOFcWUniR", "https://xhslink.com/m/65lOFcWUniR")</f>
        <v>https://xhslink.com/m/65lOFcWUniR</v>
      </c>
      <c r="D1776"/>
      <c r="E1776">
        <v>98000</v>
      </c>
      <c r="F1776">
        <v>69.9</v>
      </c>
      <c r="G1776">
        <v>49.9</v>
      </c>
      <c r="H1776">
        <v>200</v>
      </c>
      <c r="I1776" t="inlineStr">
        <is>
          <t>收纳</t>
        </is>
      </c>
      <c r="J1776" t="inlineStr">
        <is>
          <t>0.00</t>
        </is>
      </c>
      <c r="K1776" t="inlineStr">
        <is>
          <t>🔥低粉爆款</t>
        </is>
      </c>
      <c r="L1776" t="inlineStr">
        <is>
          <t>是个宝藏鸭的店</t>
        </is>
      </c>
      <c r="M1776">
        <v>7247</v>
      </c>
      <c r="N1776">
        <v>4.66</v>
      </c>
      <c r="O1776">
        <v>152000</v>
      </c>
      <c r="P1776" t="inlineStr">
        <is>
          <t>6667a46da9c8b700010281a5</t>
        </is>
      </c>
      <c r="Q1776" t="inlineStr">
        <is>
          <t>🚫重复</t>
        </is>
      </c>
      <c r="R1776" t="inlineStr">
        <is>
          <t>14周</t>
        </is>
      </c>
      <c r="S1776" t="inlineStr">
        <is>
          <t>13.52</t>
        </is>
      </c>
      <c r="T1776" t="inlineStr">
        <is>
          <t>家居生活</t>
        </is>
      </c>
      <c r="U1776" t="inlineStr">
        <is>
          <t>家居日用</t>
        </is>
      </c>
      <c r="V1776" s="3">
        <v>46112.78107638889</v>
      </c>
      <c r="W1776" t="inlineStr">
        <is>
          <t>2026-Q1</t>
        </is>
      </c>
    </row>
    <row r="1777" ht="25.5" customHeight="1">
      <c r="A1777" t="inlineStr">
        <is>
          <t>不锈钢厨房调料架厨房置物架免安装多层收纳斜放调料架调料瓶收纳</t>
        </is>
      </c>
      <c r="B1777" t="inlineStr">
        <is>
          <t>recvfjOYGL1BhE.jpg</t>
        </is>
      </c>
      <c r="C1777" s="2" t="str">
        <f>=HYPERLINK("https://xhslink.com/m/5aibl10bcMB", "https://xhslink.com/m/5aibl10bcMB")</f>
        <v>https://xhslink.com/m/5aibl10bcMB</v>
      </c>
      <c r="D1777"/>
      <c r="E1777">
        <v>16000</v>
      </c>
      <c r="F1777">
        <v>46</v>
      </c>
      <c r="G1777">
        <v>29.99</v>
      </c>
      <c r="H1777">
        <v>200</v>
      </c>
      <c r="I1777" t="inlineStr">
        <is>
          <t>厨房用品</t>
        </is>
      </c>
      <c r="J1777" t="inlineStr">
        <is>
          <t>0.01</t>
        </is>
      </c>
      <c r="K1777" t="inlineStr">
        <is>
          <t>🔥低粉爆款</t>
        </is>
      </c>
      <c r="L1777" t="inlineStr">
        <is>
          <t>龙菲甄选的店</t>
        </is>
      </c>
      <c r="M1777">
        <v>3032</v>
      </c>
      <c r="N1777">
        <v>4.56</v>
      </c>
      <c r="O1777">
        <v>18000</v>
      </c>
      <c r="P1777" t="inlineStr">
        <is>
          <t>6859bba06a2a8300155181a0</t>
        </is>
      </c>
      <c r="Q1777"/>
      <c r="R1777" t="inlineStr">
        <is>
          <t>14周</t>
        </is>
      </c>
      <c r="S1777" t="inlineStr">
        <is>
          <t>5.28</t>
        </is>
      </c>
      <c r="T1777" t="inlineStr">
        <is>
          <t>家居生活</t>
        </is>
      </c>
      <c r="U1777" t="inlineStr">
        <is>
          <t>家居日用</t>
        </is>
      </c>
      <c r="V1777" s="3">
        <v>46112.78107638889</v>
      </c>
      <c r="W1777" t="inlineStr">
        <is>
          <t>2026-Q1</t>
        </is>
      </c>
    </row>
    <row r="1778" ht="25.5" customHeight="1">
      <c r="A1778" t="inlineStr">
        <is>
          <t>Berrivien信念之翼原创内螺旋耳骨钉耳钉多功能定制收纳盒有镜子</t>
        </is>
      </c>
      <c r="B1778" t="inlineStr">
        <is>
          <t>recvfjOYGLbaqA.jpg</t>
        </is>
      </c>
      <c r="C1778" s="2" t="str">
        <f>=HYPERLINK("https://xhslink.com/m/81zsNgx1Ziz", "https://xhslink.com/m/81zsNgx1Ziz")</f>
        <v>https://xhslink.com/m/81zsNgx1Ziz</v>
      </c>
      <c r="D1778"/>
      <c r="E1778">
        <v>5313</v>
      </c>
      <c r="F1778">
        <v>27.9</v>
      </c>
      <c r="G1778"/>
      <c r="H1778">
        <v>200</v>
      </c>
      <c r="I1778" t="inlineStr">
        <is>
          <t>收纳</t>
        </is>
      </c>
      <c r="J1778" t="inlineStr">
        <is>
          <t>0.04</t>
        </is>
      </c>
      <c r="K1778"/>
      <c r="L1778" t="inlineStr">
        <is>
          <t>Berrivien.Co的店</t>
        </is>
      </c>
      <c r="M1778">
        <v>8525</v>
      </c>
      <c r="N1778">
        <v>4.39</v>
      </c>
      <c r="O1778">
        <v>10000</v>
      </c>
      <c r="P1778" t="inlineStr">
        <is>
          <t>69056a09c6a9770001c5d9bd</t>
        </is>
      </c>
      <c r="Q1778"/>
      <c r="R1778" t="inlineStr">
        <is>
          <t>14周</t>
        </is>
      </c>
      <c r="S1778" t="inlineStr">
        <is>
          <t>0.62</t>
        </is>
      </c>
      <c r="T1778" t="inlineStr">
        <is>
          <t>家居生活</t>
        </is>
      </c>
      <c r="U1778" t="inlineStr">
        <is>
          <t>家居日用</t>
        </is>
      </c>
      <c r="V1778" s="3">
        <v>46112.78107638889</v>
      </c>
      <c r="W1778" t="inlineStr">
        <is>
          <t>2026-Q1</t>
        </is>
      </c>
    </row>
    <row r="1779" ht="25.5" customHeight="1">
      <c r="A1779" t="inlineStr">
        <is>
          <t>金煌芒（放软食用）新鲜热带水果 青皮/黄皮甜心芒</t>
        </is>
      </c>
      <c r="B1779" t="inlineStr">
        <is>
          <t>recvfjOYGLIZFo.jpg</t>
        </is>
      </c>
      <c r="C1779" s="2" t="str">
        <f>=HYPERLINK("https://xhslink.com/m/1hoH2KyFsxK", "https://xhslink.com/m/1hoH2KyFsxK")</f>
        <v>https://xhslink.com/m/1hoH2KyFsxK</v>
      </c>
      <c r="D1779"/>
      <c r="E1779">
        <v>724000</v>
      </c>
      <c r="F1779">
        <v>38.8</v>
      </c>
      <c r="G1779">
        <v>34.14</v>
      </c>
      <c r="H1779">
        <v>200</v>
      </c>
      <c r="I1779" t="inlineStr">
        <is>
          <t>水果</t>
        </is>
      </c>
      <c r="J1779" t="inlineStr">
        <is>
          <t>0.00</t>
        </is>
      </c>
      <c r="K1779" t="inlineStr">
        <is>
          <t>🔥低粉爆款</t>
        </is>
      </c>
      <c r="L1779" t="inlineStr">
        <is>
          <t>朱一一的水果铺的店</t>
        </is>
      </c>
      <c r="M1779">
        <v>31000</v>
      </c>
      <c r="N1779">
        <v>4.56</v>
      </c>
      <c r="O1779">
        <v>561000</v>
      </c>
      <c r="P1779" t="inlineStr">
        <is>
          <t>67ee792f84d56b0001424bda</t>
        </is>
      </c>
      <c r="Q1779" t="inlineStr">
        <is>
          <t>🚫重复</t>
        </is>
      </c>
      <c r="R1779" t="inlineStr">
        <is>
          <t>14周</t>
        </is>
      </c>
      <c r="S1779" t="inlineStr">
        <is>
          <t>23.35</t>
        </is>
      </c>
      <c r="T1779" t="inlineStr">
        <is>
          <t>美食滋补</t>
        </is>
      </c>
      <c r="U1779" t="inlineStr">
        <is>
          <t>生鲜特产</t>
        </is>
      </c>
      <c r="V1779" s="3">
        <v>46112.78107638889</v>
      </c>
      <c r="W1779" t="inlineStr">
        <is>
          <t>2026-Q1</t>
        </is>
      </c>
    </row>
    <row r="1780" ht="25.5" customHeight="1">
      <c r="A1780" t="inlineStr">
        <is>
          <t>贡枝果栈 · 新鲜无花果农家应季时令水果天然孕妇下奶鲜果现摘现发顺丰包邮</t>
        </is>
      </c>
      <c r="B1780" t="inlineStr">
        <is>
          <t>recvfjOYGLCX8H.jpg</t>
        </is>
      </c>
      <c r="C1780" s="2" t="str">
        <f>=HYPERLINK("https://xhslink.com/m/4leWcrY9nDz", "https://xhslink.com/m/4leWcrY9nDz")</f>
        <v>https://xhslink.com/m/4leWcrY9nDz</v>
      </c>
      <c r="D1780"/>
      <c r="E1780">
        <v>205000</v>
      </c>
      <c r="F1780">
        <v>88.9</v>
      </c>
      <c r="G1780"/>
      <c r="H1780">
        <v>200</v>
      </c>
      <c r="I1780" t="inlineStr">
        <is>
          <t>水果</t>
        </is>
      </c>
      <c r="J1780" t="inlineStr">
        <is>
          <t>0.00</t>
        </is>
      </c>
      <c r="K1780" t="inlineStr">
        <is>
          <t>🔥低粉爆款</t>
        </is>
      </c>
      <c r="L1780" t="inlineStr">
        <is>
          <t>贡枝果栈旗舰店</t>
        </is>
      </c>
      <c r="M1780">
        <v>10000</v>
      </c>
      <c r="N1780">
        <v>4.61</v>
      </c>
      <c r="O1780">
        <v>238000</v>
      </c>
      <c r="P1780" t="inlineStr">
        <is>
          <t>6911f714f08ff500015b7110</t>
        </is>
      </c>
      <c r="Q1780" t="inlineStr">
        <is>
          <t>🚫重复</t>
        </is>
      </c>
      <c r="R1780" t="inlineStr">
        <is>
          <t>14周</t>
        </is>
      </c>
      <c r="S1780" t="inlineStr">
        <is>
          <t>20.50</t>
        </is>
      </c>
      <c r="T1780" t="inlineStr">
        <is>
          <t>美食滋补</t>
        </is>
      </c>
      <c r="U1780" t="inlineStr">
        <is>
          <t>生鲜特产</t>
        </is>
      </c>
      <c r="V1780" s="3">
        <v>46112.78107638889</v>
      </c>
      <c r="W1780" t="inlineStr">
        <is>
          <t>2026-Q1</t>
        </is>
      </c>
    </row>
    <row r="1781" ht="25.5" customHeight="1">
      <c r="A1781" t="inlineStr">
        <is>
          <t>【顺丰空运】攀枝花 花香蓝莓25号浆果之王又脆又甜</t>
        </is>
      </c>
      <c r="B1781" t="inlineStr">
        <is>
          <t>recvfjOYGLVDP0.jpg</t>
        </is>
      </c>
      <c r="C1781" s="2" t="str">
        <f>=HYPERLINK("https://xhslink.com/m/cZ7UAe7ldO", "https://xhslink.com/m/cZ7UAe7ldO")</f>
        <v>https://xhslink.com/m/cZ7UAe7ldO</v>
      </c>
      <c r="D1781"/>
      <c r="E1781">
        <v>99000</v>
      </c>
      <c r="F1781">
        <v>78.9</v>
      </c>
      <c r="G1781">
        <v>68.9</v>
      </c>
      <c r="H1781">
        <v>200</v>
      </c>
      <c r="I1781" t="inlineStr">
        <is>
          <t>水果</t>
        </is>
      </c>
      <c r="J1781" t="inlineStr">
        <is>
          <t>0.00</t>
        </is>
      </c>
      <c r="K1781"/>
      <c r="L1781" t="inlineStr">
        <is>
          <t>李丹丹DDD的店</t>
        </is>
      </c>
      <c r="M1781">
        <v>77000</v>
      </c>
      <c r="N1781">
        <v>4.51</v>
      </c>
      <c r="O1781">
        <v>965000</v>
      </c>
      <c r="P1781" t="inlineStr">
        <is>
          <t>6901c161c8f8b80001cf2eda</t>
        </is>
      </c>
      <c r="Q1781" t="inlineStr">
        <is>
          <t>🚫重复</t>
        </is>
      </c>
      <c r="R1781" t="inlineStr">
        <is>
          <t>14周</t>
        </is>
      </c>
      <c r="S1781" t="inlineStr">
        <is>
          <t>1.29</t>
        </is>
      </c>
      <c r="T1781" t="inlineStr">
        <is>
          <t>美食滋补</t>
        </is>
      </c>
      <c r="U1781" t="inlineStr">
        <is>
          <t>生鲜特产</t>
        </is>
      </c>
      <c r="V1781" s="3">
        <v>46112.78107638889</v>
      </c>
      <c r="W1781" t="inlineStr">
        <is>
          <t>2026-Q1</t>
        </is>
      </c>
    </row>
    <row r="1782" ht="25.5" customHeight="1">
      <c r="A1782" t="inlineStr">
        <is>
          <t>【海南金煌芒果】三亚芒果当季新鲜水果孕妇水仙芒纸核芒鲜甜5斤</t>
        </is>
      </c>
      <c r="B1782" t="inlineStr">
        <is>
          <t>recvfjOYGL2hNF.jpg</t>
        </is>
      </c>
      <c r="C1782" s="2" t="str">
        <f>=HYPERLINK("https://xhslink.com/m/8rqayBNjzYW", "https://xhslink.com/m/8rqayBNjzYW")</f>
        <v>https://xhslink.com/m/8rqayBNjzYW</v>
      </c>
      <c r="D1782"/>
      <c r="E1782">
        <v>419000</v>
      </c>
      <c r="F1782">
        <v>56.9</v>
      </c>
      <c r="G1782"/>
      <c r="H1782">
        <v>200</v>
      </c>
      <c r="I1782" t="inlineStr">
        <is>
          <t>水果</t>
        </is>
      </c>
      <c r="J1782" t="inlineStr">
        <is>
          <t>0.00</t>
        </is>
      </c>
      <c r="K1782" t="inlineStr">
        <is>
          <t>🔥低粉爆款</t>
        </is>
      </c>
      <c r="L1782" t="inlineStr">
        <is>
          <t>野里鲜果的店</t>
        </is>
      </c>
      <c r="M1782">
        <v>2602</v>
      </c>
      <c r="N1782">
        <v>4.52</v>
      </c>
      <c r="O1782">
        <v>231000</v>
      </c>
      <c r="P1782" t="inlineStr">
        <is>
          <t>67c92020f6588900019cb824</t>
        </is>
      </c>
      <c r="Q1782" t="inlineStr">
        <is>
          <t>🚫重复</t>
        </is>
      </c>
      <c r="R1782" t="inlineStr">
        <is>
          <t>14周</t>
        </is>
      </c>
      <c r="S1782" t="inlineStr">
        <is>
          <t>161.03</t>
        </is>
      </c>
      <c r="T1782" t="inlineStr">
        <is>
          <t>美食滋补</t>
        </is>
      </c>
      <c r="U1782" t="inlineStr">
        <is>
          <t>生鲜特产</t>
        </is>
      </c>
      <c r="V1782" s="3">
        <v>46112.78107638889</v>
      </c>
      <c r="W1782" t="inlineStr">
        <is>
          <t>2026-Q1</t>
        </is>
      </c>
    </row>
    <row r="1783" ht="25.5" customHeight="1">
      <c r="A1783" t="inlineStr">
        <is>
          <t>【顺丰JD】云南高山甜蓝莓新鲜现摘应季水果老人小孩孕妇水果</t>
        </is>
      </c>
      <c r="B1783" t="inlineStr">
        <is>
          <t>recvfjOYGLpo3O.jpg</t>
        </is>
      </c>
      <c r="C1783" s="2" t="str">
        <f>=HYPERLINK("https://xhslink.com/m/Ho26VdvBtn", "https://xhslink.com/m/Ho26VdvBtn")</f>
        <v>https://xhslink.com/m/Ho26VdvBtn</v>
      </c>
      <c r="D1783"/>
      <c r="E1783">
        <v>1629</v>
      </c>
      <c r="F1783">
        <v>47.8</v>
      </c>
      <c r="G1783">
        <v>17.8</v>
      </c>
      <c r="H1783">
        <v>200</v>
      </c>
      <c r="I1783" t="inlineStr">
        <is>
          <t>水果</t>
        </is>
      </c>
      <c r="J1783" t="inlineStr">
        <is>
          <t>0.12</t>
        </is>
      </c>
      <c r="K1783"/>
      <c r="L1783"/>
      <c r="M1783"/>
      <c r="N1783"/>
      <c r="O1783"/>
      <c r="P1783"/>
      <c r="Q1783" t="inlineStr">
        <is>
          <t>🚫重复</t>
        </is>
      </c>
      <c r="R1783" t="inlineStr">
        <is>
          <t>14周</t>
        </is>
      </c>
      <c r="S1783"/>
      <c r="T1783" t="inlineStr">
        <is>
          <t>美食滋补</t>
        </is>
      </c>
      <c r="U1783" t="inlineStr">
        <is>
          <t>生鲜特产</t>
        </is>
      </c>
      <c r="V1783" s="3">
        <v>46112.78107638889</v>
      </c>
      <c r="W1783" t="inlineStr">
        <is>
          <t>2026-Q1</t>
        </is>
      </c>
    </row>
    <row r="1784" ht="25.5" customHeight="1">
      <c r="A1784" t="inlineStr">
        <is>
          <t>【奶呼呼高颜值】S20手机支架全金属桌面旋转学习追剧便携懒人支</t>
        </is>
      </c>
      <c r="B1784" t="inlineStr">
        <is>
          <t>recvfjOYGL3mDx.jpg</t>
        </is>
      </c>
      <c r="C1784" s="2" t="str">
        <f>=HYPERLINK("https://xhslink.com/m/8wqpyw1MOPI", "https://xhslink.com/m/8wqpyw1MOPI")</f>
        <v>https://xhslink.com/m/8wqpyw1MOPI</v>
      </c>
      <c r="D1784"/>
      <c r="E1784">
        <v>81000</v>
      </c>
      <c r="F1784">
        <v>20.5</v>
      </c>
      <c r="G1784">
        <v>12.88</v>
      </c>
      <c r="H1784">
        <v>200</v>
      </c>
      <c r="I1784" t="inlineStr">
        <is>
          <t>手机支架</t>
        </is>
      </c>
      <c r="J1784" t="inlineStr">
        <is>
          <t>0.00</t>
        </is>
      </c>
      <c r="K1784" t="inlineStr">
        <is>
          <t>🔥低粉爆款</t>
        </is>
      </c>
      <c r="L1784" t="inlineStr">
        <is>
          <t>Century&amp;AI ｜生产力的店</t>
        </is>
      </c>
      <c r="M1784">
        <v>7261</v>
      </c>
      <c r="N1784">
        <v>4.67</v>
      </c>
      <c r="O1784">
        <v>129000</v>
      </c>
      <c r="P1784" t="inlineStr">
        <is>
          <t>67a81d1f7e87ac0001c3210c</t>
        </is>
      </c>
      <c r="Q1784" t="inlineStr">
        <is>
          <t>🚫重复</t>
        </is>
      </c>
      <c r="R1784" t="inlineStr">
        <is>
          <t>14周</t>
        </is>
      </c>
      <c r="S1784" t="inlineStr">
        <is>
          <t>11.16</t>
        </is>
      </c>
      <c r="T1784" t="inlineStr">
        <is>
          <t>数码家电</t>
        </is>
      </c>
      <c r="U1784" t="inlineStr">
        <is>
          <t>数码配件</t>
        </is>
      </c>
      <c r="V1784" s="3">
        <v>46112.78107638889</v>
      </c>
      <c r="W1784" t="inlineStr">
        <is>
          <t>2026-Q1</t>
        </is>
      </c>
    </row>
    <row r="1785" ht="25.5" customHeight="1">
      <c r="A1785" t="inlineStr">
        <is>
          <t>拜耳超薄透明软壳适用华为Mate80/70手机壳小米17防摔耐磨Pura80</t>
        </is>
      </c>
      <c r="B1785" t="inlineStr">
        <is>
          <t>recvfjOYGL6Uyw.jpg</t>
        </is>
      </c>
      <c r="C1785" s="2" t="str">
        <f>=HYPERLINK("https://xhslink.com/m/5ufLQLOvQcn", "https://xhslink.com/m/5ufLQLOvQcn")</f>
        <v>https://xhslink.com/m/5ufLQLOvQcn</v>
      </c>
      <c r="D1785"/>
      <c r="E1785">
        <v>43000</v>
      </c>
      <c r="F1785">
        <v>15.8</v>
      </c>
      <c r="G1785">
        <v>12.8</v>
      </c>
      <c r="H1785">
        <v>200</v>
      </c>
      <c r="I1785" t="inlineStr">
        <is>
          <t>手机壳</t>
        </is>
      </c>
      <c r="J1785" t="inlineStr">
        <is>
          <t>0.00</t>
        </is>
      </c>
      <c r="K1785" t="inlineStr">
        <is>
          <t>🔥低粉爆款</t>
        </is>
      </c>
      <c r="L1785" t="inlineStr">
        <is>
          <t>壳持续的店</t>
        </is>
      </c>
      <c r="M1785">
        <v>5554</v>
      </c>
      <c r="N1785">
        <v>4.4</v>
      </c>
      <c r="O1785">
        <v>102000</v>
      </c>
      <c r="P1785" t="inlineStr">
        <is>
          <t>65e3332f778f660001a070da</t>
        </is>
      </c>
      <c r="Q1785" t="inlineStr">
        <is>
          <t>🚫重复</t>
        </is>
      </c>
      <c r="R1785" t="inlineStr">
        <is>
          <t>14周</t>
        </is>
      </c>
      <c r="S1785" t="inlineStr">
        <is>
          <t>7.74</t>
        </is>
      </c>
      <c r="T1785" t="inlineStr">
        <is>
          <t>数码家电</t>
        </is>
      </c>
      <c r="U1785" t="inlineStr">
        <is>
          <t>数码配件</t>
        </is>
      </c>
      <c r="V1785" s="3">
        <v>46112.78107638889</v>
      </c>
      <c r="W1785" t="inlineStr">
        <is>
          <t>2026-Q1</t>
        </is>
      </c>
    </row>
    <row r="1786" ht="25.5" customHeight="1">
      <c r="A1786" t="inlineStr">
        <is>
          <t>超轻薄磨砂裸感软壳适用小米/华为/苹果手机壳防指纹手汗独立按键</t>
        </is>
      </c>
      <c r="B1786" t="inlineStr">
        <is>
          <t>recvfjOYGL2QNO.jpg</t>
        </is>
      </c>
      <c r="C1786" s="2" t="str">
        <f>=HYPERLINK("https://xhslink.com/m/8EgE5dCAH7n", "https://xhslink.com/m/8EgE5dCAH7n")</f>
        <v>https://xhslink.com/m/8EgE5dCAH7n</v>
      </c>
      <c r="D1786"/>
      <c r="E1786">
        <v>29000</v>
      </c>
      <c r="F1786">
        <v>15.8</v>
      </c>
      <c r="G1786">
        <v>12.8</v>
      </c>
      <c r="H1786">
        <v>200</v>
      </c>
      <c r="I1786" t="inlineStr">
        <is>
          <t>手机壳</t>
        </is>
      </c>
      <c r="J1786" t="inlineStr">
        <is>
          <t>0.01</t>
        </is>
      </c>
      <c r="K1786" t="inlineStr">
        <is>
          <t>🔥低粉爆款</t>
        </is>
      </c>
      <c r="L1786" t="inlineStr">
        <is>
          <t>壳持续的店</t>
        </is>
      </c>
      <c r="M1786">
        <v>5554</v>
      </c>
      <c r="N1786">
        <v>4.4</v>
      </c>
      <c r="O1786">
        <v>102000</v>
      </c>
      <c r="P1786" t="inlineStr">
        <is>
          <t>6858124c3970ba0001e1ea30</t>
        </is>
      </c>
      <c r="Q1786" t="inlineStr">
        <is>
          <t>🚫重复</t>
        </is>
      </c>
      <c r="R1786" t="inlineStr">
        <is>
          <t>14周</t>
        </is>
      </c>
      <c r="S1786" t="inlineStr">
        <is>
          <t>5.22</t>
        </is>
      </c>
      <c r="T1786" t="inlineStr">
        <is>
          <t>数码家电</t>
        </is>
      </c>
      <c r="U1786" t="inlineStr">
        <is>
          <t>数码配件</t>
        </is>
      </c>
      <c r="V1786" s="3">
        <v>46112.78107638889</v>
      </c>
      <c r="W1786" t="inlineStr">
        <is>
          <t>2026-Q1</t>
        </is>
      </c>
    </row>
    <row r="1787" ht="25.5" customHeight="1">
      <c r="A1787" t="inlineStr">
        <is>
          <t>【董饱饱手作馄饨】60任选5盒加购自动改价手作早餐</t>
        </is>
      </c>
      <c r="B1787" t="inlineStr">
        <is>
          <t>recvfjOYGLm4Yq.jpg</t>
        </is>
      </c>
      <c r="C1787" s="2" t="str">
        <f>=HYPERLINK("https://xhslink.com/m/7e2zwLQ355U", "https://xhslink.com/m/7e2zwLQ355U")</f>
        <v>https://xhslink.com/m/7e2zwLQ355U</v>
      </c>
      <c r="D1787"/>
      <c r="E1787">
        <v>25000</v>
      </c>
      <c r="F1787">
        <v>30</v>
      </c>
      <c r="G1787"/>
      <c r="H1787">
        <v>200</v>
      </c>
      <c r="I1787" t="inlineStr">
        <is>
          <t>冻品速食</t>
        </is>
      </c>
      <c r="J1787" t="inlineStr">
        <is>
          <t>0.01</t>
        </is>
      </c>
      <c r="K1787"/>
      <c r="L1787" t="inlineStr">
        <is>
          <t>董饱饱手作工坊的店</t>
        </is>
      </c>
      <c r="M1787">
        <v>54000</v>
      </c>
      <c r="N1787">
        <v>4.65</v>
      </c>
      <c r="O1787">
        <v>953000</v>
      </c>
      <c r="P1787" t="inlineStr">
        <is>
          <t>691bdebc6ea74e000199eab7</t>
        </is>
      </c>
      <c r="Q1787" t="inlineStr">
        <is>
          <t>🚫重复</t>
        </is>
      </c>
      <c r="R1787" t="inlineStr">
        <is>
          <t>14周</t>
        </is>
      </c>
      <c r="S1787" t="inlineStr">
        <is>
          <t>0.46</t>
        </is>
      </c>
      <c r="T1787" t="inlineStr">
        <is>
          <t>美食滋补</t>
        </is>
      </c>
      <c r="U1787" t="inlineStr">
        <is>
          <t>休闲零食</t>
        </is>
      </c>
      <c r="V1787" s="3">
        <v>46112.78107638889</v>
      </c>
      <c r="W1787" t="inlineStr">
        <is>
          <t>2026-Q1</t>
        </is>
      </c>
    </row>
    <row r="1788" ht="25.5" customHeight="1">
      <c r="A1788" t="inlineStr">
        <is>
          <t>【大馕发中通】新疆烤馕店现做现发皮芽子馕、芝麻馕、辣皮子千层</t>
        </is>
      </c>
      <c r="B1788" t="inlineStr">
        <is>
          <t>recvfjOYGLYd4O.jpg</t>
        </is>
      </c>
      <c r="C1788" s="2" t="str">
        <f>=HYPERLINK("https://xhslink.com/m/19vL1hExJ0k", "https://xhslink.com/m/19vL1hExJ0k")</f>
        <v>https://xhslink.com/m/19vL1hExJ0k</v>
      </c>
      <c r="D1788"/>
      <c r="E1788">
        <v>34000</v>
      </c>
      <c r="F1788">
        <v>8</v>
      </c>
      <c r="G1788"/>
      <c r="H1788">
        <v>200</v>
      </c>
      <c r="I1788" t="inlineStr">
        <is>
          <t>冻品速食</t>
        </is>
      </c>
      <c r="J1788" t="inlineStr">
        <is>
          <t>0.01</t>
        </is>
      </c>
      <c r="K1788" t="inlineStr">
        <is>
          <t>🔥低粉爆款</t>
        </is>
      </c>
      <c r="L1788" t="inlineStr">
        <is>
          <t>品四季生鲜的店</t>
        </is>
      </c>
      <c r="M1788">
        <v>2924</v>
      </c>
      <c r="N1788">
        <v>4.57</v>
      </c>
      <c r="O1788">
        <v>135000</v>
      </c>
      <c r="P1788" t="inlineStr">
        <is>
          <t>67193cef20671200019f87aa</t>
        </is>
      </c>
      <c r="Q1788" t="inlineStr">
        <is>
          <t>🚫重复</t>
        </is>
      </c>
      <c r="R1788" t="inlineStr">
        <is>
          <t>14周</t>
        </is>
      </c>
      <c r="S1788" t="inlineStr">
        <is>
          <t>11.63</t>
        </is>
      </c>
      <c r="T1788" t="inlineStr">
        <is>
          <t>美食滋补</t>
        </is>
      </c>
      <c r="U1788" t="inlineStr">
        <is>
          <t>休闲零食</t>
        </is>
      </c>
      <c r="V1788" s="3">
        <v>46112.78107638889</v>
      </c>
      <c r="W1788" t="inlineStr">
        <is>
          <t>2026-Q1</t>
        </is>
      </c>
    </row>
    <row r="1789" ht="25.5" customHeight="1">
      <c r="A1789" t="inlineStr">
        <is>
          <t>【琴妈馄饨】79元自选6盒爽吃套餐皮薄馅大Q弹（单拍不发货！！）</t>
        </is>
      </c>
      <c r="B1789" t="inlineStr">
        <is>
          <t>recvfjOYGLZS76.jpg</t>
        </is>
      </c>
      <c r="C1789" s="2" t="str">
        <f>=HYPERLINK("https://xhslink.com/m/5J1AaJ7JiLB", "https://xhslink.com/m/5J1AaJ7JiLB")</f>
        <v>https://xhslink.com/m/5J1AaJ7JiLB</v>
      </c>
      <c r="D1789"/>
      <c r="E1789">
        <v>63000</v>
      </c>
      <c r="F1789">
        <v>30</v>
      </c>
      <c r="G1789"/>
      <c r="H1789">
        <v>200</v>
      </c>
      <c r="I1789" t="inlineStr">
        <is>
          <t>冻品速食</t>
        </is>
      </c>
      <c r="J1789" t="inlineStr">
        <is>
          <t>0.00</t>
        </is>
      </c>
      <c r="K1789"/>
      <c r="L1789" t="inlineStr">
        <is>
          <t>琴妈手作馄饨的店</t>
        </is>
      </c>
      <c r="M1789">
        <v>102000</v>
      </c>
      <c r="N1789">
        <v>4.57</v>
      </c>
      <c r="O1789">
        <v>274000</v>
      </c>
      <c r="P1789" t="inlineStr">
        <is>
          <t>6908597942726100018876f6</t>
        </is>
      </c>
      <c r="Q1789" t="inlineStr">
        <is>
          <t>🚫重复</t>
        </is>
      </c>
      <c r="R1789" t="inlineStr">
        <is>
          <t>14周</t>
        </is>
      </c>
      <c r="S1789" t="inlineStr">
        <is>
          <t>0.62</t>
        </is>
      </c>
      <c r="T1789" t="inlineStr">
        <is>
          <t>美食滋补</t>
        </is>
      </c>
      <c r="U1789" t="inlineStr">
        <is>
          <t>休闲零食</t>
        </is>
      </c>
      <c r="V1789" s="3">
        <v>46112.78107638889</v>
      </c>
      <c r="W1789" t="inlineStr">
        <is>
          <t>2026-Q1</t>
        </is>
      </c>
    </row>
    <row r="1790" ht="25.5" customHeight="1">
      <c r="A1790" t="inlineStr">
        <is>
          <t>低脂鸡肉薄皮肉燕小馄饨轻食健身鸡胸肉扁食云吞早餐半成品低卡</t>
        </is>
      </c>
      <c r="B1790" t="inlineStr">
        <is>
          <t>recvfjOYGLqwpq.jpg</t>
        </is>
      </c>
      <c r="C1790" s="2" t="str">
        <f>=HYPERLINK("https://xhslink.com/m/5ewgwuOlbMO", "https://xhslink.com/m/5ewgwuOlbMO")</f>
        <v>https://xhslink.com/m/5ewgwuOlbMO</v>
      </c>
      <c r="D1790"/>
      <c r="E1790">
        <v>26000</v>
      </c>
      <c r="F1790">
        <v>79.9</v>
      </c>
      <c r="G1790"/>
      <c r="H1790">
        <v>200</v>
      </c>
      <c r="I1790" t="inlineStr">
        <is>
          <t>冻品速食</t>
        </is>
      </c>
      <c r="J1790" t="inlineStr">
        <is>
          <t>0.01</t>
        </is>
      </c>
      <c r="K1790" t="inlineStr">
        <is>
          <t>🔥低粉爆款</t>
        </is>
      </c>
      <c r="L1790" t="inlineStr">
        <is>
          <t>开心饼干（低卡轻食版）的店</t>
        </is>
      </c>
      <c r="M1790">
        <v>1380</v>
      </c>
      <c r="N1790">
        <v>4.56</v>
      </c>
      <c r="O1790">
        <v>26000</v>
      </c>
      <c r="P1790" t="inlineStr">
        <is>
          <t>67e3b6ec93132e0001ef4ec0</t>
        </is>
      </c>
      <c r="Q1790" t="inlineStr">
        <is>
          <t>🚫重复</t>
        </is>
      </c>
      <c r="R1790" t="inlineStr">
        <is>
          <t>14周</t>
        </is>
      </c>
      <c r="S1790" t="inlineStr">
        <is>
          <t>18.84</t>
        </is>
      </c>
      <c r="T1790" t="inlineStr">
        <is>
          <t>美食滋补</t>
        </is>
      </c>
      <c r="U1790" t="inlineStr">
        <is>
          <t>休闲零食</t>
        </is>
      </c>
      <c r="V1790" s="3">
        <v>46112.78107638889</v>
      </c>
      <c r="W1790" t="inlineStr">
        <is>
          <t>2026-Q1</t>
        </is>
      </c>
    </row>
    <row r="1791" ht="25.5" customHeight="1">
      <c r="A1791" t="inlineStr">
        <is>
          <t>二合一跑步短裤！男女同款自带打底裤夏户外训练运动速干三分裤</t>
        </is>
      </c>
      <c r="B1791" t="inlineStr">
        <is>
          <t>recvfjOYGL0JOh.jpg</t>
        </is>
      </c>
      <c r="C1791" s="2" t="str">
        <f>=HYPERLINK("https://xhslink.com/m/4pbLG5sq9Pq", "https://xhslink.com/m/4pbLG5sq9Pq")</f>
        <v>https://xhslink.com/m/4pbLG5sq9Pq</v>
      </c>
      <c r="D1791"/>
      <c r="E1791">
        <v>6874</v>
      </c>
      <c r="F1791">
        <v>69</v>
      </c>
      <c r="G1791"/>
      <c r="H1791">
        <v>200</v>
      </c>
      <c r="I1791" t="inlineStr">
        <is>
          <t>跑步</t>
        </is>
      </c>
      <c r="J1791" t="inlineStr">
        <is>
          <t>0.03</t>
        </is>
      </c>
      <c r="K1791"/>
      <c r="L1791" t="inlineStr">
        <is>
          <t>福多外贸服饰的店</t>
        </is>
      </c>
      <c r="M1791">
        <v>11000</v>
      </c>
      <c r="N1791">
        <v>4.54</v>
      </c>
      <c r="O1791">
        <v>175000</v>
      </c>
      <c r="P1791" t="inlineStr">
        <is>
          <t>6800fd3c7107a800010d87f4</t>
        </is>
      </c>
      <c r="Q1791" t="inlineStr">
        <is>
          <t>🚫重复</t>
        </is>
      </c>
      <c r="R1791" t="inlineStr">
        <is>
          <t>14周</t>
        </is>
      </c>
      <c r="S1791" t="inlineStr">
        <is>
          <t>0.62</t>
        </is>
      </c>
      <c r="T1791" t="inlineStr">
        <is>
          <t>服饰穿搭</t>
        </is>
      </c>
      <c r="U1791" t="inlineStr">
        <is>
          <t>女装</t>
        </is>
      </c>
      <c r="V1791" s="3">
        <v>46112.78107638889</v>
      </c>
      <c r="W1791" t="inlineStr">
        <is>
          <t>2026-Q1</t>
        </is>
      </c>
    </row>
    <row r="1792" ht="25.5" customHeight="1">
      <c r="A1792" t="inlineStr">
        <is>
          <t>顺丰 三馐 挪威进口冰鲜三文鱼新鲜中段鱼腩刺身海鲜生鱼片</t>
        </is>
      </c>
      <c r="B1792" t="inlineStr">
        <is>
          <t>recvfjOYGLGpOv.jpg</t>
        </is>
      </c>
      <c r="C1792" s="2" t="str">
        <f>=HYPERLINK("https://xhslink.com/m/5kOAqTdmKUn", "https://xhslink.com/m/5kOAqTdmKUn")</f>
        <v>https://xhslink.com/m/5kOAqTdmKUn</v>
      </c>
      <c r="D1792"/>
      <c r="E1792">
        <v>3733</v>
      </c>
      <c r="F1792">
        <v>79</v>
      </c>
      <c r="G1792"/>
      <c r="H1792">
        <v>200</v>
      </c>
      <c r="I1792" t="inlineStr">
        <is>
          <t>刺身</t>
        </is>
      </c>
      <c r="J1792" t="inlineStr">
        <is>
          <t>0.05</t>
        </is>
      </c>
      <c r="K1792" t="inlineStr">
        <is>
          <t>🔥低粉爆款</t>
        </is>
      </c>
      <c r="L1792" t="inlineStr">
        <is>
          <t>法罗三文鱼的店</t>
        </is>
      </c>
      <c r="M1792">
        <v>464</v>
      </c>
      <c r="N1792">
        <v>4.71</v>
      </c>
      <c r="O1792">
        <v>3777</v>
      </c>
      <c r="P1792" t="inlineStr">
        <is>
          <t>69ba61a85e5f0500012c16f3</t>
        </is>
      </c>
      <c r="Q1792" t="inlineStr">
        <is>
          <t>🚫重复</t>
        </is>
      </c>
      <c r="R1792" t="inlineStr">
        <is>
          <t>14周</t>
        </is>
      </c>
      <c r="S1792" t="inlineStr">
        <is>
          <t>8.05</t>
        </is>
      </c>
      <c r="T1792" t="inlineStr">
        <is>
          <t>美食滋补</t>
        </is>
      </c>
      <c r="U1792" t="inlineStr">
        <is>
          <t>生鲜特产</t>
        </is>
      </c>
      <c r="V1792" s="3">
        <v>46112.78107638889</v>
      </c>
      <c r="W1792" t="inlineStr">
        <is>
          <t>2026-Q1</t>
        </is>
      </c>
    </row>
    <row r="1793" ht="25.5" customHeight="1">
      <c r="A1793" t="inlineStr">
        <is>
          <t>千层夹心酥饼干办公室零食配料干净孕妇小朋友可食用宿舍追剧夹心</t>
        </is>
      </c>
      <c r="B1793" t="inlineStr">
        <is>
          <t>recvfjOYGLwVub.jpg</t>
        </is>
      </c>
      <c r="C1793" s="2" t="str">
        <f>=HYPERLINK("https://xhslink.com/m/epNIs5SlFz", "https://xhslink.com/m/epNIs5SlFz")</f>
        <v>https://xhslink.com/m/epNIs5SlFz</v>
      </c>
      <c r="D1793"/>
      <c r="E1793">
        <v>52000</v>
      </c>
      <c r="F1793">
        <v>39.8</v>
      </c>
      <c r="G1793"/>
      <c r="H1793">
        <v>200</v>
      </c>
      <c r="I1793" t="inlineStr">
        <is>
          <t>孕期零食</t>
        </is>
      </c>
      <c r="J1793" t="inlineStr">
        <is>
          <t>0.00</t>
        </is>
      </c>
      <c r="K1793" t="inlineStr">
        <is>
          <t>🔥低粉爆款</t>
        </is>
      </c>
      <c r="L1793" t="inlineStr">
        <is>
          <t>零食股东的店</t>
        </is>
      </c>
      <c r="M1793">
        <v>12000</v>
      </c>
      <c r="N1793">
        <v>4.71</v>
      </c>
      <c r="O1793">
        <v>260000</v>
      </c>
      <c r="P1793" t="inlineStr">
        <is>
          <t>6852871cf89aa5000174dac9</t>
        </is>
      </c>
      <c r="Q1793" t="inlineStr">
        <is>
          <t>🚫重复</t>
        </is>
      </c>
      <c r="R1793" t="inlineStr">
        <is>
          <t>14周</t>
        </is>
      </c>
      <c r="S1793" t="inlineStr">
        <is>
          <t>4.33</t>
        </is>
      </c>
      <c r="T1793" t="inlineStr">
        <is>
          <t>美食滋补</t>
        </is>
      </c>
      <c r="U1793" t="inlineStr">
        <is>
          <t>休闲零食</t>
        </is>
      </c>
      <c r="V1793" s="3">
        <v>46112.78107638889</v>
      </c>
      <c r="W1793" t="inlineStr">
        <is>
          <t>2026-Q1</t>
        </is>
      </c>
    </row>
    <row r="1794" ht="25.5" customHeight="1">
      <c r="A1794" t="inlineStr">
        <is>
          <t>原味红薯干不加糖地瓜干软糯香甜番薯干孕妇零食宝宝磨牙棒</t>
        </is>
      </c>
      <c r="B1794" t="inlineStr">
        <is>
          <t>recvfjOYGLxOwh.jpg</t>
        </is>
      </c>
      <c r="C1794" s="2" t="str">
        <f>=HYPERLINK("https://xhslink.com/m/36Da9kAi6xX", "https://xhslink.com/m/36Da9kAi6xX")</f>
        <v>https://xhslink.com/m/36Da9kAi6xX</v>
      </c>
      <c r="D1794"/>
      <c r="E1794">
        <v>138000</v>
      </c>
      <c r="F1794">
        <v>21.9</v>
      </c>
      <c r="G1794">
        <v>16.9</v>
      </c>
      <c r="H1794">
        <v>200</v>
      </c>
      <c r="I1794" t="inlineStr">
        <is>
          <t>孕期零食</t>
        </is>
      </c>
      <c r="J1794" t="inlineStr">
        <is>
          <t>0.00</t>
        </is>
      </c>
      <c r="K1794" t="inlineStr">
        <is>
          <t>🔥低粉爆款</t>
        </is>
      </c>
      <c r="L1794" t="inlineStr">
        <is>
          <t>小新糯叽叽的店</t>
        </is>
      </c>
      <c r="M1794">
        <v>27000</v>
      </c>
      <c r="N1794">
        <v>4.58</v>
      </c>
      <c r="O1794">
        <v>706000</v>
      </c>
      <c r="P1794" t="inlineStr">
        <is>
          <t>65ec6b7e70fc9b0001ae5a30</t>
        </is>
      </c>
      <c r="Q1794" t="inlineStr">
        <is>
          <t>🚫重复</t>
        </is>
      </c>
      <c r="R1794" t="inlineStr">
        <is>
          <t>14周</t>
        </is>
      </c>
      <c r="S1794" t="inlineStr">
        <is>
          <t>5.11</t>
        </is>
      </c>
      <c r="T1794" t="inlineStr">
        <is>
          <t>美食滋补</t>
        </is>
      </c>
      <c r="U1794" t="inlineStr">
        <is>
          <t>休闲零食</t>
        </is>
      </c>
      <c r="V1794" s="3">
        <v>46112.78107638889</v>
      </c>
      <c r="W1794" t="inlineStr">
        <is>
          <t>2026-Q1</t>
        </is>
      </c>
    </row>
    <row r="1795" ht="25.5" customHeight="1">
      <c r="A1795" t="inlineStr">
        <is>
          <t>免打孔毛毡板DIY照片墙展示板4-12张 沙发背景墙客厅ins风氛围感</t>
        </is>
      </c>
      <c r="B1795" t="inlineStr">
        <is>
          <t>recvfjOYGLHB7q.jpg</t>
        </is>
      </c>
      <c r="C1795" s="2" t="str">
        <f>=HYPERLINK("https://xhslink.com/m/75YJoGZas6k", "https://xhslink.com/m/75YJoGZas6k")</f>
        <v>https://xhslink.com/m/75YJoGZas6k</v>
      </c>
      <c r="D1795"/>
      <c r="E1795">
        <v>3288</v>
      </c>
      <c r="F1795">
        <v>59.9</v>
      </c>
      <c r="G1795">
        <v>56.9</v>
      </c>
      <c r="H1795">
        <v>200</v>
      </c>
      <c r="I1795" t="inlineStr">
        <is>
          <t>书房</t>
        </is>
      </c>
      <c r="J1795" t="inlineStr">
        <is>
          <t>0.06</t>
        </is>
      </c>
      <c r="K1795"/>
      <c r="L1795" t="inlineStr">
        <is>
          <t>Kiki's Space Lab的店</t>
        </is>
      </c>
      <c r="M1795">
        <v>1781</v>
      </c>
      <c r="N1795">
        <v>4.65</v>
      </c>
      <c r="O1795">
        <v>3384</v>
      </c>
      <c r="P1795" t="inlineStr">
        <is>
          <t>69611ba15739d50001208c2d</t>
        </is>
      </c>
      <c r="Q1795" t="inlineStr">
        <is>
          <t>🚫重复</t>
        </is>
      </c>
      <c r="R1795" t="inlineStr">
        <is>
          <t>14周</t>
        </is>
      </c>
      <c r="S1795" t="inlineStr">
        <is>
          <t>1.85</t>
        </is>
      </c>
      <c r="T1795" t="inlineStr">
        <is>
          <t>家居生活</t>
        </is>
      </c>
      <c r="U1795" t="inlineStr">
        <is>
          <t>家具家装</t>
        </is>
      </c>
      <c r="V1795" s="3">
        <v>46112.78107638889</v>
      </c>
      <c r="W1795" t="inlineStr">
        <is>
          <t>2026-Q1</t>
        </is>
      </c>
    </row>
    <row r="1796" ht="25.5" customHeight="1">
      <c r="A1796" t="inlineStr">
        <is>
          <t>Yukk家圣诞礼物古早轻松熊点头摆件可爱送礼物</t>
        </is>
      </c>
      <c r="B1796" t="inlineStr">
        <is>
          <t>recvfjOYGLnmT3.jpg</t>
        </is>
      </c>
      <c r="C1796" s="2" t="str">
        <f>=HYPERLINK("https://xhslink.com/m/Aogm1QjEvuX", "https://xhslink.com/m/Aogm1QjEvuX")</f>
        <v>https://xhslink.com/m/Aogm1QjEvuX</v>
      </c>
      <c r="D1796"/>
      <c r="E1796">
        <v>20000</v>
      </c>
      <c r="F1796">
        <v>15.8</v>
      </c>
      <c r="G1796"/>
      <c r="H1796">
        <v>200</v>
      </c>
      <c r="I1796" t="inlineStr">
        <is>
          <t>书房</t>
        </is>
      </c>
      <c r="J1796" t="inlineStr">
        <is>
          <t>0.01</t>
        </is>
      </c>
      <c r="K1796"/>
      <c r="L1796" t="inlineStr">
        <is>
          <t>Yukk的店</t>
        </is>
      </c>
      <c r="M1796">
        <v>11000</v>
      </c>
      <c r="N1796">
        <v>4.56</v>
      </c>
      <c r="O1796">
        <v>149000</v>
      </c>
      <c r="P1796" t="inlineStr">
        <is>
          <t>67e968c5acb9900001ce52aa</t>
        </is>
      </c>
      <c r="Q1796" t="inlineStr">
        <is>
          <t>🚫重复</t>
        </is>
      </c>
      <c r="R1796" t="inlineStr">
        <is>
          <t>14周</t>
        </is>
      </c>
      <c r="S1796" t="inlineStr">
        <is>
          <t>1.82</t>
        </is>
      </c>
      <c r="T1796" t="inlineStr">
        <is>
          <t>家居生活</t>
        </is>
      </c>
      <c r="U1796" t="inlineStr">
        <is>
          <t>家具家装</t>
        </is>
      </c>
      <c r="V1796" s="3">
        <v>46112.78107638889</v>
      </c>
      <c r="W1796" t="inlineStr">
        <is>
          <t>2026-Q1</t>
        </is>
      </c>
    </row>
    <row r="1797" ht="25.5" customHeight="1">
      <c r="A1797" t="inlineStr">
        <is>
          <t>高腰显瘦长腿弹力直筒牛仔裤窄版直筒裤</t>
        </is>
      </c>
      <c r="B1797" t="inlineStr">
        <is>
          <t>recvfqmLqZ58ZD.jpg</t>
        </is>
      </c>
      <c r="C1797" s="2" t="str">
        <f>=HYPERLINK("https://xhslink.com/m/AjUVLWRflnu", "https://xhslink.com/m/AjUVLWRflnu")</f>
        <v>https://xhslink.com/m/AjUVLWRflnu</v>
      </c>
      <c r="D1797"/>
      <c r="E1797">
        <v>49000</v>
      </c>
      <c r="F1797">
        <v>99</v>
      </c>
      <c r="G1797"/>
      <c r="H1797">
        <v>200</v>
      </c>
      <c r="I1797" t="inlineStr">
        <is>
          <t>牛仔裤</t>
        </is>
      </c>
      <c r="J1797" t="inlineStr">
        <is>
          <t>0.00</t>
        </is>
      </c>
      <c r="K1797"/>
      <c r="L1797" t="inlineStr">
        <is>
          <t>裤王的店</t>
        </is>
      </c>
      <c r="M1797">
        <v>87000</v>
      </c>
      <c r="N1797">
        <v>4.59</v>
      </c>
      <c r="O1797">
        <v>167000</v>
      </c>
      <c r="P1797" t="inlineStr">
        <is>
          <t>654b786d8e317a0001813552</t>
        </is>
      </c>
      <c r="Q1797" t="inlineStr">
        <is>
          <t>🚫重复</t>
        </is>
      </c>
      <c r="R1797" t="inlineStr">
        <is>
          <t>14周</t>
        </is>
      </c>
      <c r="S1797" t="inlineStr">
        <is>
          <t>0.56</t>
        </is>
      </c>
      <c r="T1797" t="inlineStr">
        <is>
          <t>服饰穿搭</t>
        </is>
      </c>
      <c r="U1797" t="inlineStr">
        <is>
          <t>女装</t>
        </is>
      </c>
      <c r="V1797" s="3">
        <v>46112.78107638889</v>
      </c>
      <c r="W1797" t="inlineStr">
        <is>
          <t>2026-Q1</t>
        </is>
      </c>
    </row>
    <row r="1798" ht="25.5" customHeight="1">
      <c r="A1798" t="inlineStr">
        <is>
          <t>梨茉~浅色春夏小个子显瘦窄版直筒阔腿牛仔裤女拖地垂感直筒裤</t>
        </is>
      </c>
      <c r="B1798" t="inlineStr">
        <is>
          <t>recvfqmLqZRm2y.jpg</t>
        </is>
      </c>
      <c r="C1798" s="2" t="str">
        <f>=HYPERLINK("https://xhslink.com/m/ASkZSNTulB", "https://xhslink.com/m/ASkZSNTulB")</f>
        <v>https://xhslink.com/m/ASkZSNTulB</v>
      </c>
      <c r="D1798"/>
      <c r="E1798">
        <v>53000</v>
      </c>
      <c r="F1798">
        <v>116</v>
      </c>
      <c r="G1798">
        <v>98</v>
      </c>
      <c r="H1798">
        <v>200</v>
      </c>
      <c r="I1798" t="inlineStr">
        <is>
          <t>牛仔裤</t>
        </is>
      </c>
      <c r="J1798" t="inlineStr">
        <is>
          <t>0.00</t>
        </is>
      </c>
      <c r="K1798" t="inlineStr">
        <is>
          <t>🔥低粉爆款</t>
        </is>
      </c>
      <c r="L1798" t="inlineStr">
        <is>
          <t>梨茉STUDIO👖的店</t>
        </is>
      </c>
      <c r="M1798">
        <v>3265</v>
      </c>
      <c r="N1798">
        <v>4.54</v>
      </c>
      <c r="O1798">
        <v>64000</v>
      </c>
      <c r="P1798" t="inlineStr">
        <is>
          <t>67231129534325000188c9f2</t>
        </is>
      </c>
      <c r="Q1798" t="inlineStr">
        <is>
          <t>🚫重复</t>
        </is>
      </c>
      <c r="R1798" t="inlineStr">
        <is>
          <t>14周</t>
        </is>
      </c>
      <c r="S1798" t="inlineStr">
        <is>
          <t>16.23</t>
        </is>
      </c>
      <c r="T1798" t="inlineStr">
        <is>
          <t>服饰穿搭</t>
        </is>
      </c>
      <c r="U1798" t="inlineStr">
        <is>
          <t>女装</t>
        </is>
      </c>
      <c r="V1798" s="3">
        <v>46112.78107638889</v>
      </c>
      <c r="W1798" t="inlineStr">
        <is>
          <t>2026-Q1</t>
        </is>
      </c>
    </row>
    <row r="1799" ht="25.5" customHeight="1">
      <c r="A1799" t="inlineStr">
        <is>
          <t>【逃跑计划】小个子梨形身材高腰牛仔裤女显瘦直筒垂感宽松阔腿裤</t>
        </is>
      </c>
      <c r="B1799" t="inlineStr">
        <is>
          <t>recvfqmLqZF5e7.jpg</t>
        </is>
      </c>
      <c r="C1799" s="2" t="str">
        <f>=HYPERLINK("https://xhslink.com/m/42hYREzr6zu", "https://xhslink.com/m/42hYREzr6zu")</f>
        <v>https://xhslink.com/m/42hYREzr6zu</v>
      </c>
      <c r="D1799"/>
      <c r="E1799">
        <v>41000</v>
      </c>
      <c r="F1799">
        <v>89.99</v>
      </c>
      <c r="G1799"/>
      <c r="H1799">
        <v>200</v>
      </c>
      <c r="I1799" t="inlineStr">
        <is>
          <t>牛仔裤</t>
        </is>
      </c>
      <c r="J1799" t="inlineStr">
        <is>
          <t>0.00</t>
        </is>
      </c>
      <c r="K1799"/>
      <c r="L1799" t="inlineStr">
        <is>
          <t>李空空的店</t>
        </is>
      </c>
      <c r="M1799">
        <v>103000</v>
      </c>
      <c r="N1799">
        <v>4.6</v>
      </c>
      <c r="O1799">
        <v>562000</v>
      </c>
      <c r="P1799" t="inlineStr">
        <is>
          <t>666ad210cd6d1400016f10ea</t>
        </is>
      </c>
      <c r="Q1799" t="inlineStr">
        <is>
          <t>🚫重复</t>
        </is>
      </c>
      <c r="R1799" t="inlineStr">
        <is>
          <t>14周</t>
        </is>
      </c>
      <c r="S1799" t="inlineStr">
        <is>
          <t>0.40</t>
        </is>
      </c>
      <c r="T1799" t="inlineStr">
        <is>
          <t>服饰穿搭</t>
        </is>
      </c>
      <c r="U1799" t="inlineStr">
        <is>
          <t>女装</t>
        </is>
      </c>
      <c r="V1799" s="3">
        <v>46112.78107638889</v>
      </c>
      <c r="W1799" t="inlineStr">
        <is>
          <t>2026-Q1</t>
        </is>
      </c>
    </row>
    <row r="1800" ht="25.5" customHeight="1">
      <c r="A1800" t="inlineStr">
        <is>
          <t>栀禾*多巴胺美式高腰宽松直筒阔腿裤拖地牛仔裤</t>
        </is>
      </c>
      <c r="B1800" t="inlineStr">
        <is>
          <t>recvfqmLqZn2yw.jpg</t>
        </is>
      </c>
      <c r="C1800" s="2" t="str">
        <f>=HYPERLINK("https://xhslink.com/m/4SyfRXFJWct", "https://xhslink.com/m/4SyfRXFJWct")</f>
        <v>https://xhslink.com/m/4SyfRXFJWct</v>
      </c>
      <c r="D1800"/>
      <c r="E1800">
        <v>8222</v>
      </c>
      <c r="F1800">
        <v>92</v>
      </c>
      <c r="G1800">
        <v>89</v>
      </c>
      <c r="H1800">
        <v>200</v>
      </c>
      <c r="I1800" t="inlineStr">
        <is>
          <t>牛仔裤</t>
        </is>
      </c>
      <c r="J1800" t="inlineStr">
        <is>
          <t>0.02</t>
        </is>
      </c>
      <c r="K1800"/>
      <c r="L1800" t="inlineStr">
        <is>
          <t>栀禾服饰的店</t>
        </is>
      </c>
      <c r="M1800">
        <v>15000</v>
      </c>
      <c r="N1800">
        <v>4.6</v>
      </c>
      <c r="O1800">
        <v>64000</v>
      </c>
      <c r="P1800" t="inlineStr">
        <is>
          <t>689ae5e6d3dd4d00011316fe</t>
        </is>
      </c>
      <c r="Q1800" t="inlineStr">
        <is>
          <t>🚫重复</t>
        </is>
      </c>
      <c r="R1800" t="inlineStr">
        <is>
          <t>14周</t>
        </is>
      </c>
      <c r="S1800" t="inlineStr">
        <is>
          <t>0.55</t>
        </is>
      </c>
      <c r="T1800" t="inlineStr">
        <is>
          <t>服饰穿搭</t>
        </is>
      </c>
      <c r="U1800" t="inlineStr">
        <is>
          <t>女装</t>
        </is>
      </c>
      <c r="V1800" s="3">
        <v>46112.78107638889</v>
      </c>
      <c r="W1800" t="inlineStr">
        <is>
          <t>2026-Q1</t>
        </is>
      </c>
    </row>
    <row r="1801" ht="25.5" customHeight="1">
      <c r="A1801" t="inlineStr">
        <is>
          <t>【经典百搭】软牛仔窄版直筒裤三裤长高腰显瘦阔腿通勤牛仔裤</t>
        </is>
      </c>
      <c r="B1801" t="inlineStr">
        <is>
          <t>recvfqmLqZDmtJ.jpg</t>
        </is>
      </c>
      <c r="C1801" s="2" t="str">
        <f>=HYPERLINK("https://xhslink.com/m/U0I4JXUnCX", "https://xhslink.com/m/U0I4JXUnCX")</f>
        <v>https://xhslink.com/m/U0I4JXUnCX</v>
      </c>
      <c r="D1801"/>
      <c r="E1801">
        <v>30000</v>
      </c>
      <c r="F1801">
        <v>109.99</v>
      </c>
      <c r="G1801">
        <v>89.99</v>
      </c>
      <c r="H1801">
        <v>200</v>
      </c>
      <c r="I1801" t="inlineStr">
        <is>
          <t>牛仔裤</t>
        </is>
      </c>
      <c r="J1801" t="inlineStr">
        <is>
          <t>0.01</t>
        </is>
      </c>
      <c r="K1801" t="inlineStr">
        <is>
          <t>🔥低粉爆款</t>
        </is>
      </c>
      <c r="L1801" t="inlineStr">
        <is>
          <t>小晴天1的店</t>
        </is>
      </c>
      <c r="M1801">
        <v>4407</v>
      </c>
      <c r="N1801">
        <v>4.42</v>
      </c>
      <c r="O1801">
        <v>69000</v>
      </c>
      <c r="P1801" t="inlineStr">
        <is>
          <t>671614cd52e2cf000193c224</t>
        </is>
      </c>
      <c r="Q1801" t="inlineStr">
        <is>
          <t>🚫重复</t>
        </is>
      </c>
      <c r="R1801" t="inlineStr">
        <is>
          <t>14周</t>
        </is>
      </c>
      <c r="S1801" t="inlineStr">
        <is>
          <t>6.81</t>
        </is>
      </c>
      <c r="T1801" t="inlineStr">
        <is>
          <t>服饰穿搭</t>
        </is>
      </c>
      <c r="U1801" t="inlineStr">
        <is>
          <t>女装</t>
        </is>
      </c>
      <c r="V1801" s="3">
        <v>46112.78107638889</v>
      </c>
      <c r="W1801" t="inlineStr">
        <is>
          <t>2026-Q1</t>
        </is>
      </c>
    </row>
    <row r="1802" ht="25.5" customHeight="1">
      <c r="A1802" t="inlineStr">
        <is>
          <t>【最强黑/白牛】超模弹力直筒微喇窄版中腰牛仔裤</t>
        </is>
      </c>
      <c r="B1802" t="inlineStr">
        <is>
          <t>recvfqmLqZPiYV.jpg</t>
        </is>
      </c>
      <c r="C1802" s="2" t="str">
        <f>=HYPERLINK("https://xhslink.com/m/812veRTHc0E", "https://xhslink.com/m/812veRTHc0E")</f>
        <v>https://xhslink.com/m/812veRTHc0E</v>
      </c>
      <c r="D1802"/>
      <c r="E1802">
        <v>11000</v>
      </c>
      <c r="F1802">
        <v>159</v>
      </c>
      <c r="G1802">
        <v>128.79</v>
      </c>
      <c r="H1802">
        <v>200</v>
      </c>
      <c r="I1802" t="inlineStr">
        <is>
          <t>牛仔裤</t>
        </is>
      </c>
      <c r="J1802" t="inlineStr">
        <is>
          <t>0.02</t>
        </is>
      </c>
      <c r="K1802"/>
      <c r="L1802" t="inlineStr">
        <is>
          <t>卤蛋不是蛋的店</t>
        </is>
      </c>
      <c r="M1802">
        <v>18000</v>
      </c>
      <c r="N1802">
        <v>4.44</v>
      </c>
      <c r="O1802">
        <v>114000</v>
      </c>
      <c r="P1802" t="inlineStr">
        <is>
          <t>67ead2d90f9d6000013fce66</t>
        </is>
      </c>
      <c r="Q1802" t="inlineStr">
        <is>
          <t>🚫重复</t>
        </is>
      </c>
      <c r="R1802" t="inlineStr">
        <is>
          <t>14周</t>
        </is>
      </c>
      <c r="S1802" t="inlineStr">
        <is>
          <t>0.61</t>
        </is>
      </c>
      <c r="T1802" t="inlineStr">
        <is>
          <t>服饰穿搭</t>
        </is>
      </c>
      <c r="U1802" t="inlineStr">
        <is>
          <t>女装</t>
        </is>
      </c>
      <c r="V1802" s="3">
        <v>46112.78107638889</v>
      </c>
      <c r="W1802" t="inlineStr">
        <is>
          <t>2026-Q1</t>
        </is>
      </c>
    </row>
    <row r="1803" ht="25.5" customHeight="1">
      <c r="A1803" t="inlineStr">
        <is>
          <t>在吃一口 · 卡其色低腰牛仔裤女春季新款小个子不贴腿微喇叭裤子</t>
        </is>
      </c>
      <c r="B1803" t="inlineStr">
        <is>
          <t>recvfqmLqZgsLc.jpg</t>
        </is>
      </c>
      <c r="C1803" s="2" t="str">
        <f>=HYPERLINK("https://xhslink.com/m/YcTBqoCcZl", "https://xhslink.com/m/YcTBqoCcZl")</f>
        <v>https://xhslink.com/m/YcTBqoCcZl</v>
      </c>
      <c r="D1803"/>
      <c r="E1803">
        <v>3178</v>
      </c>
      <c r="F1803">
        <v>99.98</v>
      </c>
      <c r="G1803">
        <v>87.98</v>
      </c>
      <c r="H1803">
        <v>200</v>
      </c>
      <c r="I1803" t="inlineStr">
        <is>
          <t>牛仔裤</t>
        </is>
      </c>
      <c r="J1803" t="inlineStr">
        <is>
          <t>0.06</t>
        </is>
      </c>
      <c r="K1803"/>
      <c r="L1803" t="inlineStr">
        <is>
          <t>在吃一口就不吃了的店</t>
        </is>
      </c>
      <c r="M1803">
        <v>5659</v>
      </c>
      <c r="N1803">
        <v>4.6</v>
      </c>
      <c r="O1803">
        <v>20000</v>
      </c>
      <c r="P1803" t="inlineStr">
        <is>
          <t>68b1788954c0f3000195b975</t>
        </is>
      </c>
      <c r="Q1803" t="inlineStr">
        <is>
          <t>🚫重复</t>
        </is>
      </c>
      <c r="R1803" t="inlineStr">
        <is>
          <t>14周</t>
        </is>
      </c>
      <c r="S1803" t="inlineStr">
        <is>
          <t>0.56</t>
        </is>
      </c>
      <c r="T1803" t="inlineStr">
        <is>
          <t>服饰穿搭</t>
        </is>
      </c>
      <c r="U1803" t="inlineStr">
        <is>
          <t>女装</t>
        </is>
      </c>
      <c r="V1803" s="3">
        <v>46112.78107638889</v>
      </c>
      <c r="W1803" t="inlineStr">
        <is>
          <t>2026-Q1</t>
        </is>
      </c>
    </row>
    <row r="1804" ht="25.5" customHeight="1">
      <c r="A1804" t="inlineStr">
        <is>
          <t>裤王！【胯没了系列】 26早春复古水洗 梨形天菜直筒休闲牛仔裤</t>
        </is>
      </c>
      <c r="B1804" t="inlineStr">
        <is>
          <t>recvfqmLqZgIIe.jpg</t>
        </is>
      </c>
      <c r="C1804" s="2" t="str">
        <f>=HYPERLINK("https://xhslink.com/m/1zDCcABTAVa", "https://xhslink.com/m/1zDCcABTAVa")</f>
        <v>https://xhslink.com/m/1zDCcABTAVa</v>
      </c>
      <c r="D1804"/>
      <c r="E1804">
        <v>35000</v>
      </c>
      <c r="F1804">
        <v>219.9</v>
      </c>
      <c r="G1804">
        <v>186.91</v>
      </c>
      <c r="H1804">
        <v>200</v>
      </c>
      <c r="I1804" t="inlineStr">
        <is>
          <t>牛仔裤</t>
        </is>
      </c>
      <c r="J1804" t="inlineStr">
        <is>
          <t>0.01</t>
        </is>
      </c>
      <c r="K1804"/>
      <c r="L1804" t="inlineStr">
        <is>
          <t>白畔BAIPAN的店</t>
        </is>
      </c>
      <c r="M1804">
        <v>71000</v>
      </c>
      <c r="N1804">
        <v>4.7</v>
      </c>
      <c r="O1804">
        <v>262000</v>
      </c>
      <c r="P1804" t="inlineStr">
        <is>
          <t>67179f21206712000193748c</t>
        </is>
      </c>
      <c r="Q1804" t="inlineStr">
        <is>
          <t>🚫重复</t>
        </is>
      </c>
      <c r="R1804" t="inlineStr">
        <is>
          <t>14周</t>
        </is>
      </c>
      <c r="S1804" t="inlineStr">
        <is>
          <t>0.49</t>
        </is>
      </c>
      <c r="T1804" t="inlineStr">
        <is>
          <t>服饰穿搭</t>
        </is>
      </c>
      <c r="U1804" t="inlineStr">
        <is>
          <t>女装</t>
        </is>
      </c>
      <c r="V1804" s="3">
        <v>46112.78107638889</v>
      </c>
      <c r="W1804" t="inlineStr">
        <is>
          <t>2026-Q1</t>
        </is>
      </c>
    </row>
    <row r="1805" ht="25.5" customHeight="1">
      <c r="A1805" t="inlineStr">
        <is>
          <t>ONE TOU 法式复古玛丽珍鞋女浅口方头4cm粗跟配裙子浅口单鞋</t>
        </is>
      </c>
      <c r="B1805" t="inlineStr">
        <is>
          <t>recvfqmLqZ6DDh.jpg</t>
        </is>
      </c>
      <c r="C1805" s="2" t="str">
        <f>=HYPERLINK("https://xhslink.com/m/9qwA9hdsCM", "https://xhslink.com/m/9qwA9hdsCM")</f>
        <v>https://xhslink.com/m/9qwA9hdsCM</v>
      </c>
      <c r="D1805"/>
      <c r="E1805">
        <v>13000</v>
      </c>
      <c r="F1805">
        <v>75.9</v>
      </c>
      <c r="G1805"/>
      <c r="H1805">
        <v>200</v>
      </c>
      <c r="I1805" t="inlineStr">
        <is>
          <t>单鞋</t>
        </is>
      </c>
      <c r="J1805" t="inlineStr">
        <is>
          <t>0.02</t>
        </is>
      </c>
      <c r="K1805"/>
      <c r="L1805" t="inlineStr">
        <is>
          <t>小豌豆呀o的店</t>
        </is>
      </c>
      <c r="M1805">
        <v>16000</v>
      </c>
      <c r="N1805">
        <v>4.58</v>
      </c>
      <c r="O1805">
        <v>63000</v>
      </c>
      <c r="P1805" t="inlineStr">
        <is>
          <t>67d7a002e15c9100013b7d29</t>
        </is>
      </c>
      <c r="Q1805" t="inlineStr">
        <is>
          <t>🚫重复</t>
        </is>
      </c>
      <c r="R1805" t="inlineStr">
        <is>
          <t>14周</t>
        </is>
      </c>
      <c r="S1805" t="inlineStr">
        <is>
          <t>0.81</t>
        </is>
      </c>
      <c r="T1805" t="inlineStr">
        <is>
          <t>服饰穿搭</t>
        </is>
      </c>
      <c r="U1805" t="inlineStr">
        <is>
          <t>鞋靴箱包</t>
        </is>
      </c>
      <c r="V1805" s="3">
        <v>46112.78107638889</v>
      </c>
      <c r="W1805" t="inlineStr">
        <is>
          <t>2026-Q1</t>
        </is>
      </c>
    </row>
    <row r="1806" ht="25.5" customHeight="1">
      <c r="A1806" t="inlineStr">
        <is>
          <t>其他 · 韩版复古平底玛丽珍鞋女鞋软底春夏通勤单鞋浅口鞋子法式芭蕾舞鞋</t>
        </is>
      </c>
      <c r="B1806" t="inlineStr">
        <is>
          <t>recvfqmLqZ3APL.jpg</t>
        </is>
      </c>
      <c r="C1806" s="2" t="str">
        <f>=HYPERLINK("https://xhslink.com/m/4pCrYez1hi8", "https://xhslink.com/m/4pCrYez1hi8")</f>
        <v>https://xhslink.com/m/4pCrYez1hi8</v>
      </c>
      <c r="D1806"/>
      <c r="E1806">
        <v>12000</v>
      </c>
      <c r="F1806">
        <v>79.9</v>
      </c>
      <c r="G1806">
        <v>69.9</v>
      </c>
      <c r="H1806">
        <v>200</v>
      </c>
      <c r="I1806" t="inlineStr">
        <is>
          <t>单鞋</t>
        </is>
      </c>
      <c r="J1806" t="inlineStr">
        <is>
          <t>0.02</t>
        </is>
      </c>
      <c r="K1806"/>
      <c r="L1806" t="inlineStr">
        <is>
          <t>筱筱的筱的店</t>
        </is>
      </c>
      <c r="M1806">
        <v>5954</v>
      </c>
      <c r="N1806">
        <v>4.6</v>
      </c>
      <c r="O1806">
        <v>100000</v>
      </c>
      <c r="P1806" t="inlineStr">
        <is>
          <t>67e9025cd2530000010e0ad8</t>
        </is>
      </c>
      <c r="Q1806" t="inlineStr">
        <is>
          <t>🚫重复</t>
        </is>
      </c>
      <c r="R1806" t="inlineStr">
        <is>
          <t>14周</t>
        </is>
      </c>
      <c r="S1806" t="inlineStr">
        <is>
          <t>2.02</t>
        </is>
      </c>
      <c r="T1806" t="inlineStr">
        <is>
          <t>服饰穿搭</t>
        </is>
      </c>
      <c r="U1806" t="inlineStr">
        <is>
          <t>鞋靴箱包</t>
        </is>
      </c>
      <c r="V1806" s="3">
        <v>46112.78107638889</v>
      </c>
      <c r="W1806" t="inlineStr">
        <is>
          <t>2026-Q1</t>
        </is>
      </c>
    </row>
    <row r="1807" ht="25.5" customHeight="1">
      <c r="A1807" t="inlineStr">
        <is>
          <t>may3socks2026高跟鞋分趾船袜 春夏薄款避震不掉跟百搭浅口袜</t>
        </is>
      </c>
      <c r="B1807" t="inlineStr">
        <is>
          <t>recvfqmLqZEfBb.jpg</t>
        </is>
      </c>
      <c r="C1807" s="2" t="str">
        <f>=HYPERLINK("https://xhslink.com/m/5kAhSR18E00", "https://xhslink.com/m/5kAhSR18E00")</f>
        <v>https://xhslink.com/m/5kAhSR18E00</v>
      </c>
      <c r="D1807"/>
      <c r="E1807">
        <v>1798</v>
      </c>
      <c r="F1807">
        <v>15.8</v>
      </c>
      <c r="G1807">
        <v>12.9</v>
      </c>
      <c r="H1807">
        <v>200</v>
      </c>
      <c r="I1807" t="inlineStr">
        <is>
          <t>船袜</t>
        </is>
      </c>
      <c r="J1807" t="inlineStr">
        <is>
          <t>0.11</t>
        </is>
      </c>
      <c r="K1807"/>
      <c r="L1807" t="inlineStr">
        <is>
          <t>May3 Socks的店</t>
        </is>
      </c>
      <c r="M1807">
        <v>56000</v>
      </c>
      <c r="N1807">
        <v>4.7</v>
      </c>
      <c r="O1807">
        <v>374000</v>
      </c>
      <c r="P1807" t="inlineStr">
        <is>
          <t>69b26a7dcdd36c0001be3e03</t>
        </is>
      </c>
      <c r="Q1807" t="inlineStr">
        <is>
          <t>🚫重复</t>
        </is>
      </c>
      <c r="R1807" t="inlineStr">
        <is>
          <t>14周</t>
        </is>
      </c>
      <c r="S1807" t="inlineStr">
        <is>
          <t>0.03</t>
        </is>
      </c>
      <c r="T1807" t="inlineStr">
        <is>
          <t>服饰穿搭</t>
        </is>
      </c>
      <c r="U1807" t="inlineStr">
        <is>
          <t>鞋靴箱包</t>
        </is>
      </c>
      <c r="V1807" s="3">
        <v>46112.78107638889</v>
      </c>
      <c r="W1807" t="inlineStr">
        <is>
          <t>2026-Q1</t>
        </is>
      </c>
    </row>
    <row r="1808" ht="25.5" customHeight="1">
      <c r="A1808" t="inlineStr">
        <is>
          <t>【600g】量贩装品质恰巴塔600克 9-10枚面包无蔗糖健康健身代餐</t>
        </is>
      </c>
      <c r="B1808" t="inlineStr">
        <is>
          <t>recvfqmLqZt6Lx.jpg</t>
        </is>
      </c>
      <c r="C1808" s="2" t="str">
        <f>=HYPERLINK("https://xhslink.com/m/1wRDAIJO9S7", "https://xhslink.com/m/1wRDAIJO9S7")</f>
        <v>https://xhslink.com/m/1wRDAIJO9S7</v>
      </c>
      <c r="D1808"/>
      <c r="E1808">
        <v>41000</v>
      </c>
      <c r="F1808">
        <v>29.9</v>
      </c>
      <c r="G1808"/>
      <c r="H1808">
        <v>200</v>
      </c>
      <c r="I1808" t="inlineStr">
        <is>
          <t>减肥零食</t>
        </is>
      </c>
      <c r="J1808" t="inlineStr">
        <is>
          <t>0.00</t>
        </is>
      </c>
      <c r="K1808" t="inlineStr">
        <is>
          <t>🔥低粉爆款</t>
        </is>
      </c>
      <c r="L1808" t="inlineStr">
        <is>
          <t>美糖手工烘焙工坊的店</t>
        </is>
      </c>
      <c r="M1808">
        <v>9001</v>
      </c>
      <c r="N1808">
        <v>4.65</v>
      </c>
      <c r="O1808">
        <v>62000</v>
      </c>
      <c r="P1808" t="inlineStr">
        <is>
          <t>6885c25379bc470001b05083</t>
        </is>
      </c>
      <c r="Q1808" t="inlineStr">
        <is>
          <t>🚫重复</t>
        </is>
      </c>
      <c r="R1808" t="inlineStr">
        <is>
          <t>14周</t>
        </is>
      </c>
      <c r="S1808" t="inlineStr">
        <is>
          <t>4.56</t>
        </is>
      </c>
      <c r="T1808" t="inlineStr">
        <is>
          <t>美食滋补</t>
        </is>
      </c>
      <c r="U1808" t="inlineStr">
        <is>
          <t>休闲零食</t>
        </is>
      </c>
      <c r="V1808" s="3">
        <v>46112.78107638889</v>
      </c>
      <c r="W1808" t="inlineStr">
        <is>
          <t>2026-Q1</t>
        </is>
      </c>
    </row>
    <row r="1809" ht="25.5" customHeight="1">
      <c r="A1809" t="inlineStr">
        <is>
          <t>懒五黑全麦紫薯芋泥饼无蔗糖饱腹代餐健康零食减脂期解馋中式糕点</t>
        </is>
      </c>
      <c r="B1809" t="inlineStr">
        <is>
          <t>recvfqmLqZ1CWl.jpg</t>
        </is>
      </c>
      <c r="C1809" s="2" t="str">
        <f>=HYPERLINK("https://xhslink.com/m/AchpBPFnvd1", "https://xhslink.com/m/AchpBPFnvd1")</f>
        <v>https://xhslink.com/m/AchpBPFnvd1</v>
      </c>
      <c r="D1809"/>
      <c r="E1809">
        <v>20000</v>
      </c>
      <c r="F1809">
        <v>23.8</v>
      </c>
      <c r="G1809">
        <v>13.8</v>
      </c>
      <c r="H1809">
        <v>200</v>
      </c>
      <c r="I1809" t="inlineStr">
        <is>
          <t>减肥零食</t>
        </is>
      </c>
      <c r="J1809" t="inlineStr">
        <is>
          <t>0.01</t>
        </is>
      </c>
      <c r="K1809" t="inlineStr">
        <is>
          <t>🔥低粉爆款</t>
        </is>
      </c>
      <c r="L1809" t="inlineStr">
        <is>
          <t>幸屿Umi的店</t>
        </is>
      </c>
      <c r="M1809">
        <v>569</v>
      </c>
      <c r="N1809">
        <v>4.56</v>
      </c>
      <c r="O1809">
        <v>24000</v>
      </c>
      <c r="P1809" t="inlineStr">
        <is>
          <t>68a497d61745f600011c032d</t>
        </is>
      </c>
      <c r="Q1809" t="inlineStr">
        <is>
          <t>🚫重复</t>
        </is>
      </c>
      <c r="R1809" t="inlineStr">
        <is>
          <t>14周</t>
        </is>
      </c>
      <c r="S1809" t="inlineStr">
        <is>
          <t>35.15</t>
        </is>
      </c>
      <c r="T1809" t="inlineStr">
        <is>
          <t>美食滋补</t>
        </is>
      </c>
      <c r="U1809" t="inlineStr">
        <is>
          <t>休闲零食</t>
        </is>
      </c>
      <c r="V1809" s="3">
        <v>46112.78107638889</v>
      </c>
      <c r="W1809" t="inlineStr">
        <is>
          <t>2026-Q1</t>
        </is>
      </c>
    </row>
    <row r="1810" ht="25.5" customHeight="1">
      <c r="A1810" t="inlineStr">
        <is>
          <t>【软心奶油芭乐】低脂低卡软心红宝石芭乐番石榴现摘现发软糯口感</t>
        </is>
      </c>
      <c r="B1810" t="inlineStr">
        <is>
          <t>recvfqmLqZFSeV.jpg</t>
        </is>
      </c>
      <c r="C1810" s="2" t="str">
        <f>=HYPERLINK("https://xhslink.com/m/3Bp1P6MDzih", "https://xhslink.com/m/3Bp1P6MDzih")</f>
        <v>https://xhslink.com/m/3Bp1P6MDzih</v>
      </c>
      <c r="D1810"/>
      <c r="E1810">
        <v>36000</v>
      </c>
      <c r="F1810">
        <v>19.9</v>
      </c>
      <c r="G1810">
        <v>9.9</v>
      </c>
      <c r="H1810">
        <v>200</v>
      </c>
      <c r="I1810" t="inlineStr">
        <is>
          <t>减肥零食</t>
        </is>
      </c>
      <c r="J1810" t="inlineStr">
        <is>
          <t>0.01</t>
        </is>
      </c>
      <c r="K1810" t="inlineStr">
        <is>
          <t>🔥低粉爆款</t>
        </is>
      </c>
      <c r="L1810" t="inlineStr">
        <is>
          <t>小胖妞吃不拿拿的店</t>
        </is>
      </c>
      <c r="M1810">
        <v>353</v>
      </c>
      <c r="N1810">
        <v>4.29</v>
      </c>
      <c r="O1810">
        <v>10000</v>
      </c>
      <c r="P1810" t="inlineStr">
        <is>
          <t>68f8a2d06a569a00154658d7</t>
        </is>
      </c>
      <c r="Q1810" t="inlineStr">
        <is>
          <t>🚫重复</t>
        </is>
      </c>
      <c r="R1810" t="inlineStr">
        <is>
          <t>14周</t>
        </is>
      </c>
      <c r="S1810" t="inlineStr">
        <is>
          <t>101.98</t>
        </is>
      </c>
      <c r="T1810" t="inlineStr">
        <is>
          <t>美食滋补</t>
        </is>
      </c>
      <c r="U1810" t="inlineStr">
        <is>
          <t>休闲零食</t>
        </is>
      </c>
      <c r="V1810" s="3">
        <v>46112.78107638889</v>
      </c>
      <c r="W1810" t="inlineStr">
        <is>
          <t>2026-Q1</t>
        </is>
      </c>
    </row>
    <row r="1811" ht="25.5" customHeight="1">
      <c r="A1811" t="inlineStr">
        <is>
          <t>登山帽子女夏户外露营防晒帽大檐渔夫帽大头围西部牛仔帽爬山帽子</t>
        </is>
      </c>
      <c r="B1811" t="inlineStr">
        <is>
          <t>recvfqmLqZWOXg.jpg</t>
        </is>
      </c>
      <c r="C1811" s="2" t="str">
        <f>=HYPERLINK("https://xhslink.com/m/ATxWRpzrpaw", "https://xhslink.com/m/ATxWRpzrpaw")</f>
        <v>https://xhslink.com/m/ATxWRpzrpaw</v>
      </c>
      <c r="D1811"/>
      <c r="E1811">
        <v>36000</v>
      </c>
      <c r="F1811">
        <v>33.9</v>
      </c>
      <c r="G1811">
        <v>25.9</v>
      </c>
      <c r="H1811">
        <v>200</v>
      </c>
      <c r="I1811" t="inlineStr">
        <is>
          <t>登山</t>
        </is>
      </c>
      <c r="J1811" t="inlineStr">
        <is>
          <t>0.01</t>
        </is>
      </c>
      <c r="K1811" t="inlineStr">
        <is>
          <t>🔥低粉爆款</t>
        </is>
      </c>
      <c r="L1811" t="inlineStr">
        <is>
          <t>BWEIED服配的店</t>
        </is>
      </c>
      <c r="M1811">
        <v>9716</v>
      </c>
      <c r="N1811">
        <v>4.54</v>
      </c>
      <c r="O1811">
        <v>235000</v>
      </c>
      <c r="P1811" t="inlineStr">
        <is>
          <t>65b3a86b5610080001f62268</t>
        </is>
      </c>
      <c r="Q1811"/>
      <c r="R1811" t="inlineStr">
        <is>
          <t>14周</t>
        </is>
      </c>
      <c r="S1811" t="inlineStr">
        <is>
          <t>3.71</t>
        </is>
      </c>
      <c r="T1811" t="inlineStr">
        <is>
          <t>运动潮玩</t>
        </is>
      </c>
      <c r="U1811" t="inlineStr">
        <is>
          <t>运动户外装备</t>
        </is>
      </c>
      <c r="V1811" s="3">
        <v>46112.78107638889</v>
      </c>
      <c r="W1811" t="inlineStr">
        <is>
          <t>2026-Q1</t>
        </is>
      </c>
    </row>
    <row r="1812" ht="25.5" customHeight="1">
      <c r="A1812" t="inlineStr">
        <is>
          <t>棕色马丁靴女2026新款春夏真皮透气复古工装情侣靴登山沙漠短靴女</t>
        </is>
      </c>
      <c r="B1812" t="inlineStr">
        <is>
          <t>recvfqmLqZ1o4o.jpg</t>
        </is>
      </c>
      <c r="C1812" s="2" t="str">
        <f>=HYPERLINK("https://xhslink.com/m/6E4SxYwW0A0", "https://xhslink.com/m/6E4SxYwW0A0")</f>
        <v>https://xhslink.com/m/6E4SxYwW0A0</v>
      </c>
      <c r="D1812"/>
      <c r="E1812">
        <v>48000</v>
      </c>
      <c r="F1812">
        <v>168</v>
      </c>
      <c r="G1812">
        <v>147.8</v>
      </c>
      <c r="H1812">
        <v>200</v>
      </c>
      <c r="I1812" t="inlineStr">
        <is>
          <t>登山</t>
        </is>
      </c>
      <c r="J1812" t="inlineStr">
        <is>
          <t>0.00</t>
        </is>
      </c>
      <c r="K1812" t="inlineStr">
        <is>
          <t>🔥低粉爆款</t>
        </is>
      </c>
      <c r="L1812" t="inlineStr">
        <is>
          <t>富士山下鞋铺（品达贸易）的店</t>
        </is>
      </c>
      <c r="M1812">
        <v>11000</v>
      </c>
      <c r="N1812">
        <v>4.62</v>
      </c>
      <c r="O1812">
        <v>112000</v>
      </c>
      <c r="P1812" t="inlineStr">
        <is>
          <t>64cb501ef7e7660001fcad64</t>
        </is>
      </c>
      <c r="Q1812" t="inlineStr">
        <is>
          <t>🚫重复</t>
        </is>
      </c>
      <c r="R1812" t="inlineStr">
        <is>
          <t>14周</t>
        </is>
      </c>
      <c r="S1812" t="inlineStr">
        <is>
          <t>4.36</t>
        </is>
      </c>
      <c r="T1812" t="inlineStr">
        <is>
          <t>运动潮玩</t>
        </is>
      </c>
      <c r="U1812" t="inlineStr">
        <is>
          <t>运动户外装备</t>
        </is>
      </c>
      <c r="V1812" s="3">
        <v>46112.78107638889</v>
      </c>
      <c r="W1812" t="inlineStr">
        <is>
          <t>2026-Q1</t>
        </is>
      </c>
    </row>
    <row r="1813" ht="25.5" customHeight="1">
      <c r="A1813" t="inlineStr">
        <is>
          <t>凝胶记忆棉0.9m学生宿舍单人床垫寝室专用加厚海绵软褥垫子可折叠</t>
        </is>
      </c>
      <c r="B1813" t="inlineStr">
        <is>
          <t>recvfqmLqZby9Z.jpg</t>
        </is>
      </c>
      <c r="C1813" s="2" t="str">
        <f>=HYPERLINK("https://xhslink.com/m/3siQu3kgFlV", "https://xhslink.com/m/3siQu3kgFlV")</f>
        <v>https://xhslink.com/m/3siQu3kgFlV</v>
      </c>
      <c r="D1813"/>
      <c r="E1813">
        <v>19000</v>
      </c>
      <c r="F1813">
        <v>178</v>
      </c>
      <c r="G1813">
        <v>128</v>
      </c>
      <c r="H1813">
        <v>200</v>
      </c>
      <c r="I1813" t="inlineStr">
        <is>
          <t>垫子</t>
        </is>
      </c>
      <c r="J1813" t="inlineStr">
        <is>
          <t>0.01</t>
        </is>
      </c>
      <c r="K1813" t="inlineStr">
        <is>
          <t>🔥低粉爆款</t>
        </is>
      </c>
      <c r="L1813" t="inlineStr">
        <is>
          <t>FAFA财卖家纺的店</t>
        </is>
      </c>
      <c r="M1813">
        <v>916</v>
      </c>
      <c r="N1813">
        <v>4.44</v>
      </c>
      <c r="O1813">
        <v>21000</v>
      </c>
      <c r="P1813" t="inlineStr">
        <is>
          <t>6882271d0e13d500019ed35f</t>
        </is>
      </c>
      <c r="Q1813"/>
      <c r="R1813" t="inlineStr">
        <is>
          <t>14周</t>
        </is>
      </c>
      <c r="S1813" t="inlineStr">
        <is>
          <t>20.74</t>
        </is>
      </c>
      <c r="T1813" t="inlineStr">
        <is>
          <t>家居生活</t>
        </is>
      </c>
      <c r="U1813" t="inlineStr">
        <is>
          <t>家居日用</t>
        </is>
      </c>
      <c r="V1813" s="3">
        <v>46112.78107638889</v>
      </c>
      <c r="W1813" t="inlineStr">
        <is>
          <t>2026-Q1</t>
        </is>
      </c>
    </row>
    <row r="1814" ht="25.5" customHeight="1">
      <c r="A1814" t="inlineStr">
        <is>
          <t>yukio热门款丑娃娃富士山咖啡许愿星美人鱼四叶草挂件</t>
        </is>
      </c>
      <c r="B1814" t="inlineStr">
        <is>
          <t>recvfqmLqZH9HW.jpg</t>
        </is>
      </c>
      <c r="C1814" s="2" t="str">
        <f>=HYPERLINK("https://xhslink.com/m/5alwq5kCn8B", "https://xhslink.com/m/5alwq5kCn8B")</f>
        <v>https://xhslink.com/m/5alwq5kCn8B</v>
      </c>
      <c r="D1814"/>
      <c r="E1814">
        <v>23000</v>
      </c>
      <c r="F1814">
        <v>32.9</v>
      </c>
      <c r="G1814">
        <v>24.96</v>
      </c>
      <c r="H1814">
        <v>200</v>
      </c>
      <c r="I1814" t="inlineStr">
        <is>
          <t>毛绒玩偶</t>
        </is>
      </c>
      <c r="J1814" t="inlineStr">
        <is>
          <t>0.01</t>
        </is>
      </c>
      <c r="K1814" t="inlineStr">
        <is>
          <t>🔥低粉爆款</t>
        </is>
      </c>
      <c r="L1814" t="inlineStr">
        <is>
          <t>萌物统治世界了吗的店</t>
        </is>
      </c>
      <c r="M1814">
        <v>2797</v>
      </c>
      <c r="N1814">
        <v>4.63</v>
      </c>
      <c r="O1814">
        <v>42000</v>
      </c>
      <c r="P1814" t="inlineStr">
        <is>
          <t>695b9f4af7aaae00017cebf5</t>
        </is>
      </c>
      <c r="Q1814" t="inlineStr">
        <is>
          <t>🚫重复</t>
        </is>
      </c>
      <c r="R1814" t="inlineStr">
        <is>
          <t>14周</t>
        </is>
      </c>
      <c r="S1814" t="inlineStr">
        <is>
          <t>8.22</t>
        </is>
      </c>
      <c r="T1814" t="inlineStr">
        <is>
          <t>母婴亲子</t>
        </is>
      </c>
      <c r="U1814" t="inlineStr">
        <is>
          <t>玩具早教</t>
        </is>
      </c>
      <c r="V1814" s="3">
        <v>46112.78107638889</v>
      </c>
      <c r="W1814" t="inlineStr">
        <is>
          <t>2026-Q1</t>
        </is>
      </c>
    </row>
    <row r="1815" ht="25.5" customHeight="1">
      <c r="A1815" t="inlineStr">
        <is>
          <t>【开学季】双位无痕防滑衣架防肩角家用宿舍无痕塑料防滑不鼓包</t>
        </is>
      </c>
      <c r="B1815" t="inlineStr">
        <is>
          <t>recvfqmLqZJrVk.jpg</t>
        </is>
      </c>
      <c r="C1815" s="2" t="str">
        <f>=HYPERLINK("https://xhslink.com/m/XELjTz9R5V", "https://xhslink.com/m/XELjTz9R5V")</f>
        <v>https://xhslink.com/m/XELjTz9R5V</v>
      </c>
      <c r="D1815"/>
      <c r="E1815">
        <v>75000</v>
      </c>
      <c r="F1815">
        <v>28.8</v>
      </c>
      <c r="G1815">
        <v>7.6</v>
      </c>
      <c r="H1815">
        <v>200</v>
      </c>
      <c r="I1815" t="inlineStr">
        <is>
          <t>小物件</t>
        </is>
      </c>
      <c r="J1815" t="inlineStr">
        <is>
          <t>0.00</t>
        </is>
      </c>
      <c r="K1815" t="inlineStr">
        <is>
          <t>🔥低粉爆款</t>
        </is>
      </c>
      <c r="L1815" t="inlineStr">
        <is>
          <t>大胖小白的店</t>
        </is>
      </c>
      <c r="M1815">
        <v>677</v>
      </c>
      <c r="N1815">
        <v>4.56</v>
      </c>
      <c r="O1815">
        <v>138000</v>
      </c>
      <c r="P1815" t="inlineStr">
        <is>
          <t>6889dd229e83740001880ba1</t>
        </is>
      </c>
      <c r="Q1815" t="inlineStr">
        <is>
          <t>🚫重复</t>
        </is>
      </c>
      <c r="R1815" t="inlineStr">
        <is>
          <t>14周</t>
        </is>
      </c>
      <c r="S1815" t="inlineStr">
        <is>
          <t>110.78</t>
        </is>
      </c>
      <c r="T1815" t="inlineStr">
        <is>
          <t>家居生活</t>
        </is>
      </c>
      <c r="U1815" t="inlineStr">
        <is>
          <t>家居日用</t>
        </is>
      </c>
      <c r="V1815" s="3">
        <v>46112.78107638889</v>
      </c>
      <c r="W1815" t="inlineStr">
        <is>
          <t>2026-Q1</t>
        </is>
      </c>
    </row>
    <row r="1816" ht="25.5" customHeight="1">
      <c r="A1816" t="inlineStr">
        <is>
          <t>【奶呼呼高颜值】S20手机支架全金属桌面旋转学习追剧便携懒人支</t>
        </is>
      </c>
      <c r="B1816" t="inlineStr">
        <is>
          <t>recvfqmLqZtwB0.jpg</t>
        </is>
      </c>
      <c r="C1816" s="2" t="str">
        <f>=HYPERLINK("https://xhslink.com/m/5Xiar7Lq3vU", "https://xhslink.com/m/5Xiar7Lq3vU")</f>
        <v>https://xhslink.com/m/5Xiar7Lq3vU</v>
      </c>
      <c r="D1816"/>
      <c r="E1816">
        <v>81000</v>
      </c>
      <c r="F1816">
        <v>20.5</v>
      </c>
      <c r="G1816">
        <v>14.68</v>
      </c>
      <c r="H1816">
        <v>200</v>
      </c>
      <c r="I1816" t="inlineStr">
        <is>
          <t>小物件</t>
        </is>
      </c>
      <c r="J1816" t="inlineStr">
        <is>
          <t>0.00</t>
        </is>
      </c>
      <c r="K1816" t="inlineStr">
        <is>
          <t>🔥低粉爆款</t>
        </is>
      </c>
      <c r="L1816" t="inlineStr">
        <is>
          <t>Century&amp;AI ｜生产力的店</t>
        </is>
      </c>
      <c r="M1816">
        <v>7266</v>
      </c>
      <c r="N1816">
        <v>4.64</v>
      </c>
      <c r="O1816">
        <v>129000</v>
      </c>
      <c r="P1816" t="inlineStr">
        <is>
          <t>68d894bfc192ac00015c11b4</t>
        </is>
      </c>
      <c r="Q1816" t="inlineStr">
        <is>
          <t>🚫重复</t>
        </is>
      </c>
      <c r="R1816" t="inlineStr">
        <is>
          <t>14周</t>
        </is>
      </c>
      <c r="S1816" t="inlineStr">
        <is>
          <t>11.15</t>
        </is>
      </c>
      <c r="T1816" t="inlineStr">
        <is>
          <t>数码家电</t>
        </is>
      </c>
      <c r="U1816" t="inlineStr">
        <is>
          <t>数码配件</t>
        </is>
      </c>
      <c r="V1816" s="3">
        <v>46112.78107638889</v>
      </c>
      <c r="W1816" t="inlineStr">
        <is>
          <t>2026-Q1</t>
        </is>
      </c>
    </row>
    <row r="1817" ht="25.5" customHeight="1">
      <c r="A1817" t="inlineStr">
        <is>
          <t>Yukk家圣诞礼物古早轻松熊点头摆件可爱送礼物</t>
        </is>
      </c>
      <c r="B1817" t="inlineStr">
        <is>
          <t>recvfqmLqZR7kn.jpg</t>
        </is>
      </c>
      <c r="C1817" s="2" t="str">
        <f>=HYPERLINK("https://xhslink.com/m/54UzBe5IS9S", "https://xhslink.com/m/54UzBe5IS9S")</f>
        <v>https://xhslink.com/m/54UzBe5IS9S</v>
      </c>
      <c r="D1817"/>
      <c r="E1817">
        <v>20000</v>
      </c>
      <c r="F1817">
        <v>15.8</v>
      </c>
      <c r="G1817"/>
      <c r="H1817">
        <v>200</v>
      </c>
      <c r="I1817" t="inlineStr">
        <is>
          <t>小物件</t>
        </is>
      </c>
      <c r="J1817" t="inlineStr">
        <is>
          <t>0.01</t>
        </is>
      </c>
      <c r="K1817"/>
      <c r="L1817" t="inlineStr">
        <is>
          <t>Yukk的店</t>
        </is>
      </c>
      <c r="M1817">
        <v>11000</v>
      </c>
      <c r="N1817">
        <v>4.55</v>
      </c>
      <c r="O1817">
        <v>149000</v>
      </c>
      <c r="P1817" t="inlineStr">
        <is>
          <t>67e968c5acb9900001ce52a7</t>
        </is>
      </c>
      <c r="Q1817" t="inlineStr">
        <is>
          <t>🚫重复</t>
        </is>
      </c>
      <c r="R1817" t="inlineStr">
        <is>
          <t>14周</t>
        </is>
      </c>
      <c r="S1817" t="inlineStr">
        <is>
          <t>1.82</t>
        </is>
      </c>
      <c r="T1817" t="inlineStr">
        <is>
          <t>家居生活</t>
        </is>
      </c>
      <c r="U1817" t="inlineStr">
        <is>
          <t>家具家装</t>
        </is>
      </c>
      <c r="V1817" s="3">
        <v>46112.78107638889</v>
      </c>
      <c r="W1817" t="inlineStr">
        <is>
          <t>2026-Q1</t>
        </is>
      </c>
    </row>
    <row r="1818" ht="25.5" customHeight="1">
      <c r="A1818" t="inlineStr">
        <is>
          <t>小猫推瓶子磁吸式猫胡子冰箱贴收纳猫咪毛发胡子可插花</t>
        </is>
      </c>
      <c r="B1818" t="inlineStr">
        <is>
          <t>recvfqmLqZ63zS.jpg</t>
        </is>
      </c>
      <c r="C1818" s="2" t="str">
        <f>=HYPERLINK("https://xhslink.com/m/5YWilzyCFdZ", "https://xhslink.com/m/5YWilzyCFdZ")</f>
        <v>https://xhslink.com/m/5YWilzyCFdZ</v>
      </c>
      <c r="D1818"/>
      <c r="E1818">
        <v>11000</v>
      </c>
      <c r="F1818">
        <v>9.9</v>
      </c>
      <c r="G1818">
        <v>6.9</v>
      </c>
      <c r="H1818">
        <v>200</v>
      </c>
      <c r="I1818" t="inlineStr">
        <is>
          <t>小物件</t>
        </is>
      </c>
      <c r="J1818" t="inlineStr">
        <is>
          <t>0.02</t>
        </is>
      </c>
      <c r="K1818" t="inlineStr">
        <is>
          <t>🔥低粉爆款</t>
        </is>
      </c>
      <c r="L1818" t="inlineStr">
        <is>
          <t>十七是只喵的店</t>
        </is>
      </c>
      <c r="M1818">
        <v>314</v>
      </c>
      <c r="N1818">
        <v>4.69</v>
      </c>
      <c r="O1818">
        <v>12000</v>
      </c>
      <c r="P1818" t="inlineStr">
        <is>
          <t>69620dac2abfb10001411706</t>
        </is>
      </c>
      <c r="Q1818"/>
      <c r="R1818" t="inlineStr">
        <is>
          <t>14周</t>
        </is>
      </c>
      <c r="S1818" t="inlineStr">
        <is>
          <t>35.03</t>
        </is>
      </c>
      <c r="T1818" t="inlineStr">
        <is>
          <t>家居生活</t>
        </is>
      </c>
      <c r="U1818" t="inlineStr">
        <is>
          <t>家居日用</t>
        </is>
      </c>
      <c r="V1818" s="3">
        <v>46112.78107638889</v>
      </c>
      <c r="W1818" t="inlineStr">
        <is>
          <t>2026-Q1</t>
        </is>
      </c>
    </row>
    <row r="1819" ht="25.5" customHeight="1">
      <c r="A1819" t="inlineStr">
        <is>
          <t>有意思星球 · 越王勾践小剑剑毛绒玩具旅游礼物官方正版文创周边</t>
        </is>
      </c>
      <c r="B1819" t="inlineStr">
        <is>
          <t>recvfqmLqZs9Pc.jpg</t>
        </is>
      </c>
      <c r="C1819" s="2" t="str">
        <f>=HYPERLINK("https://xhslink.com/m/5SE4FSNjnkT", "https://xhslink.com/m/5SE4FSNjnkT")</f>
        <v>https://xhslink.com/m/5SE4FSNjnkT</v>
      </c>
      <c r="D1819"/>
      <c r="E1819">
        <v>7449</v>
      </c>
      <c r="F1819">
        <v>59</v>
      </c>
      <c r="G1819">
        <v>39</v>
      </c>
      <c r="H1819">
        <v>200</v>
      </c>
      <c r="I1819" t="inlineStr">
        <is>
          <t>小物件</t>
        </is>
      </c>
      <c r="J1819" t="inlineStr">
        <is>
          <t>0.03</t>
        </is>
      </c>
      <c r="K1819"/>
      <c r="L1819" t="inlineStr">
        <is>
          <t>有意思星球旗舰店</t>
        </is>
      </c>
      <c r="M1819">
        <v>11000</v>
      </c>
      <c r="N1819">
        <v>4.31</v>
      </c>
      <c r="O1819">
        <v>13000</v>
      </c>
      <c r="P1819" t="inlineStr">
        <is>
          <t>69a79ee5ee14f60001698941</t>
        </is>
      </c>
      <c r="Q1819"/>
      <c r="R1819" t="inlineStr">
        <is>
          <t>14周</t>
        </is>
      </c>
      <c r="S1819" t="inlineStr">
        <is>
          <t>0.68</t>
        </is>
      </c>
      <c r="T1819" t="inlineStr">
        <is>
          <t>母婴亲子</t>
        </is>
      </c>
      <c r="U1819" t="inlineStr">
        <is>
          <t>玩具早教</t>
        </is>
      </c>
      <c r="V1819" s="3">
        <v>46112.78107638889</v>
      </c>
      <c r="W1819" t="inlineStr">
        <is>
          <t>2026-Q1</t>
        </is>
      </c>
    </row>
    <row r="1820" ht="25.5" customHeight="1">
      <c r="A1820" t="inlineStr">
        <is>
          <t>【奶呼呼高颜值】S20手机支架全金属桌面旋转学习追剧便携懒人支</t>
        </is>
      </c>
      <c r="B1820" t="inlineStr">
        <is>
          <t>recvfqmLqZCPZP.jpg</t>
        </is>
      </c>
      <c r="C1820" s="2" t="str">
        <f>=HYPERLINK("https://xhslink.com/m/CD7qZOdYIG", "https://xhslink.com/m/CD7qZOdYIG")</f>
        <v>https://xhslink.com/m/CD7qZOdYIG</v>
      </c>
      <c r="D1820"/>
      <c r="E1820">
        <v>81000</v>
      </c>
      <c r="F1820">
        <v>20.5</v>
      </c>
      <c r="G1820">
        <v>12.88</v>
      </c>
      <c r="H1820">
        <v>200</v>
      </c>
      <c r="I1820" t="inlineStr">
        <is>
          <t>小物件</t>
        </is>
      </c>
      <c r="J1820" t="inlineStr">
        <is>
          <t>0.00</t>
        </is>
      </c>
      <c r="K1820" t="inlineStr">
        <is>
          <t>🔥低粉爆款</t>
        </is>
      </c>
      <c r="L1820" t="inlineStr">
        <is>
          <t>Century&amp;AI ｜生产力的店</t>
        </is>
      </c>
      <c r="M1820">
        <v>7266</v>
      </c>
      <c r="N1820">
        <v>4.64</v>
      </c>
      <c r="O1820">
        <v>129000</v>
      </c>
      <c r="P1820" t="inlineStr">
        <is>
          <t>68873e23a7c1e30001779fdb</t>
        </is>
      </c>
      <c r="Q1820" t="inlineStr">
        <is>
          <t>🚫重复</t>
        </is>
      </c>
      <c r="R1820" t="inlineStr">
        <is>
          <t>14周</t>
        </is>
      </c>
      <c r="S1820" t="inlineStr">
        <is>
          <t>11.15</t>
        </is>
      </c>
      <c r="T1820" t="inlineStr">
        <is>
          <t>数码家电</t>
        </is>
      </c>
      <c r="U1820" t="inlineStr">
        <is>
          <t>数码配件</t>
        </is>
      </c>
      <c r="V1820" s="3">
        <v>46112.78107638889</v>
      </c>
      <c r="W1820" t="inlineStr">
        <is>
          <t>2026-Q1</t>
        </is>
      </c>
    </row>
    <row r="1821" ht="25.5" customHeight="1">
      <c r="A1821" t="inlineStr">
        <is>
          <t>【现货】正版猫猫PAI系列盲盒情绪开演绒fufu生日礼物可爱摆件</t>
        </is>
      </c>
      <c r="B1821" t="inlineStr">
        <is>
          <t>recvfqmLqZS5pQ.jpg</t>
        </is>
      </c>
      <c r="C1821" s="2" t="str">
        <f>=HYPERLINK("https://xhslink.com/m/5oIdFuwTG0d", "https://xhslink.com/m/5oIdFuwTG0d")</f>
        <v>https://xhslink.com/m/5oIdFuwTG0d</v>
      </c>
      <c r="D1821"/>
      <c r="E1821">
        <v>16000</v>
      </c>
      <c r="F1821">
        <v>64.9</v>
      </c>
      <c r="G1821">
        <v>52.9</v>
      </c>
      <c r="H1821">
        <v>200</v>
      </c>
      <c r="I1821" t="inlineStr">
        <is>
          <t>盲盒</t>
        </is>
      </c>
      <c r="J1821" t="inlineStr">
        <is>
          <t>0.01</t>
        </is>
      </c>
      <c r="K1821" t="inlineStr">
        <is>
          <t>🔥低粉爆款</t>
        </is>
      </c>
      <c r="L1821" t="inlineStr">
        <is>
          <t>玩具森友会的店</t>
        </is>
      </c>
      <c r="M1821">
        <v>3581</v>
      </c>
      <c r="N1821">
        <v>4.72</v>
      </c>
      <c r="O1821">
        <v>25000</v>
      </c>
      <c r="P1821" t="inlineStr">
        <is>
          <t>696da72f26bf6e0001378252</t>
        </is>
      </c>
      <c r="Q1821" t="inlineStr">
        <is>
          <t>🚫重复</t>
        </is>
      </c>
      <c r="R1821" t="inlineStr">
        <is>
          <t>14周</t>
        </is>
      </c>
      <c r="S1821" t="inlineStr">
        <is>
          <t>4.47</t>
        </is>
      </c>
      <c r="T1821" t="inlineStr">
        <is>
          <t>家居生活</t>
        </is>
      </c>
      <c r="U1821" t="inlineStr">
        <is>
          <t>家具家装</t>
        </is>
      </c>
      <c r="V1821" s="3">
        <v>46112.78107638889</v>
      </c>
      <c r="W1821" t="inlineStr">
        <is>
          <t>2026-Q1</t>
        </is>
      </c>
    </row>
    <row r="1822" ht="25.5" customHeight="1">
      <c r="A1822" t="inlineStr">
        <is>
          <t>动漫吧唧豆25mm徽章胶囊迷你胸针超小拇指盲盒盲抽挂件</t>
        </is>
      </c>
      <c r="B1822" t="inlineStr">
        <is>
          <t>recvfqmLqZZPQd.jpg</t>
        </is>
      </c>
      <c r="C1822" s="2" t="str">
        <f>=HYPERLINK("https://xhslink.com/m/5631GQqFAJq", "https://xhslink.com/m/5631GQqFAJq")</f>
        <v>https://xhslink.com/m/5631GQqFAJq</v>
      </c>
      <c r="D1822"/>
      <c r="E1822">
        <v>2249</v>
      </c>
      <c r="F1822">
        <v>8.89</v>
      </c>
      <c r="G1822">
        <v>7.82</v>
      </c>
      <c r="H1822">
        <v>200</v>
      </c>
      <c r="I1822" t="inlineStr">
        <is>
          <t>盲盒</t>
        </is>
      </c>
      <c r="J1822" t="inlineStr">
        <is>
          <t>0.09</t>
        </is>
      </c>
      <c r="K1822"/>
      <c r="L1822" t="inlineStr">
        <is>
          <t>娇小姐宝藏小屋的店</t>
        </is>
      </c>
      <c r="M1822">
        <v>31000</v>
      </c>
      <c r="N1822">
        <v>4.34</v>
      </c>
      <c r="O1822">
        <v>13000</v>
      </c>
      <c r="P1822" t="inlineStr">
        <is>
          <t>68fc35aafe39ac001545d57c</t>
        </is>
      </c>
      <c r="Q1822"/>
      <c r="R1822" t="inlineStr">
        <is>
          <t>14周</t>
        </is>
      </c>
      <c r="S1822" t="inlineStr">
        <is>
          <t>0.07</t>
        </is>
      </c>
      <c r="T1822" t="inlineStr">
        <is>
          <t>服饰穿搭</t>
        </is>
      </c>
      <c r="U1822" t="inlineStr">
        <is>
          <t>配饰</t>
        </is>
      </c>
      <c r="V1822" s="3">
        <v>46112.78107638889</v>
      </c>
      <c r="W1822" t="inlineStr">
        <is>
          <t>2026-Q1</t>
        </is>
      </c>
    </row>
    <row r="1823" ht="25.5" customHeight="1">
      <c r="A1823" t="inlineStr">
        <is>
          <t>韩系新款条纹双面单肩包可爱印花字母帆布包大容量简约字母通勤包</t>
        </is>
      </c>
      <c r="B1823" t="inlineStr">
        <is>
          <t>recvfqmLqZ6lgO.jpg</t>
        </is>
      </c>
      <c r="C1823" s="2" t="str">
        <f>=HYPERLINK("https://xhslink.com/m/6PdiZimCtNz", "https://xhslink.com/m/6PdiZimCtNz")</f>
        <v>https://xhslink.com/m/6PdiZimCtNz</v>
      </c>
      <c r="D1823"/>
      <c r="E1823">
        <v>62000</v>
      </c>
      <c r="F1823">
        <v>45.9</v>
      </c>
      <c r="G1823">
        <v>18.9</v>
      </c>
      <c r="H1823">
        <v>200</v>
      </c>
      <c r="I1823" t="inlineStr">
        <is>
          <t>韩系包包</t>
        </is>
      </c>
      <c r="J1823" t="inlineStr">
        <is>
          <t>0.00</t>
        </is>
      </c>
      <c r="K1823" t="inlineStr">
        <is>
          <t>🔥低粉爆款</t>
        </is>
      </c>
      <c r="L1823" t="inlineStr">
        <is>
          <t>呆呆肉团儿的店</t>
        </is>
      </c>
      <c r="M1823">
        <v>10000</v>
      </c>
      <c r="N1823">
        <v>4.45</v>
      </c>
      <c r="O1823">
        <v>218000</v>
      </c>
      <c r="P1823" t="inlineStr">
        <is>
          <t>6829e5d9a687560001e67dfc</t>
        </is>
      </c>
      <c r="Q1823" t="inlineStr">
        <is>
          <t>🚫重复</t>
        </is>
      </c>
      <c r="R1823" t="inlineStr">
        <is>
          <t>14周</t>
        </is>
      </c>
      <c r="S1823" t="inlineStr">
        <is>
          <t>6.20</t>
        </is>
      </c>
      <c r="T1823" t="inlineStr">
        <is>
          <t>服饰穿搭</t>
        </is>
      </c>
      <c r="U1823" t="inlineStr">
        <is>
          <t>鞋靴箱包</t>
        </is>
      </c>
      <c r="V1823" s="3">
        <v>46112.78107638889</v>
      </c>
      <c r="W1823" t="inlineStr">
        <is>
          <t>2026-Q1</t>
        </is>
      </c>
    </row>
    <row r="1824" ht="25.5" customHeight="1">
      <c r="A1824" t="inlineStr">
        <is>
          <t>四季通用敞口简约风锁扣手提包便当包托特包日式韩版卡通</t>
        </is>
      </c>
      <c r="B1824" t="inlineStr">
        <is>
          <t>recvfqmLqZu2UH.jpg</t>
        </is>
      </c>
      <c r="C1824" s="2" t="str">
        <f>=HYPERLINK("https://xhslink.com/m/JF699kZEE5", "https://xhslink.com/m/JF699kZEE5")</f>
        <v>https://xhslink.com/m/JF699kZEE5</v>
      </c>
      <c r="D1824"/>
      <c r="E1824">
        <v>3598</v>
      </c>
      <c r="F1824">
        <v>15.9</v>
      </c>
      <c r="G1824"/>
      <c r="H1824">
        <v>200</v>
      </c>
      <c r="I1824" t="inlineStr">
        <is>
          <t>韩系包包</t>
        </is>
      </c>
      <c r="J1824" t="inlineStr">
        <is>
          <t>0.06</t>
        </is>
      </c>
      <c r="K1824"/>
      <c r="L1824" t="inlineStr">
        <is>
          <t>舒媛SHUYUAN的店</t>
        </is>
      </c>
      <c r="M1824">
        <v>2018</v>
      </c>
      <c r="N1824">
        <v>4.4</v>
      </c>
      <c r="O1824">
        <v>4923</v>
      </c>
      <c r="P1824" t="inlineStr">
        <is>
          <t>69a19ea79b2f2f00156ae8d4</t>
        </is>
      </c>
      <c r="Q1824"/>
      <c r="R1824" t="inlineStr">
        <is>
          <t>14周</t>
        </is>
      </c>
      <c r="S1824" t="inlineStr">
        <is>
          <t>1.78</t>
        </is>
      </c>
      <c r="T1824" t="inlineStr">
        <is>
          <t>服饰穿搭</t>
        </is>
      </c>
      <c r="U1824" t="inlineStr">
        <is>
          <t>鞋靴箱包</t>
        </is>
      </c>
      <c r="V1824" s="3">
        <v>46112.78107638889</v>
      </c>
      <c r="W1824" t="inlineStr">
        <is>
          <t>2026-Q1</t>
        </is>
      </c>
    </row>
    <row r="1825" ht="25.5" customHeight="1">
      <c r="A1825" t="inlineStr">
        <is>
          <t>刺猬自制•韩系慵懒风尼龙斜挎包饺子包女2025夏季新款轻便百搭</t>
        </is>
      </c>
      <c r="B1825" t="inlineStr">
        <is>
          <t>recvfqmLqZ12mv.jpg</t>
        </is>
      </c>
      <c r="C1825" s="2" t="str">
        <f>=HYPERLINK("https://xhslink.com/m/2hJJURWTlvp", "https://xhslink.com/m/2hJJURWTlvp")</f>
        <v>https://xhslink.com/m/2hJJURWTlvp</v>
      </c>
      <c r="D1825"/>
      <c r="E1825">
        <v>6997</v>
      </c>
      <c r="F1825">
        <v>38.9</v>
      </c>
      <c r="G1825"/>
      <c r="H1825">
        <v>200</v>
      </c>
      <c r="I1825" t="inlineStr">
        <is>
          <t>韩系包包</t>
        </is>
      </c>
      <c r="J1825" t="inlineStr">
        <is>
          <t>0.03</t>
        </is>
      </c>
      <c r="K1825"/>
      <c r="L1825" t="inlineStr">
        <is>
          <t>刺猬宝藏屋的店</t>
        </is>
      </c>
      <c r="M1825">
        <v>14000</v>
      </c>
      <c r="N1825">
        <v>4.61</v>
      </c>
      <c r="O1825">
        <v>111000</v>
      </c>
      <c r="P1825" t="inlineStr">
        <is>
          <t>68bd1d4d0d3d62000146e1b4</t>
        </is>
      </c>
      <c r="Q1825" t="inlineStr">
        <is>
          <t>🚫重复</t>
        </is>
      </c>
      <c r="R1825" t="inlineStr">
        <is>
          <t>14周</t>
        </is>
      </c>
      <c r="S1825" t="inlineStr">
        <is>
          <t>0.50</t>
        </is>
      </c>
      <c r="T1825" t="inlineStr">
        <is>
          <t>服饰穿搭</t>
        </is>
      </c>
      <c r="U1825" t="inlineStr">
        <is>
          <t>鞋靴箱包</t>
        </is>
      </c>
      <c r="V1825" s="3">
        <v>46112.78107638889</v>
      </c>
      <c r="W1825" t="inlineStr">
        <is>
          <t>2026-Q1</t>
        </is>
      </c>
    </row>
    <row r="1826" ht="25.5" customHeight="1">
      <c r="A1826" t="inlineStr">
        <is>
          <t>韩系ins风波点手提包女学生可爱卡通装饰单肩包痛包</t>
        </is>
      </c>
      <c r="B1826" t="inlineStr">
        <is>
          <t>recvfqmLqZ3DOS.jpg</t>
        </is>
      </c>
      <c r="C1826" s="2" t="str">
        <f>=HYPERLINK("https://xhslink.com/m/6LjYzIoRGYS", "https://xhslink.com/m/6LjYzIoRGYS")</f>
        <v>https://xhslink.com/m/6LjYzIoRGYS</v>
      </c>
      <c r="D1826"/>
      <c r="E1826">
        <v>2843</v>
      </c>
      <c r="F1826">
        <v>22.9</v>
      </c>
      <c r="G1826"/>
      <c r="H1826">
        <v>200</v>
      </c>
      <c r="I1826" t="inlineStr">
        <is>
          <t>韩系包包</t>
        </is>
      </c>
      <c r="J1826" t="inlineStr">
        <is>
          <t>0.07</t>
        </is>
      </c>
      <c r="K1826"/>
      <c r="L1826" t="inlineStr">
        <is>
          <t>转运顺顺子的店</t>
        </is>
      </c>
      <c r="M1826">
        <v>1360</v>
      </c>
      <c r="N1826">
        <v>4.45</v>
      </c>
      <c r="O1826">
        <v>27000</v>
      </c>
      <c r="P1826" t="inlineStr">
        <is>
          <t>69490780f489e40001278f9e</t>
        </is>
      </c>
      <c r="Q1826"/>
      <c r="R1826" t="inlineStr">
        <is>
          <t>14周</t>
        </is>
      </c>
      <c r="S1826" t="inlineStr">
        <is>
          <t>2.09</t>
        </is>
      </c>
      <c r="T1826" t="inlineStr">
        <is>
          <t>服饰穿搭</t>
        </is>
      </c>
      <c r="U1826" t="inlineStr">
        <is>
          <t>鞋靴箱包</t>
        </is>
      </c>
      <c r="V1826" s="3">
        <v>46112.78107638889</v>
      </c>
      <c r="W1826" t="inlineStr">
        <is>
          <t>2026-Q1</t>
        </is>
      </c>
    </row>
    <row r="1827" ht="25.5" customHeight="1">
      <c r="A1827" t="inlineStr">
        <is>
          <t>FFDolly原创手作ins韩系单肩痛包双肩包芭蕾风大容量星星背包少女</t>
        </is>
      </c>
      <c r="B1827" t="inlineStr">
        <is>
          <t>recvfqmLqZ5eCj.jpg</t>
        </is>
      </c>
      <c r="C1827" s="2" t="str">
        <f>=HYPERLINK("https://xhslink.com/m/SK03BmTYj1", "https://xhslink.com/m/SK03BmTYj1")</f>
        <v>https://xhslink.com/m/SK03BmTYj1</v>
      </c>
      <c r="D1827"/>
      <c r="E1827">
        <v>1139</v>
      </c>
      <c r="F1827">
        <v>162</v>
      </c>
      <c r="G1827"/>
      <c r="H1827">
        <v>200</v>
      </c>
      <c r="I1827" t="inlineStr">
        <is>
          <t>韩系包包</t>
        </is>
      </c>
      <c r="J1827" t="inlineStr">
        <is>
          <t>0.18</t>
        </is>
      </c>
      <c r="K1827"/>
      <c r="L1827" t="inlineStr">
        <is>
          <t>FFDolly的店</t>
        </is>
      </c>
      <c r="M1827">
        <v>4877</v>
      </c>
      <c r="N1827">
        <v>4.56</v>
      </c>
      <c r="O1827">
        <v>6863</v>
      </c>
      <c r="P1827" t="inlineStr">
        <is>
          <t>6957d32db1e6660001f41bd1</t>
        </is>
      </c>
      <c r="Q1827" t="inlineStr">
        <is>
          <t>🚫重复</t>
        </is>
      </c>
      <c r="R1827" t="inlineStr">
        <is>
          <t>14周</t>
        </is>
      </c>
      <c r="S1827" t="inlineStr">
        <is>
          <t>0.23</t>
        </is>
      </c>
      <c r="T1827" t="inlineStr">
        <is>
          <t>服饰穿搭</t>
        </is>
      </c>
      <c r="U1827" t="inlineStr">
        <is>
          <t>鞋靴箱包</t>
        </is>
      </c>
      <c r="V1827" s="3">
        <v>46112.78107638889</v>
      </c>
      <c r="W1827" t="inlineStr">
        <is>
          <t>2026-Q1</t>
        </is>
      </c>
    </row>
    <row r="1828" ht="25.5" customHeight="1">
      <c r="A1828" t="inlineStr">
        <is>
          <t>轻便尼龙百搭休闲双肩包韩版学生书包紫色旅行包14寸电脑背包</t>
        </is>
      </c>
      <c r="B1828" t="inlineStr">
        <is>
          <t>recvfqmLqZD307.jpg</t>
        </is>
      </c>
      <c r="C1828" s="2" t="str">
        <f>=HYPERLINK("https://xhslink.com/m/4dc0OEfqdLk", "https://xhslink.com/m/4dc0OEfqdLk")</f>
        <v>https://xhslink.com/m/4dc0OEfqdLk</v>
      </c>
      <c r="D1828"/>
      <c r="E1828">
        <v>694</v>
      </c>
      <c r="F1828">
        <v>89</v>
      </c>
      <c r="G1828">
        <v>69</v>
      </c>
      <c r="H1828">
        <v>200</v>
      </c>
      <c r="I1828" t="inlineStr">
        <is>
          <t>韩系包包</t>
        </is>
      </c>
      <c r="J1828" t="inlineStr">
        <is>
          <t>0.29</t>
        </is>
      </c>
      <c r="K1828"/>
      <c r="L1828" t="inlineStr">
        <is>
          <t>元气能量包的店</t>
        </is>
      </c>
      <c r="M1828">
        <v>390</v>
      </c>
      <c r="N1828">
        <v>4.52</v>
      </c>
      <c r="O1828">
        <v>1421</v>
      </c>
      <c r="P1828" t="inlineStr">
        <is>
          <t>692d2cad956243000188db90</t>
        </is>
      </c>
      <c r="Q1828" t="inlineStr">
        <is>
          <t>🚫重复</t>
        </is>
      </c>
      <c r="R1828" t="inlineStr">
        <is>
          <t>14周</t>
        </is>
      </c>
      <c r="S1828" t="inlineStr">
        <is>
          <t>1.78</t>
        </is>
      </c>
      <c r="T1828" t="inlineStr">
        <is>
          <t>服饰穿搭</t>
        </is>
      </c>
      <c r="U1828" t="inlineStr">
        <is>
          <t>鞋靴箱包</t>
        </is>
      </c>
      <c r="V1828" s="3">
        <v>46112.78107638889</v>
      </c>
      <c r="W1828" t="inlineStr">
        <is>
          <t>2026-Q1</t>
        </is>
      </c>
    </row>
    <row r="1829" ht="25.5" customHeight="1">
      <c r="A1829" t="inlineStr">
        <is>
          <t>张张包秋冬编织纹理硬底单肩斜挎包</t>
        </is>
      </c>
      <c r="B1829" t="inlineStr">
        <is>
          <t>recvfqmLqZVsAR.jpg</t>
        </is>
      </c>
      <c r="C1829" s="2" t="str">
        <f>=HYPERLINK("https://xhslink.com/m/1XYjm2tBXkb", "https://xhslink.com/m/1XYjm2tBXkb")</f>
        <v>https://xhslink.com/m/1XYjm2tBXkb</v>
      </c>
      <c r="D1829"/>
      <c r="E1829">
        <v>5358</v>
      </c>
      <c r="F1829">
        <v>39.9</v>
      </c>
      <c r="G1829"/>
      <c r="H1829">
        <v>200</v>
      </c>
      <c r="I1829" t="inlineStr">
        <is>
          <t>小斜挎包</t>
        </is>
      </c>
      <c r="J1829" t="inlineStr">
        <is>
          <t>0.04</t>
        </is>
      </c>
      <c r="K1829"/>
      <c r="L1829" t="inlineStr">
        <is>
          <t>来个张张包的店</t>
        </is>
      </c>
      <c r="M1829">
        <v>137000</v>
      </c>
      <c r="N1829">
        <v>4.37</v>
      </c>
      <c r="O1829">
        <v>134000</v>
      </c>
      <c r="P1829" t="inlineStr">
        <is>
          <t>6908a116dcedc7000138f26f</t>
        </is>
      </c>
      <c r="Q1829" t="inlineStr">
        <is>
          <t>🚫重复</t>
        </is>
      </c>
      <c r="R1829" t="inlineStr">
        <is>
          <t>14周</t>
        </is>
      </c>
      <c r="S1829" t="inlineStr">
        <is>
          <t>0.04</t>
        </is>
      </c>
      <c r="T1829" t="inlineStr">
        <is>
          <t>服饰穿搭</t>
        </is>
      </c>
      <c r="U1829" t="inlineStr">
        <is>
          <t>鞋靴箱包</t>
        </is>
      </c>
      <c r="V1829" s="3">
        <v>46112.78107638889</v>
      </c>
      <c r="W1829" t="inlineStr">
        <is>
          <t>2026-Q1</t>
        </is>
      </c>
    </row>
    <row r="1830" ht="25.5" customHeight="1">
      <c r="A1830" t="inlineStr">
        <is>
          <t>梅肯斯姆 · 创意桌面摆件微颗粒积木房车玩具拼装咖啡鲜花汉堡礼物</t>
        </is>
      </c>
      <c r="B1830" t="inlineStr">
        <is>
          <t>recvfqmLqZQaoE.jpg</t>
        </is>
      </c>
      <c r="C1830" s="2" t="str">
        <f>=HYPERLINK("https://xhslink.com/m/7lvK6yh8igL", "https://xhslink.com/m/7lvK6yh8igL")</f>
        <v>https://xhslink.com/m/7lvK6yh8igL</v>
      </c>
      <c r="D1830"/>
      <c r="E1830">
        <v>9138</v>
      </c>
      <c r="F1830">
        <v>30.8</v>
      </c>
      <c r="G1830">
        <v>9.8</v>
      </c>
      <c r="H1830">
        <v>200</v>
      </c>
      <c r="I1830" t="inlineStr">
        <is>
          <t>积木拼图</t>
        </is>
      </c>
      <c r="J1830" t="inlineStr">
        <is>
          <t>0.02</t>
        </is>
      </c>
      <c r="K1830" t="inlineStr">
        <is>
          <t>🔥低粉爆款</t>
        </is>
      </c>
      <c r="L1830" t="inlineStr">
        <is>
          <t>砌梦小时光的店</t>
        </is>
      </c>
      <c r="M1830">
        <v>316</v>
      </c>
      <c r="N1830">
        <v>4.11</v>
      </c>
      <c r="O1830">
        <v>9385</v>
      </c>
      <c r="P1830" t="inlineStr">
        <is>
          <t>69b2ea455e5f050001f61cd2</t>
        </is>
      </c>
      <c r="Q1830"/>
      <c r="R1830" t="inlineStr">
        <is>
          <t>14周</t>
        </is>
      </c>
      <c r="S1830" t="inlineStr">
        <is>
          <t>28.92</t>
        </is>
      </c>
      <c r="T1830" t="inlineStr">
        <is>
          <t>母婴亲子</t>
        </is>
      </c>
      <c r="U1830" t="inlineStr">
        <is>
          <t>玩具早教</t>
        </is>
      </c>
      <c r="V1830" s="3">
        <v>46112.78107638889</v>
      </c>
      <c r="W1830" t="inlineStr">
        <is>
          <t>2026-Q1</t>
        </is>
      </c>
    </row>
    <row r="1831" ht="25.5" customHeight="1">
      <c r="A1831" t="inlineStr">
        <is>
          <t>BELI贝利美甲专业死皮剪10刀口超薄刃口适合新手修剪死皮</t>
        </is>
      </c>
      <c r="B1831" t="inlineStr">
        <is>
          <t>recvfqmLqZihAs.jpg</t>
        </is>
      </c>
      <c r="C1831" s="2" t="str">
        <f>=HYPERLINK("https://xhslink.com/m/A89a4xrQWll", "https://xhslink.com/m/A89a4xrQWll")</f>
        <v>https://xhslink.com/m/A89a4xrQWll</v>
      </c>
      <c r="D1831"/>
      <c r="E1831">
        <v>57000</v>
      </c>
      <c r="F1831">
        <v>48</v>
      </c>
      <c r="G1831">
        <v>38</v>
      </c>
      <c r="H1831">
        <v>200</v>
      </c>
      <c r="I1831" t="inlineStr">
        <is>
          <t>美甲</t>
        </is>
      </c>
      <c r="J1831" t="inlineStr">
        <is>
          <t>0.00</t>
        </is>
      </c>
      <c r="K1831" t="inlineStr">
        <is>
          <t>🔥低粉爆款</t>
        </is>
      </c>
      <c r="L1831" t="inlineStr">
        <is>
          <t>BELI贝利的店</t>
        </is>
      </c>
      <c r="M1831">
        <v>12000</v>
      </c>
      <c r="N1831">
        <v>4.88</v>
      </c>
      <c r="O1831">
        <v>72000</v>
      </c>
      <c r="P1831" t="inlineStr">
        <is>
          <t>6746913c1db1420001833b64</t>
        </is>
      </c>
      <c r="Q1831"/>
      <c r="R1831" t="inlineStr">
        <is>
          <t>14周</t>
        </is>
      </c>
      <c r="S1831" t="inlineStr">
        <is>
          <t>4.75</t>
        </is>
      </c>
      <c r="T1831" t="inlineStr">
        <is>
          <t>美妆个护</t>
        </is>
      </c>
      <c r="U1831" t="inlineStr">
        <is>
          <t>护肤彩妆</t>
        </is>
      </c>
      <c r="V1831" s="3">
        <v>46112.78107638889</v>
      </c>
      <c r="W1831" t="inlineStr">
        <is>
          <t>2026-Q1</t>
        </is>
      </c>
    </row>
    <row r="1832" ht="25.5" customHeight="1">
      <c r="A1832" t="inlineStr">
        <is>
          <t>心愿先生 · 新升级小胖紫固态胶免打磨超粘30g大容量穿戴甲美甲固态贴片胶</t>
        </is>
      </c>
      <c r="B1832" t="inlineStr">
        <is>
          <t>recvfqmLqZxyIt.jpg</t>
        </is>
      </c>
      <c r="C1832" s="2" t="str">
        <f>=HYPERLINK("https://xhslink.com/m/A887pG2JcQk", "https://xhslink.com/m/A887pG2JcQk")</f>
        <v>https://xhslink.com/m/A887pG2JcQk</v>
      </c>
      <c r="D1832"/>
      <c r="E1832">
        <v>73000</v>
      </c>
      <c r="F1832">
        <v>129.9</v>
      </c>
      <c r="G1832"/>
      <c r="H1832">
        <v>200</v>
      </c>
      <c r="I1832" t="inlineStr">
        <is>
          <t>美甲</t>
        </is>
      </c>
      <c r="J1832" t="inlineStr">
        <is>
          <t>0.00</t>
        </is>
      </c>
      <c r="K1832"/>
      <c r="L1832" t="inlineStr">
        <is>
          <t>MR.WISH心愿先生有鲤美妆工具专卖店</t>
        </is>
      </c>
      <c r="M1832">
        <v>103000</v>
      </c>
      <c r="N1832">
        <v>4.39</v>
      </c>
      <c r="O1832">
        <v>306000</v>
      </c>
      <c r="P1832" t="inlineStr">
        <is>
          <t>697333b3621e6f0001c0c334</t>
        </is>
      </c>
      <c r="Q1832" t="inlineStr">
        <is>
          <t>🚫重复</t>
        </is>
      </c>
      <c r="R1832" t="inlineStr">
        <is>
          <t>14周</t>
        </is>
      </c>
      <c r="S1832" t="inlineStr">
        <is>
          <t>0.71</t>
        </is>
      </c>
      <c r="T1832" t="inlineStr">
        <is>
          <t>美妆个护</t>
        </is>
      </c>
      <c r="U1832" t="inlineStr">
        <is>
          <t>护肤彩妆</t>
        </is>
      </c>
      <c r="V1832" s="3">
        <v>46112.78107638889</v>
      </c>
      <c r="W1832" t="inlineStr">
        <is>
          <t>2026-Q1</t>
        </is>
      </c>
    </row>
    <row r="1833" ht="25.5" customHeight="1">
      <c r="A1833" t="inlineStr">
        <is>
          <t>SOS · 德国进口专用指甲修补液渗透剂裂痕修复笔透明加固美甲手脚适用</t>
        </is>
      </c>
      <c r="B1833" t="inlineStr">
        <is>
          <t>recvfqmLqZwScL.jpg</t>
        </is>
      </c>
      <c r="C1833" s="2" t="str">
        <f>=HYPERLINK("https://xhslink.com/m/44hOIyyFuqH", "https://xhslink.com/m/44hOIyyFuqH")</f>
        <v>https://xhslink.com/m/44hOIyyFuqH</v>
      </c>
      <c r="D1833"/>
      <c r="E1833">
        <v>32000</v>
      </c>
      <c r="F1833">
        <v>209</v>
      </c>
      <c r="G1833"/>
      <c r="H1833">
        <v>200</v>
      </c>
      <c r="I1833" t="inlineStr">
        <is>
          <t>美甲</t>
        </is>
      </c>
      <c r="J1833" t="inlineStr">
        <is>
          <t>0.01</t>
        </is>
      </c>
      <c r="K1833" t="inlineStr">
        <is>
          <t>🔥低粉爆款</t>
        </is>
      </c>
      <c r="L1833" t="inlineStr">
        <is>
          <t>laboratory旗舰店</t>
        </is>
      </c>
      <c r="M1833">
        <v>2801</v>
      </c>
      <c r="N1833">
        <v>4.59</v>
      </c>
      <c r="O1833">
        <v>35000</v>
      </c>
      <c r="P1833" t="inlineStr">
        <is>
          <t>675bef4eb9eb75000104c315</t>
        </is>
      </c>
      <c r="Q1833"/>
      <c r="R1833" t="inlineStr">
        <is>
          <t>14周</t>
        </is>
      </c>
      <c r="S1833" t="inlineStr">
        <is>
          <t>11.42</t>
        </is>
      </c>
      <c r="T1833" t="inlineStr">
        <is>
          <t>美妆个护</t>
        </is>
      </c>
      <c r="U1833" t="inlineStr">
        <is>
          <t>护肤彩妆</t>
        </is>
      </c>
      <c r="V1833" s="3">
        <v>46112.78107638889</v>
      </c>
      <c r="W1833" t="inlineStr">
        <is>
          <t>2026-Q1</t>
        </is>
      </c>
    </row>
    <row r="1834" ht="25.5" customHeight="1">
      <c r="A1834" t="inlineStr">
        <is>
          <t>瓦露 · 【预售30】陶瓷墩墩碗食品级燕麦碗硅胶密封储存便当辅食便携锁鲜</t>
        </is>
      </c>
      <c r="B1834" t="inlineStr">
        <is>
          <t>recvfvVmDwaNit.jpg</t>
        </is>
      </c>
      <c r="C1834" s="2" t="str">
        <f>=HYPERLINK("https://xhslink.com/m/1s3AK3OK02", "https://xhslink.com/m/1s3AK3OK02")</f>
        <v>https://xhslink.com/m/1s3AK3OK02</v>
      </c>
      <c r="D1834"/>
      <c r="E1834">
        <v>2303</v>
      </c>
      <c r="F1834">
        <v>69.9</v>
      </c>
      <c r="G1834"/>
      <c r="H1834">
        <v>200</v>
      </c>
      <c r="I1834" t="inlineStr">
        <is>
          <t>漂亮餐具</t>
        </is>
      </c>
      <c r="J1834" t="inlineStr">
        <is>
          <t>0.09</t>
        </is>
      </c>
      <c r="K1834"/>
      <c r="L1834" t="inlineStr">
        <is>
          <t>VARLU瓦露旗舰店</t>
        </is>
      </c>
      <c r="M1834">
        <v>12000</v>
      </c>
      <c r="N1834">
        <v>4.74</v>
      </c>
      <c r="O1834">
        <v>41000</v>
      </c>
      <c r="P1834" t="inlineStr">
        <is>
          <t>686f63e93287950001318c1c</t>
        </is>
      </c>
      <c r="Q1834" t="inlineStr">
        <is>
          <t>🚫重复</t>
        </is>
      </c>
      <c r="R1834" t="inlineStr">
        <is>
          <t>14周</t>
        </is>
      </c>
      <c r="S1834" t="inlineStr">
        <is>
          <t>0.19</t>
        </is>
      </c>
      <c r="T1834" t="inlineStr">
        <is>
          <t>家居生活</t>
        </is>
      </c>
      <c r="U1834" t="inlineStr">
        <is>
          <t>厨房餐饮</t>
        </is>
      </c>
      <c r="V1834" s="3">
        <v>46113.55826388889</v>
      </c>
      <c r="W1834" t="inlineStr">
        <is>
          <t>2026-Q2</t>
        </is>
      </c>
    </row>
    <row r="1835" ht="25.5" customHeight="1">
      <c r="A1835" t="inlineStr">
        <is>
          <t>稀有奶油向日葵 温柔又治愈</t>
        </is>
      </c>
      <c r="B1835" t="inlineStr">
        <is>
          <t>recvfvVmDwu6eW.jpg</t>
        </is>
      </c>
      <c r="C1835" s="2" t="str">
        <f>=HYPERLINK("https://xhslink.com/m/AGcj2MfwZes", "https://xhslink.com/m/AGcj2MfwZes")</f>
        <v>https://xhslink.com/m/AGcj2MfwZes</v>
      </c>
      <c r="D1835"/>
      <c r="E1835">
        <v>23000</v>
      </c>
      <c r="F1835">
        <v>29.9</v>
      </c>
      <c r="G1835">
        <v>19.9</v>
      </c>
      <c r="H1835">
        <v>200</v>
      </c>
      <c r="I1835" t="inlineStr">
        <is>
          <t>鲜花</t>
        </is>
      </c>
      <c r="J1835" t="inlineStr">
        <is>
          <t>0.01</t>
        </is>
      </c>
      <c r="K1835"/>
      <c r="L1835" t="inlineStr">
        <is>
          <t>云觅鲜花的店</t>
        </is>
      </c>
      <c r="M1835">
        <v>476000</v>
      </c>
      <c r="N1835">
        <v>4.4</v>
      </c>
      <c r="O1835">
        <v>1640000</v>
      </c>
      <c r="P1835" t="inlineStr">
        <is>
          <t>69ba21fe7c9c8f000193feff</t>
        </is>
      </c>
      <c r="Q1835" t="inlineStr">
        <is>
          <t>🚫重复</t>
        </is>
      </c>
      <c r="R1835" t="inlineStr">
        <is>
          <t>14周</t>
        </is>
      </c>
      <c r="S1835" t="inlineStr">
        <is>
          <t>0.05</t>
        </is>
      </c>
      <c r="T1835" t="inlineStr">
        <is>
          <t>家居生活</t>
        </is>
      </c>
      <c r="U1835" t="inlineStr">
        <is>
          <t>家具家装</t>
        </is>
      </c>
      <c r="V1835" s="3">
        <v>46113.55826388889</v>
      </c>
      <c r="W1835" t="inlineStr">
        <is>
          <t>2026-Q2</t>
        </is>
      </c>
    </row>
    <row r="1836" ht="25.5" customHeight="1">
      <c r="A1836" t="inlineStr">
        <is>
          <t>【矮牵牛】10cm盆栽苗（请查看详情页再下单）全店满39包邮</t>
        </is>
      </c>
      <c r="B1836" t="inlineStr">
        <is>
          <t>recvfvVmDwmhlB.jpg</t>
        </is>
      </c>
      <c r="C1836" s="2" t="str">
        <f>=HYPERLINK("https://xhslink.com/m/3o371SZRKlS", "https://xhslink.com/m/3o371SZRKlS")</f>
        <v>https://xhslink.com/m/3o371SZRKlS</v>
      </c>
      <c r="D1836"/>
      <c r="E1836">
        <v>24000</v>
      </c>
      <c r="F1836">
        <v>7.9</v>
      </c>
      <c r="G1836"/>
      <c r="H1836">
        <v>200</v>
      </c>
      <c r="I1836" t="inlineStr">
        <is>
          <t>鲜花</t>
        </is>
      </c>
      <c r="J1836" t="inlineStr">
        <is>
          <t>0.01</t>
        </is>
      </c>
      <c r="K1836"/>
      <c r="L1836" t="inlineStr">
        <is>
          <t>深夜种花的男子-48小时内发货的店</t>
        </is>
      </c>
      <c r="M1836">
        <v>28000</v>
      </c>
      <c r="N1836">
        <v>4.63</v>
      </c>
      <c r="O1836">
        <v>165000</v>
      </c>
      <c r="P1836" t="inlineStr">
        <is>
          <t>67f76caa2a334f0001d2e979</t>
        </is>
      </c>
      <c r="Q1836" t="inlineStr">
        <is>
          <t>🚫重复</t>
        </is>
      </c>
      <c r="R1836" t="inlineStr">
        <is>
          <t>14周</t>
        </is>
      </c>
      <c r="S1836" t="inlineStr">
        <is>
          <t>0.86</t>
        </is>
      </c>
      <c r="T1836" t="inlineStr">
        <is>
          <t>家居生活</t>
        </is>
      </c>
      <c r="U1836" t="inlineStr">
        <is>
          <t>家具家装</t>
        </is>
      </c>
      <c r="V1836" s="3">
        <v>46113.55826388889</v>
      </c>
      <c r="W1836" t="inlineStr">
        <is>
          <t>2026-Q2</t>
        </is>
      </c>
    </row>
    <row r="1837" ht="25.5" customHeight="1">
      <c r="A1837" t="inlineStr">
        <is>
          <t>黄色抹布厨房清洁抹布洗碗布超细纤维加厚吸水擦车擦玻璃擦地板</t>
        </is>
      </c>
      <c r="B1837" t="inlineStr">
        <is>
          <t>recvfvVmDwmGzr.jpg</t>
        </is>
      </c>
      <c r="C1837" s="2" t="str">
        <f>=HYPERLINK("https://xhslink.com/m/35qNAw42vIG", "https://xhslink.com/m/35qNAw42vIG")</f>
        <v>https://xhslink.com/m/35qNAw42vIG</v>
      </c>
      <c r="D1837"/>
      <c r="E1837">
        <v>27000</v>
      </c>
      <c r="F1837">
        <v>19.9</v>
      </c>
      <c r="G1837">
        <v>9.9</v>
      </c>
      <c r="H1837">
        <v>200</v>
      </c>
      <c r="I1837" t="inlineStr">
        <is>
          <t>厨房用品</t>
        </is>
      </c>
      <c r="J1837" t="inlineStr">
        <is>
          <t>0.01</t>
        </is>
      </c>
      <c r="K1837" t="inlineStr">
        <is>
          <t>🔥低粉爆款</t>
        </is>
      </c>
      <c r="L1837" t="inlineStr">
        <is>
          <t>佳佳宝藏铺的店</t>
        </is>
      </c>
      <c r="M1837">
        <v>575</v>
      </c>
      <c r="N1837">
        <v>4.52</v>
      </c>
      <c r="O1837">
        <v>27000</v>
      </c>
      <c r="P1837" t="inlineStr">
        <is>
          <t>68e1e6214290ae00151b8e39</t>
        </is>
      </c>
      <c r="Q1837"/>
      <c r="R1837" t="inlineStr">
        <is>
          <t>14周</t>
        </is>
      </c>
      <c r="S1837" t="inlineStr">
        <is>
          <t>46.96</t>
        </is>
      </c>
      <c r="T1837" t="inlineStr">
        <is>
          <t>家居生活</t>
        </is>
      </c>
      <c r="U1837" t="inlineStr">
        <is>
          <t>厨房餐饮</t>
        </is>
      </c>
      <c r="V1837" s="3">
        <v>46113.55826388889</v>
      </c>
      <c r="W1837" t="inlineStr">
        <is>
          <t>2026-Q2</t>
        </is>
      </c>
    </row>
    <row r="1838" ht="25.5" customHeight="1">
      <c r="A1838" t="inlineStr">
        <is>
          <t>SOCUS 海洋主义 · 小苏打酵素牙膏益生菌亮白去牙黄渍除臭异味持久留香清新口气推荐</t>
        </is>
      </c>
      <c r="B1838" t="inlineStr">
        <is>
          <t>recvfvVmDwzW3h.jpg</t>
        </is>
      </c>
      <c r="C1838" s="2" t="str">
        <f>=HYPERLINK("https://xhslink.com/m/JV4KyDy4HC", "https://xhslink.com/m/JV4KyDy4HC")</f>
        <v>https://xhslink.com/m/JV4KyDy4HC</v>
      </c>
      <c r="D1838"/>
      <c r="E1838">
        <v>39000</v>
      </c>
      <c r="F1838">
        <v>44.8</v>
      </c>
      <c r="G1838">
        <v>27.9</v>
      </c>
      <c r="H1838">
        <v>200</v>
      </c>
      <c r="I1838" t="inlineStr">
        <is>
          <t>口腔护理</t>
        </is>
      </c>
      <c r="J1838" t="inlineStr">
        <is>
          <t>0.01</t>
        </is>
      </c>
      <c r="K1838" t="inlineStr">
        <is>
          <t>🔥低粉爆款</t>
        </is>
      </c>
      <c r="L1838" t="inlineStr">
        <is>
          <t>海洋主义旗舰店</t>
        </is>
      </c>
      <c r="M1838">
        <v>5373</v>
      </c>
      <c r="N1838">
        <v>4.35</v>
      </c>
      <c r="O1838">
        <v>93000</v>
      </c>
      <c r="P1838" t="inlineStr">
        <is>
          <t>66499c2795742c00012a1426</t>
        </is>
      </c>
      <c r="Q1838"/>
      <c r="R1838" t="inlineStr">
        <is>
          <t>14周</t>
        </is>
      </c>
      <c r="S1838" t="inlineStr">
        <is>
          <t>7.26</t>
        </is>
      </c>
      <c r="T1838" t="inlineStr">
        <is>
          <t>美妆个护</t>
        </is>
      </c>
      <c r="U1838" t="inlineStr">
        <is>
          <t>个人护理</t>
        </is>
      </c>
      <c r="V1838" s="3">
        <v>46113.55826388889</v>
      </c>
      <c r="W1838" t="inlineStr">
        <is>
          <t>2026-Q2</t>
        </is>
      </c>
    </row>
    <row r="1839" ht="25.5" customHeight="1">
      <c r="A1839" t="inlineStr">
        <is>
          <t>BIOHEAL BOH · 韩国boh积雪草面霜喷雾 镇定舒缓 补水保湿 泛醇面霜喷雾</t>
        </is>
      </c>
      <c r="B1839" t="inlineStr">
        <is>
          <t>recvfvVmDwJAjQ.jpg</t>
        </is>
      </c>
      <c r="C1839" s="2" t="str">
        <f>=HYPERLINK("https://xhslink.com/m/87OfmUmHS8f", "https://xhslink.com/m/87OfmUmHS8f")</f>
        <v>https://xhslink.com/m/87OfmUmHS8f</v>
      </c>
      <c r="D1839"/>
      <c r="E1839">
        <v>24000</v>
      </c>
      <c r="F1839">
        <v>25</v>
      </c>
      <c r="G1839">
        <v>16</v>
      </c>
      <c r="H1839">
        <v>200</v>
      </c>
      <c r="I1839" t="inlineStr">
        <is>
          <t>身体护理</t>
        </is>
      </c>
      <c r="J1839" t="inlineStr">
        <is>
          <t>0.01</t>
        </is>
      </c>
      <c r="K1839"/>
      <c r="L1839" t="inlineStr">
        <is>
          <t>朴掌柜在韩国的店</t>
        </is>
      </c>
      <c r="M1839">
        <v>11000</v>
      </c>
      <c r="N1839">
        <v>4.51</v>
      </c>
      <c r="O1839">
        <v>69000</v>
      </c>
      <c r="P1839" t="inlineStr">
        <is>
          <t>68370cf09e365d00018c8bb6</t>
        </is>
      </c>
      <c r="Q1839"/>
      <c r="R1839" t="inlineStr">
        <is>
          <t>14周</t>
        </is>
      </c>
      <c r="S1839" t="inlineStr">
        <is>
          <t>2.18</t>
        </is>
      </c>
      <c r="T1839" t="inlineStr">
        <is>
          <t>美妆个护</t>
        </is>
      </c>
      <c r="U1839" t="inlineStr">
        <is>
          <t>护肤彩妆</t>
        </is>
      </c>
      <c r="V1839" s="3">
        <v>46113.55826388889</v>
      </c>
      <c r="W1839" t="inlineStr">
        <is>
          <t>2026-Q2</t>
        </is>
      </c>
    </row>
    <row r="1840" ht="25.5" customHeight="1">
      <c r="A1840" t="inlineStr">
        <is>
          <t>INTOYOU · 【SOOBIN定制色】气垫腮红轻拍好气色持久服帖易携带氛围色膨胀色</t>
        </is>
      </c>
      <c r="B1840" t="inlineStr">
        <is>
          <t>recvfvVmDwZVnM.jpg</t>
        </is>
      </c>
      <c r="C1840" s="2" t="str">
        <f>=HYPERLINK("https://xhslink.com/m/6YFZt7prKb9", "https://xhslink.com/m/6YFZt7prKb9")</f>
        <v>https://xhslink.com/m/6YFZt7prKb9</v>
      </c>
      <c r="D1840"/>
      <c r="E1840">
        <v>28000</v>
      </c>
      <c r="F1840">
        <v>120</v>
      </c>
      <c r="G1840">
        <v>78</v>
      </c>
      <c r="H1840">
        <v>200</v>
      </c>
      <c r="I1840" t="inlineStr">
        <is>
          <t>美护</t>
        </is>
      </c>
      <c r="J1840" t="inlineStr">
        <is>
          <t>0.01</t>
        </is>
      </c>
      <c r="K1840"/>
      <c r="L1840" t="inlineStr">
        <is>
          <t>INTO YOU心慕与你旗舰店</t>
        </is>
      </c>
      <c r="M1840">
        <v>276000</v>
      </c>
      <c r="N1840">
        <v>4.78</v>
      </c>
      <c r="O1840">
        <v>1441000</v>
      </c>
      <c r="P1840" t="inlineStr">
        <is>
          <t>69a7f622dd2f4400019fc140</t>
        </is>
      </c>
      <c r="Q1840" t="inlineStr">
        <is>
          <t>🚫重复</t>
        </is>
      </c>
      <c r="R1840" t="inlineStr">
        <is>
          <t>14周</t>
        </is>
      </c>
      <c r="S1840" t="inlineStr">
        <is>
          <t>0.10</t>
        </is>
      </c>
      <c r="T1840" t="inlineStr">
        <is>
          <t>美妆个护</t>
        </is>
      </c>
      <c r="U1840" t="inlineStr">
        <is>
          <t>护肤彩妆</t>
        </is>
      </c>
      <c r="V1840" s="3">
        <v>46113.55826388889</v>
      </c>
      <c r="W1840" t="inlineStr">
        <is>
          <t>2026-Q2</t>
        </is>
      </c>
    </row>
    <row r="1841" ht="25.5" customHeight="1">
      <c r="A1841" t="inlineStr">
        <is>
          <t>臻羞 · 果酸水杨酸精华推荐控油收毛孔去闭口推荐学生淡化黑色素</t>
        </is>
      </c>
      <c r="B1841" t="inlineStr">
        <is>
          <t>recvfvVmDwfMxz.jpg</t>
        </is>
      </c>
      <c r="C1841" s="2" t="str">
        <f>=HYPERLINK("https://xhslink.com/m/AsdnxIGGQL0", "https://xhslink.com/m/AsdnxIGGQL0")</f>
        <v>https://xhslink.com/m/AsdnxIGGQL0</v>
      </c>
      <c r="D1841"/>
      <c r="E1841">
        <v>3825</v>
      </c>
      <c r="F1841">
        <v>49.9</v>
      </c>
      <c r="G1841">
        <v>29.9</v>
      </c>
      <c r="H1841">
        <v>200</v>
      </c>
      <c r="I1841" t="inlineStr">
        <is>
          <t>美白</t>
        </is>
      </c>
      <c r="J1841" t="inlineStr">
        <is>
          <t>0.05</t>
        </is>
      </c>
      <c r="K1841" t="inlineStr">
        <is>
          <t>🔥低粉爆款</t>
        </is>
      </c>
      <c r="L1841" t="inlineStr">
        <is>
          <t>小公举补给站的店</t>
        </is>
      </c>
      <c r="M1841">
        <v>496</v>
      </c>
      <c r="N1841">
        <v>4.49</v>
      </c>
      <c r="O1841">
        <v>7023</v>
      </c>
      <c r="P1841" t="inlineStr">
        <is>
          <t>68ecb5f4d3eed2000154cd92</t>
        </is>
      </c>
      <c r="Q1841"/>
      <c r="R1841" t="inlineStr">
        <is>
          <t>14周</t>
        </is>
      </c>
      <c r="S1841" t="inlineStr">
        <is>
          <t>7.71</t>
        </is>
      </c>
      <c r="T1841" t="inlineStr">
        <is>
          <t>美妆个护</t>
        </is>
      </c>
      <c r="U1841" t="inlineStr">
        <is>
          <t>护肤彩妆</t>
        </is>
      </c>
      <c r="V1841" s="3">
        <v>46113.55826388889</v>
      </c>
      <c r="W1841" t="inlineStr">
        <is>
          <t>2026-Q2</t>
        </is>
      </c>
    </row>
    <row r="1842" ht="25.5" customHeight="1">
      <c r="A1842" t="inlineStr">
        <is>
          <t>毕生之研 · 厚脸皮水3.0 修护补水保湿提亮舒缓褪红湿敷化妆护肤爽肤水SX</t>
        </is>
      </c>
      <c r="B1842" t="inlineStr">
        <is>
          <t>recvfvVmDw3XCC.jpg</t>
        </is>
      </c>
      <c r="C1842" s="2" t="str">
        <f>=HYPERLINK("https://xhslink.com/m/ADAzsmB5app", "https://xhslink.com/m/ADAzsmB5app")</f>
        <v>https://xhslink.com/m/ADAzsmB5app</v>
      </c>
      <c r="D1842"/>
      <c r="E1842">
        <v>9161</v>
      </c>
      <c r="F1842">
        <v>149</v>
      </c>
      <c r="G1842">
        <v>129</v>
      </c>
      <c r="H1842">
        <v>200</v>
      </c>
      <c r="I1842" t="inlineStr">
        <is>
          <t>护肤</t>
        </is>
      </c>
      <c r="J1842" t="inlineStr">
        <is>
          <t>0.02</t>
        </is>
      </c>
      <c r="K1842"/>
      <c r="L1842" t="inlineStr">
        <is>
          <t>毕生之研旗舰店</t>
        </is>
      </c>
      <c r="M1842">
        <v>85000</v>
      </c>
      <c r="N1842">
        <v>4.65</v>
      </c>
      <c r="O1842">
        <v>514000</v>
      </c>
      <c r="P1842" t="inlineStr">
        <is>
          <t>6683a15a26b4b6000125f64f</t>
        </is>
      </c>
      <c r="Q1842"/>
      <c r="R1842" t="inlineStr">
        <is>
          <t>14周</t>
        </is>
      </c>
      <c r="S1842" t="inlineStr">
        <is>
          <t>0.11</t>
        </is>
      </c>
      <c r="T1842" t="inlineStr">
        <is>
          <t>美妆个护</t>
        </is>
      </c>
      <c r="U1842" t="inlineStr">
        <is>
          <t>护肤彩妆</t>
        </is>
      </c>
      <c r="V1842" s="3">
        <v>46113.55826388889</v>
      </c>
      <c r="W1842" t="inlineStr">
        <is>
          <t>2026-Q2</t>
        </is>
      </c>
    </row>
    <row r="1843" ht="25.5" customHeight="1">
      <c r="A1843" t="inlineStr">
        <is>
          <t>圆领正肩短袖T恤女夏季新款韩系露脐显瘦内搭辣妹风短款上衣 ZS05</t>
        </is>
      </c>
      <c r="B1843" t="inlineStr">
        <is>
          <t>recvfD7quwgHkH.jpg</t>
        </is>
      </c>
      <c r="C1843" s="2" t="str">
        <f>=HYPERLINK("https://xhslink.com/m/7A8DaUrd3eU", "https://xhslink.com/m/7A8DaUrd3eU")</f>
        <v>https://xhslink.com/m/7A8DaUrd3eU</v>
      </c>
      <c r="D1843"/>
      <c r="E1843">
        <v>331</v>
      </c>
      <c r="F1843">
        <v>42</v>
      </c>
      <c r="G1843"/>
      <c r="H1843">
        <v>200</v>
      </c>
      <c r="I1843" t="inlineStr">
        <is>
          <t>夏天上衣</t>
        </is>
      </c>
      <c r="J1843" t="inlineStr">
        <is>
          <t>0.60</t>
        </is>
      </c>
      <c r="K1843"/>
      <c r="L1843" t="inlineStr">
        <is>
          <t>楠涛服饰的店</t>
        </is>
      </c>
      <c r="M1843">
        <v>219000</v>
      </c>
      <c r="N1843">
        <v>4.68</v>
      </c>
      <c r="O1843">
        <v>458000</v>
      </c>
      <c r="P1843" t="inlineStr">
        <is>
          <t>69c66bc7de0f0700011ca65b</t>
        </is>
      </c>
      <c r="Q1843" t="inlineStr">
        <is>
          <t>🚫重复</t>
        </is>
      </c>
      <c r="R1843" t="inlineStr">
        <is>
          <t>14周</t>
        </is>
      </c>
      <c r="S1843" t="inlineStr">
        <is>
          <t>0.00</t>
        </is>
      </c>
      <c r="T1843" t="inlineStr">
        <is>
          <t>服饰穿搭</t>
        </is>
      </c>
      <c r="U1843" t="inlineStr">
        <is>
          <t>女装</t>
        </is>
      </c>
      <c r="V1843" s="3">
        <v>46114.78872685185</v>
      </c>
      <c r="W1843" t="inlineStr">
        <is>
          <t>2026-Q2</t>
        </is>
      </c>
    </row>
    <row r="1844" ht="25.5" customHeight="1">
      <c r="A1844" t="inlineStr">
        <is>
          <t>CASSALAN · 法式桑蚕丝醋酸莱赛尔V领短袖T恤女修身显瘦百搭休闲通勤小众上衣</t>
        </is>
      </c>
      <c r="B1844" t="inlineStr">
        <is>
          <t>recvfD7quwdIg6.jpg</t>
        </is>
      </c>
      <c r="C1844" s="2" t="str">
        <f>=HYPERLINK("https://xhslink.com/m/64XS6DsZqgp", "https://xhslink.com/m/64XS6DsZqgp")</f>
        <v>https://xhslink.com/m/64XS6DsZqgp</v>
      </c>
      <c r="D1844"/>
      <c r="E1844">
        <v>1389</v>
      </c>
      <c r="F1844">
        <v>198</v>
      </c>
      <c r="G1844">
        <v>188</v>
      </c>
      <c r="H1844">
        <v>200</v>
      </c>
      <c r="I1844" t="inlineStr">
        <is>
          <t>短袖</t>
        </is>
      </c>
      <c r="J1844" t="inlineStr">
        <is>
          <t>0.14</t>
        </is>
      </c>
      <c r="K1844"/>
      <c r="L1844" t="inlineStr">
        <is>
          <t>CASSALAN旗舰店</t>
        </is>
      </c>
      <c r="M1844">
        <v>1903</v>
      </c>
      <c r="N1844">
        <v>4.77</v>
      </c>
      <c r="O1844">
        <v>14000</v>
      </c>
      <c r="P1844" t="inlineStr">
        <is>
          <t>69b1689099f8fe0001e04ebf</t>
        </is>
      </c>
      <c r="Q1844"/>
      <c r="R1844" t="inlineStr">
        <is>
          <t>14周</t>
        </is>
      </c>
      <c r="S1844" t="inlineStr">
        <is>
          <t>0.73</t>
        </is>
      </c>
      <c r="T1844" t="inlineStr">
        <is>
          <t>服饰穿搭</t>
        </is>
      </c>
      <c r="U1844" t="inlineStr">
        <is>
          <t>女装</t>
        </is>
      </c>
      <c r="V1844" s="3">
        <v>46114.78872685185</v>
      </c>
      <c r="W1844" t="inlineStr">
        <is>
          <t>2026-Q2</t>
        </is>
      </c>
    </row>
    <row r="1845" ht="25.5" customHeight="1">
      <c r="A1845" t="inlineStr">
        <is>
          <t>高小琴家·真皮5cm厚底英伦风黑色圆头系带小皮鞋乐福马丁鞋</t>
        </is>
      </c>
      <c r="B1845" t="inlineStr">
        <is>
          <t>recvfD7quwF9JN.jpg</t>
        </is>
      </c>
      <c r="C1845" s="2" t="str">
        <f>=HYPERLINK("https://xhslink.com/m/1CujL7yKgT5", "https://xhslink.com/m/1CujL7yKgT5")</f>
        <v>https://xhslink.com/m/1CujL7yKgT5</v>
      </c>
      <c r="D1845"/>
      <c r="E1845">
        <v>16000</v>
      </c>
      <c r="F1845">
        <v>138</v>
      </c>
      <c r="G1845"/>
      <c r="H1845">
        <v>200</v>
      </c>
      <c r="I1845" t="inlineStr">
        <is>
          <t>百搭鞋子</t>
        </is>
      </c>
      <c r="J1845" t="inlineStr">
        <is>
          <t>0.01</t>
        </is>
      </c>
      <c r="K1845" t="inlineStr">
        <is>
          <t>🔥低粉爆款</t>
        </is>
      </c>
      <c r="L1845" t="inlineStr">
        <is>
          <t>高小琴家的店</t>
        </is>
      </c>
      <c r="M1845">
        <v>706</v>
      </c>
      <c r="N1845">
        <v>4.55</v>
      </c>
      <c r="O1845">
        <v>18000</v>
      </c>
      <c r="P1845" t="inlineStr">
        <is>
          <t>682ffdd46fdc8e0001f761ec</t>
        </is>
      </c>
      <c r="Q1845" t="inlineStr">
        <is>
          <t>🚫重复</t>
        </is>
      </c>
      <c r="R1845" t="inlineStr">
        <is>
          <t>14周</t>
        </is>
      </c>
      <c r="S1845" t="inlineStr">
        <is>
          <t>22.66</t>
        </is>
      </c>
      <c r="T1845" t="inlineStr">
        <is>
          <t>服饰穿搭</t>
        </is>
      </c>
      <c r="U1845" t="inlineStr">
        <is>
          <t>鞋靴箱包</t>
        </is>
      </c>
      <c r="V1845" s="3">
        <v>46114.78872685185</v>
      </c>
      <c r="W1845" t="inlineStr">
        <is>
          <t>2026-Q2</t>
        </is>
      </c>
    </row>
    <row r="1846" ht="25.5" customHeight="1">
      <c r="A1846" t="inlineStr">
        <is>
          <t>粉色牛仔裤女2026夏季新款高腰设计感宽松百搭阔腿拖地弯刀裤长裤</t>
        </is>
      </c>
      <c r="B1846" t="inlineStr">
        <is>
          <t>recvfD7quw0OES.jpg</t>
        </is>
      </c>
      <c r="C1846" s="2" t="str">
        <f>=HYPERLINK("https://xhslink.com/m/gx2XaLuyWs", "https://xhslink.com/m/gx2XaLuyWs")</f>
        <v>https://xhslink.com/m/gx2XaLuyWs</v>
      </c>
      <c r="D1846"/>
      <c r="E1846">
        <v>707</v>
      </c>
      <c r="F1846">
        <v>109</v>
      </c>
      <c r="G1846">
        <v>78</v>
      </c>
      <c r="H1846">
        <v>200</v>
      </c>
      <c r="I1846" t="inlineStr">
        <is>
          <t>裤子</t>
        </is>
      </c>
      <c r="J1846" t="inlineStr">
        <is>
          <t>0.28</t>
        </is>
      </c>
      <c r="K1846"/>
      <c r="L1846" t="inlineStr">
        <is>
          <t>圈圈不转圈⭕的店</t>
        </is>
      </c>
      <c r="M1846">
        <v>32000</v>
      </c>
      <c r="N1846">
        <v>4.47</v>
      </c>
      <c r="O1846">
        <v>245000</v>
      </c>
      <c r="P1846" t="inlineStr">
        <is>
          <t>67cfeb094a59360001ba37b3</t>
        </is>
      </c>
      <c r="Q1846" t="inlineStr">
        <is>
          <t>🚫重复</t>
        </is>
      </c>
      <c r="R1846" t="inlineStr">
        <is>
          <t>14周</t>
        </is>
      </c>
      <c r="S1846" t="inlineStr">
        <is>
          <t>0.02</t>
        </is>
      </c>
      <c r="T1846" t="inlineStr">
        <is>
          <t>服饰穿搭</t>
        </is>
      </c>
      <c r="U1846" t="inlineStr">
        <is>
          <t>女装</t>
        </is>
      </c>
      <c r="V1846" s="3">
        <v>46114.78872685185</v>
      </c>
      <c r="W1846" t="inlineStr">
        <is>
          <t>2026-Q2</t>
        </is>
      </c>
    </row>
    <row r="1847" ht="25.5" customHeight="1">
      <c r="A1847" t="inlineStr">
        <is>
          <t>贡枝果栈 · 新鲜无花果农家应季时令水果天然孕妇下奶鲜果现摘现发顺丰包邮</t>
        </is>
      </c>
      <c r="B1847" t="inlineStr">
        <is>
          <t>recvfD7quwgGfR.jpg</t>
        </is>
      </c>
      <c r="C1847" s="2" t="str">
        <f>=HYPERLINK("https://xhslink.com/m/2PC8VYM99Ub", "https://xhslink.com/m/2PC8VYM99Ub")</f>
        <v>https://xhslink.com/m/2PC8VYM99Ub</v>
      </c>
      <c r="D1847"/>
      <c r="E1847">
        <v>205000</v>
      </c>
      <c r="F1847">
        <v>68.9</v>
      </c>
      <c r="G1847"/>
      <c r="H1847">
        <v>200</v>
      </c>
      <c r="I1847" t="inlineStr">
        <is>
          <t>水果</t>
        </is>
      </c>
      <c r="J1847" t="inlineStr">
        <is>
          <t>0.00</t>
        </is>
      </c>
      <c r="K1847" t="inlineStr">
        <is>
          <t>🔥低粉爆款</t>
        </is>
      </c>
      <c r="L1847" t="inlineStr">
        <is>
          <t>贡枝果栈旗舰店</t>
        </is>
      </c>
      <c r="M1847">
        <v>10000</v>
      </c>
      <c r="N1847">
        <v>4.61</v>
      </c>
      <c r="O1847">
        <v>238000</v>
      </c>
      <c r="P1847" t="inlineStr">
        <is>
          <t>6734a7914713b30001224032</t>
        </is>
      </c>
      <c r="Q1847" t="inlineStr">
        <is>
          <t>🚫重复</t>
        </is>
      </c>
      <c r="R1847" t="inlineStr">
        <is>
          <t>14周</t>
        </is>
      </c>
      <c r="S1847" t="inlineStr">
        <is>
          <t>20.50</t>
        </is>
      </c>
      <c r="T1847" t="inlineStr">
        <is>
          <t>美食滋补</t>
        </is>
      </c>
      <c r="U1847" t="inlineStr">
        <is>
          <t>生鲜特产</t>
        </is>
      </c>
      <c r="V1847" s="3">
        <v>46114.78872685185</v>
      </c>
      <c r="W1847" t="inlineStr">
        <is>
          <t>2026-Q2</t>
        </is>
      </c>
    </row>
    <row r="1848" ht="25.5" customHeight="1">
      <c r="A1848" t="inlineStr">
        <is>
          <t>嘻螺会 · 鲜粉螺蛳粉176g桶冲泡即食懒人方便正宗柳州夜宵速食</t>
        </is>
      </c>
      <c r="B1848" t="inlineStr">
        <is>
          <t>recvfD7quwbvqb.jpg</t>
        </is>
      </c>
      <c r="C1848" s="2" t="str">
        <f>=HYPERLINK("https://xhslink.com/m/oGi33Lm63y", "https://xhslink.com/m/oGi33Lm63y")</f>
        <v>https://xhslink.com/m/oGi33Lm63y</v>
      </c>
      <c r="D1848"/>
      <c r="E1848">
        <v>110000</v>
      </c>
      <c r="F1848">
        <v>29.7</v>
      </c>
      <c r="G1848">
        <v>11.9</v>
      </c>
      <c r="H1848">
        <v>200</v>
      </c>
      <c r="I1848" t="inlineStr">
        <is>
          <t>宿舍零食</t>
        </is>
      </c>
      <c r="J1848" t="inlineStr">
        <is>
          <t>0.00</t>
        </is>
      </c>
      <c r="K1848" t="inlineStr">
        <is>
          <t>🔥低粉爆款</t>
        </is>
      </c>
      <c r="L1848" t="inlineStr">
        <is>
          <t>嘻螺会旗舰店</t>
        </is>
      </c>
      <c r="M1848">
        <v>15000</v>
      </c>
      <c r="N1848">
        <v>4.46</v>
      </c>
      <c r="O1848">
        <v>175000</v>
      </c>
      <c r="P1848" t="inlineStr">
        <is>
          <t>6839400c4b53070001e21ead</t>
        </is>
      </c>
      <c r="Q1848"/>
      <c r="R1848" t="inlineStr">
        <is>
          <t>14周</t>
        </is>
      </c>
      <c r="S1848" t="inlineStr">
        <is>
          <t>7.33</t>
        </is>
      </c>
      <c r="T1848" t="inlineStr">
        <is>
          <t>美食滋补</t>
        </is>
      </c>
      <c r="U1848" t="inlineStr">
        <is>
          <t>休闲零食</t>
        </is>
      </c>
      <c r="V1848" s="3">
        <v>46114.78872685185</v>
      </c>
      <c r="W1848" t="inlineStr">
        <is>
          <t>2026-Q2</t>
        </is>
      </c>
    </row>
    <row r="1849" ht="25.5" customHeight="1">
      <c r="A1849" t="inlineStr">
        <is>
          <t>SAMYANG 三养 · MEP拉面五口味拉面5感辣爆辣速食解馋夜宵</t>
        </is>
      </c>
      <c r="B1849" t="inlineStr">
        <is>
          <t>recvfD7quwPvsk.jpg</t>
        </is>
      </c>
      <c r="C1849" s="2" t="str">
        <f>=HYPERLINK("https://xhslink.com/m/3a03dmWnRMm", "https://xhslink.com/m/3a03dmWnRMm")</f>
        <v>https://xhslink.com/m/3a03dmWnRMm</v>
      </c>
      <c r="D1849"/>
      <c r="E1849">
        <v>33000</v>
      </c>
      <c r="F1849">
        <v>165.1</v>
      </c>
      <c r="G1849">
        <v>129.9</v>
      </c>
      <c r="H1849">
        <v>200</v>
      </c>
      <c r="I1849" t="inlineStr">
        <is>
          <t>宿舍零食</t>
        </is>
      </c>
      <c r="J1849" t="inlineStr">
        <is>
          <t>0.01</t>
        </is>
      </c>
      <c r="K1849"/>
      <c r="L1849" t="inlineStr">
        <is>
          <t>三养食品旗舰店</t>
        </is>
      </c>
      <c r="M1849">
        <v>74000</v>
      </c>
      <c r="N1849">
        <v>4.54</v>
      </c>
      <c r="O1849">
        <v>346000</v>
      </c>
      <c r="P1849" t="inlineStr">
        <is>
          <t>69786431621e6f00016bb952</t>
        </is>
      </c>
      <c r="Q1849"/>
      <c r="R1849" t="inlineStr">
        <is>
          <t>14周</t>
        </is>
      </c>
      <c r="S1849" t="inlineStr">
        <is>
          <t>0.45</t>
        </is>
      </c>
      <c r="T1849" t="inlineStr">
        <is>
          <t>美食滋补</t>
        </is>
      </c>
      <c r="U1849" t="inlineStr">
        <is>
          <t>休闲零食</t>
        </is>
      </c>
      <c r="V1849" s="3">
        <v>46114.78872685185</v>
      </c>
      <c r="W1849" t="inlineStr">
        <is>
          <t>2026-Q2</t>
        </is>
      </c>
    </row>
    <row r="1850" ht="25.5" customHeight="1">
      <c r="A1850" t="inlineStr">
        <is>
          <t>清润六物饮｜玉竹生津水 口干舌燥 内热上火 津液水 组合约70g/包</t>
        </is>
      </c>
      <c r="B1850" t="inlineStr">
        <is>
          <t>recvfD7quwmqDc.jpg</t>
        </is>
      </c>
      <c r="C1850" s="2" t="str">
        <f>=HYPERLINK("https://xhslink.com/m/5IXCYM7JSaI", "https://xhslink.com/m/5IXCYM7JSaI")</f>
        <v>https://xhslink.com/m/5IXCYM7JSaI</v>
      </c>
      <c r="D1850"/>
      <c r="E1850">
        <v>27000</v>
      </c>
      <c r="F1850">
        <v>108</v>
      </c>
      <c r="G1850">
        <v>87</v>
      </c>
      <c r="H1850">
        <v>200</v>
      </c>
      <c r="I1850" t="inlineStr">
        <is>
          <t>养生茶饮</t>
        </is>
      </c>
      <c r="J1850" t="inlineStr">
        <is>
          <t>0.01</t>
        </is>
      </c>
      <c r="K1850"/>
      <c r="L1850" t="inlineStr">
        <is>
          <t>陈自在果茶的店</t>
        </is>
      </c>
      <c r="M1850">
        <v>35000</v>
      </c>
      <c r="N1850">
        <v>4.69</v>
      </c>
      <c r="O1850">
        <v>142000</v>
      </c>
      <c r="P1850" t="inlineStr">
        <is>
          <t>68b2bcb20991b40001d6f0bc</t>
        </is>
      </c>
      <c r="Q1850"/>
      <c r="R1850" t="inlineStr">
        <is>
          <t>14周</t>
        </is>
      </c>
      <c r="S1850" t="inlineStr">
        <is>
          <t>0.77</t>
        </is>
      </c>
      <c r="T1850" t="inlineStr">
        <is>
          <t>美食滋补</t>
        </is>
      </c>
      <c r="U1850" t="inlineStr">
        <is>
          <t>酒水冲饮</t>
        </is>
      </c>
      <c r="V1850" s="3">
        <v>46114.78872685185</v>
      </c>
      <c r="W1850" t="inlineStr">
        <is>
          <t>2026-Q2</t>
        </is>
      </c>
    </row>
    <row r="1851" ht="25.5" customHeight="1">
      <c r="A1851" t="inlineStr">
        <is>
          <t>心愿先生 · 【两支送灯】美甲笔七合一猫眼甲油胶建构指甲油底胶封层美甲显白</t>
        </is>
      </c>
      <c r="B1851" t="inlineStr">
        <is>
          <t>recvfD7quwCDKI.jpg</t>
        </is>
      </c>
      <c r="C1851" s="2" t="str">
        <f>=HYPERLINK("https://xhslink.com/m/7riCSHN1vIN", "https://xhslink.com/m/7riCSHN1vIN")</f>
        <v>https://xhslink.com/m/7riCSHN1vIN</v>
      </c>
      <c r="D1851"/>
      <c r="E1851">
        <v>53000</v>
      </c>
      <c r="F1851">
        <v>139.9</v>
      </c>
      <c r="G1851">
        <v>99.9</v>
      </c>
      <c r="H1851">
        <v>200</v>
      </c>
      <c r="I1851" t="inlineStr">
        <is>
          <t>美护</t>
        </is>
      </c>
      <c r="J1851" t="inlineStr">
        <is>
          <t>0.00</t>
        </is>
      </c>
      <c r="K1851"/>
      <c r="L1851" t="inlineStr">
        <is>
          <t>心愿先生优能专卖店</t>
        </is>
      </c>
      <c r="M1851">
        <v>39000</v>
      </c>
      <c r="N1851">
        <v>4.35</v>
      </c>
      <c r="O1851">
        <v>132000</v>
      </c>
      <c r="P1851" t="inlineStr">
        <is>
          <t>69be73dc23faf80001ac9497</t>
        </is>
      </c>
      <c r="Q1851"/>
      <c r="R1851" t="inlineStr">
        <is>
          <t>14周</t>
        </is>
      </c>
      <c r="S1851" t="inlineStr">
        <is>
          <t>1.36</t>
        </is>
      </c>
      <c r="T1851" t="inlineStr">
        <is>
          <t>美妆个护</t>
        </is>
      </c>
      <c r="U1851" t="inlineStr">
        <is>
          <t>护肤彩妆</t>
        </is>
      </c>
      <c r="V1851" s="3">
        <v>46114.78872685185</v>
      </c>
      <c r="W1851" t="inlineStr">
        <is>
          <t>2026-Q2</t>
        </is>
      </c>
    </row>
    <row r="1852" ht="25.5" customHeight="1">
      <c r="A1852" t="inlineStr">
        <is>
          <t>【朴大艺】港岛暮色 韩系强捻立体毛边剪裁正肩棉质短袖上衣5047</t>
        </is>
      </c>
      <c r="B1852" t="inlineStr">
        <is>
          <t>recvfD7quwaEcE.jpg</t>
        </is>
      </c>
      <c r="C1852" s="2" t="str">
        <f>=HYPERLINK("https://xhslink.com/m/4zNrYqBHz0q", "https://xhslink.com/m/4zNrYqBHz0q")</f>
        <v>https://xhslink.com/m/4zNrYqBHz0q</v>
      </c>
      <c r="D1852"/>
      <c r="E1852">
        <v>3790</v>
      </c>
      <c r="F1852">
        <v>69.9</v>
      </c>
      <c r="G1852"/>
      <c r="H1852">
        <v>200</v>
      </c>
      <c r="I1852" t="inlineStr">
        <is>
          <t>上衣</t>
        </is>
      </c>
      <c r="J1852" t="inlineStr">
        <is>
          <t>0.05</t>
        </is>
      </c>
      <c r="K1852"/>
      <c r="L1852" t="inlineStr">
        <is>
          <t>朴大艺是150呀的店</t>
        </is>
      </c>
      <c r="M1852">
        <v>94000</v>
      </c>
      <c r="N1852">
        <v>4.72</v>
      </c>
      <c r="O1852">
        <v>304000</v>
      </c>
      <c r="P1852" t="inlineStr">
        <is>
          <t>69c1faaea20c210001e63f48</t>
        </is>
      </c>
      <c r="Q1852" t="inlineStr">
        <is>
          <t>🚫重复</t>
        </is>
      </c>
      <c r="R1852" t="inlineStr">
        <is>
          <t>14周</t>
        </is>
      </c>
      <c r="S1852" t="inlineStr">
        <is>
          <t>0.04</t>
        </is>
      </c>
      <c r="T1852" t="inlineStr">
        <is>
          <t>服饰穿搭</t>
        </is>
      </c>
      <c r="U1852" t="inlineStr">
        <is>
          <t>女装</t>
        </is>
      </c>
      <c r="V1852" s="3">
        <v>46114.78872685185</v>
      </c>
      <c r="W1852" t="inlineStr">
        <is>
          <t>2026-Q2</t>
        </is>
      </c>
    </row>
    <row r="1853" ht="25.5" customHeight="1">
      <c r="A1853" t="inlineStr">
        <is>
          <t>韩式粉色假两件斜露肩长袖t恤女春秋冬纯欲修身收腰打底辣妹上衣</t>
        </is>
      </c>
      <c r="B1853" t="inlineStr">
        <is>
          <t>recvfD7quwb4j0.jpg</t>
        </is>
      </c>
      <c r="C1853" s="2" t="str">
        <f>=HYPERLINK("https://xhslink.com/m/1zarkFRIb9N", "https://xhslink.com/m/1zarkFRIb9N")</f>
        <v>https://xhslink.com/m/1zarkFRIb9N</v>
      </c>
      <c r="D1853"/>
      <c r="E1853">
        <v>701</v>
      </c>
      <c r="F1853">
        <v>79.9</v>
      </c>
      <c r="G1853">
        <v>49.9</v>
      </c>
      <c r="H1853">
        <v>200</v>
      </c>
      <c r="I1853" t="inlineStr">
        <is>
          <t>上衣</t>
        </is>
      </c>
      <c r="J1853" t="inlineStr">
        <is>
          <t>0.29</t>
        </is>
      </c>
      <c r="K1853"/>
      <c r="L1853" t="inlineStr">
        <is>
          <t>大V教穿搭的店</t>
        </is>
      </c>
      <c r="M1853">
        <v>1654</v>
      </c>
      <c r="N1853">
        <v>4.47</v>
      </c>
      <c r="O1853">
        <v>38000</v>
      </c>
      <c r="P1853" t="inlineStr">
        <is>
          <t>69ad508fb8f98300019c62f4</t>
        </is>
      </c>
      <c r="Q1853"/>
      <c r="R1853" t="inlineStr">
        <is>
          <t>14周</t>
        </is>
      </c>
      <c r="S1853" t="inlineStr">
        <is>
          <t>0.42</t>
        </is>
      </c>
      <c r="T1853" t="inlineStr">
        <is>
          <t>服饰穿搭</t>
        </is>
      </c>
      <c r="U1853" t="inlineStr">
        <is>
          <t>女装</t>
        </is>
      </c>
      <c r="V1853" s="3">
        <v>46114.78872685185</v>
      </c>
      <c r="W1853" t="inlineStr">
        <is>
          <t>2026-Q2</t>
        </is>
      </c>
    </row>
    <row r="1854" ht="25.5" customHeight="1">
      <c r="A1854" t="inlineStr">
        <is>
          <t>【白月光】进店bi入 纯棉宽肩带背心内搭外穿 自带固定bra 遮副乳</t>
        </is>
      </c>
      <c r="B1854" t="inlineStr">
        <is>
          <t>recvfD7quwnZUq.jpg</t>
        </is>
      </c>
      <c r="C1854" s="2" t="str">
        <f>=HYPERLINK("https://xhslink.com/m/9iqhHAJ7vRl", "https://xhslink.com/m/9iqhHAJ7vRl")</f>
        <v>https://xhslink.com/m/9iqhHAJ7vRl</v>
      </c>
      <c r="D1854"/>
      <c r="E1854">
        <v>27000</v>
      </c>
      <c r="F1854">
        <v>28</v>
      </c>
      <c r="G1854"/>
      <c r="H1854">
        <v>200</v>
      </c>
      <c r="I1854" t="inlineStr">
        <is>
          <t>背心吊带</t>
        </is>
      </c>
      <c r="J1854" t="inlineStr">
        <is>
          <t>0.01</t>
        </is>
      </c>
      <c r="K1854" t="inlineStr">
        <is>
          <t>🔥低粉爆款</t>
        </is>
      </c>
      <c r="L1854" t="inlineStr">
        <is>
          <t>昕淇今天穿什么的店</t>
        </is>
      </c>
      <c r="M1854">
        <v>485</v>
      </c>
      <c r="N1854">
        <v>4.57</v>
      </c>
      <c r="O1854">
        <v>28000</v>
      </c>
      <c r="P1854" t="inlineStr">
        <is>
          <t>65fbee42e21a000001d108d2</t>
        </is>
      </c>
      <c r="Q1854" t="inlineStr">
        <is>
          <t>🚫重复</t>
        </is>
      </c>
      <c r="R1854" t="inlineStr">
        <is>
          <t>14周</t>
        </is>
      </c>
      <c r="S1854" t="inlineStr">
        <is>
          <t>55.67</t>
        </is>
      </c>
      <c r="T1854" t="inlineStr">
        <is>
          <t>服饰穿搭</t>
        </is>
      </c>
      <c r="U1854" t="inlineStr">
        <is>
          <t>女装</t>
        </is>
      </c>
      <c r="V1854" s="3">
        <v>46114.78872685185</v>
      </c>
      <c r="W1854" t="inlineStr">
        <is>
          <t>2026-Q2</t>
        </is>
      </c>
    </row>
    <row r="1855" ht="25.5" customHeight="1">
      <c r="A1855" t="inlineStr">
        <is>
          <t>yoyo推荐运动内衣外穿健身背心一体式固定杯女系带挂脖瑜伽内衣</t>
        </is>
      </c>
      <c r="B1855" t="inlineStr">
        <is>
          <t>recvfD7quwZpfE.jpg</t>
        </is>
      </c>
      <c r="C1855" s="2" t="str">
        <f>=HYPERLINK("https://xhslink.com/m/5h0hz3Pf4Dr", "https://xhslink.com/m/5h0hz3Pf4Dr")</f>
        <v>https://xhslink.com/m/5h0hz3Pf4Dr</v>
      </c>
      <c r="D1855"/>
      <c r="E1855">
        <v>2002</v>
      </c>
      <c r="F1855">
        <v>79.9</v>
      </c>
      <c r="G1855">
        <v>70.31</v>
      </c>
      <c r="H1855">
        <v>200</v>
      </c>
      <c r="I1855" t="inlineStr">
        <is>
          <t>背心吊带</t>
        </is>
      </c>
      <c r="J1855" t="inlineStr">
        <is>
          <t>0.10</t>
        </is>
      </c>
      <c r="K1855"/>
      <c r="L1855" t="inlineStr">
        <is>
          <t>yoyo推荐的店</t>
        </is>
      </c>
      <c r="M1855">
        <v>102000</v>
      </c>
      <c r="N1855">
        <v>4.65</v>
      </c>
      <c r="O1855">
        <v>318000</v>
      </c>
      <c r="P1855" t="inlineStr">
        <is>
          <t>6870dffa75ae0c00019466bd</t>
        </is>
      </c>
      <c r="Q1855" t="inlineStr">
        <is>
          <t>🚫重复</t>
        </is>
      </c>
      <c r="R1855" t="inlineStr">
        <is>
          <t>14周</t>
        </is>
      </c>
      <c r="S1855" t="inlineStr">
        <is>
          <t>0.02</t>
        </is>
      </c>
      <c r="T1855" t="inlineStr">
        <is>
          <t>运动潮玩</t>
        </is>
      </c>
      <c r="U1855" t="inlineStr">
        <is>
          <t>运动户外装备</t>
        </is>
      </c>
      <c r="V1855" s="3">
        <v>46114.78872685185</v>
      </c>
      <c r="W1855" t="inlineStr">
        <is>
          <t>2026-Q2</t>
        </is>
      </c>
    </row>
    <row r="1856" ht="25.5" customHeight="1">
      <c r="A1856" t="inlineStr">
        <is>
          <t>美式复古束脚工作裤女春夏显瘦直筒休闲阔腿裤</t>
        </is>
      </c>
      <c r="B1856" t="inlineStr">
        <is>
          <t>recvfD7quwz45W.jpg</t>
        </is>
      </c>
      <c r="C1856" s="2" t="str">
        <f>=HYPERLINK("https://xhslink.com/m/62RoorXO9aw", "https://xhslink.com/m/62RoorXO9aw")</f>
        <v>https://xhslink.com/m/62RoorXO9aw</v>
      </c>
      <c r="D1856"/>
      <c r="E1856">
        <v>161000</v>
      </c>
      <c r="F1856">
        <v>64</v>
      </c>
      <c r="G1856">
        <v>59</v>
      </c>
      <c r="H1856">
        <v>200</v>
      </c>
      <c r="I1856" t="inlineStr">
        <is>
          <t>混搭工装</t>
        </is>
      </c>
      <c r="J1856" t="inlineStr">
        <is>
          <t>0.00</t>
        </is>
      </c>
      <c r="K1856" t="inlineStr">
        <is>
          <t>🔥低粉爆款</t>
        </is>
      </c>
      <c r="L1856" t="inlineStr">
        <is>
          <t>玛卡阿的店</t>
        </is>
      </c>
      <c r="M1856">
        <v>13000</v>
      </c>
      <c r="N1856">
        <v>4.53</v>
      </c>
      <c r="O1856">
        <v>177000</v>
      </c>
      <c r="P1856" t="inlineStr">
        <is>
          <t>65a89b5b4207d30001557ca7</t>
        </is>
      </c>
      <c r="Q1856"/>
      <c r="R1856" t="inlineStr">
        <is>
          <t>14周</t>
        </is>
      </c>
      <c r="S1856" t="inlineStr">
        <is>
          <t>12.38</t>
        </is>
      </c>
      <c r="T1856" t="inlineStr">
        <is>
          <t>服饰穿搭</t>
        </is>
      </c>
      <c r="U1856" t="inlineStr">
        <is>
          <t>女装</t>
        </is>
      </c>
      <c r="V1856" s="3">
        <v>46114.78872685185</v>
      </c>
      <c r="W1856" t="inlineStr">
        <is>
          <t>2026-Q2</t>
        </is>
      </c>
    </row>
    <row r="1857" ht="25.5" customHeight="1">
      <c r="A1857" t="inlineStr">
        <is>
          <t>郁金香郁金香种球懒人进口耐寒水培植物郁金香水培器皿室内花卉</t>
        </is>
      </c>
      <c r="B1857" t="inlineStr">
        <is>
          <t>recvfD7quwfIWE.jpg</t>
        </is>
      </c>
      <c r="C1857" s="2" t="str">
        <f>=HYPERLINK("https://xhslink.com/m/5emNqkh5rbg", "https://xhslink.com/m/5emNqkh5rbg")</f>
        <v>https://xhslink.com/m/5emNqkh5rbg</v>
      </c>
      <c r="D1857"/>
      <c r="E1857">
        <v>67000</v>
      </c>
      <c r="F1857">
        <v>9.9</v>
      </c>
      <c r="G1857"/>
      <c r="H1857">
        <v>200</v>
      </c>
      <c r="I1857" t="inlineStr">
        <is>
          <t>花花草草</t>
        </is>
      </c>
      <c r="J1857" t="inlineStr">
        <is>
          <t>0.00</t>
        </is>
      </c>
      <c r="K1857" t="inlineStr">
        <is>
          <t>🔥低粉爆款</t>
        </is>
      </c>
      <c r="L1857" t="inlineStr">
        <is>
          <t>小丽商铺的店</t>
        </is>
      </c>
      <c r="M1857">
        <v>2577</v>
      </c>
      <c r="N1857">
        <v>4.06</v>
      </c>
      <c r="O1857">
        <v>89000</v>
      </c>
      <c r="P1857" t="inlineStr">
        <is>
          <t>6915c55e58a96d0001ed64bd</t>
        </is>
      </c>
      <c r="Q1857" t="inlineStr">
        <is>
          <t>🚫重复</t>
        </is>
      </c>
      <c r="R1857" t="inlineStr">
        <is>
          <t>14周</t>
        </is>
      </c>
      <c r="S1857" t="inlineStr">
        <is>
          <t>26.00</t>
        </is>
      </c>
      <c r="T1857" t="inlineStr">
        <is>
          <t>家居生活</t>
        </is>
      </c>
      <c r="U1857" t="inlineStr">
        <is>
          <t>家具家装</t>
        </is>
      </c>
      <c r="V1857" s="3">
        <v>46114.78872685185</v>
      </c>
      <c r="W1857" t="inlineStr">
        <is>
          <t>2026-Q2</t>
        </is>
      </c>
    </row>
    <row r="1858" ht="25.5" customHeight="1">
      <c r="A1858" t="inlineStr">
        <is>
          <t>杨先生 · 【全家福】手工青团咸味豆沙肉松清明粿艾叶粑粑糯米团特产零食</t>
        </is>
      </c>
      <c r="B1858" t="inlineStr">
        <is>
          <t>recvfD7quwa0zn.jpg</t>
        </is>
      </c>
      <c r="C1858" s="2" t="str">
        <f>=HYPERLINK("https://xhslink.com/m/ArYgEvZrSme", "https://xhslink.com/m/ArYgEvZrSme")</f>
        <v>https://xhslink.com/m/ArYgEvZrSme</v>
      </c>
      <c r="D1858"/>
      <c r="E1858">
        <v>7624</v>
      </c>
      <c r="F1858">
        <v>91.9</v>
      </c>
      <c r="G1858">
        <v>68.9</v>
      </c>
      <c r="H1858">
        <v>200</v>
      </c>
      <c r="I1858" t="inlineStr">
        <is>
          <t>咸口零食</t>
        </is>
      </c>
      <c r="J1858" t="inlineStr">
        <is>
          <t>0.03</t>
        </is>
      </c>
      <c r="K1858"/>
      <c r="L1858" t="inlineStr">
        <is>
          <t>杨先生旗舰店</t>
        </is>
      </c>
      <c r="M1858">
        <v>190000</v>
      </c>
      <c r="N1858">
        <v>4.72</v>
      </c>
      <c r="O1858">
        <v>816000</v>
      </c>
      <c r="P1858" t="inlineStr">
        <is>
          <t>69aa3a2e7d0ce00001595d7b</t>
        </is>
      </c>
      <c r="Q1858"/>
      <c r="R1858" t="inlineStr">
        <is>
          <t>14周</t>
        </is>
      </c>
      <c r="S1858" t="inlineStr">
        <is>
          <t>0.04</t>
        </is>
      </c>
      <c r="T1858" t="inlineStr">
        <is>
          <t>美食滋补</t>
        </is>
      </c>
      <c r="U1858" t="inlineStr">
        <is>
          <t>休闲零食</t>
        </is>
      </c>
      <c r="V1858" s="3">
        <v>46114.78872685185</v>
      </c>
      <c r="W1858" t="inlineStr">
        <is>
          <t>2026-Q2</t>
        </is>
      </c>
    </row>
    <row r="1859" ht="25.5" customHeight="1">
      <c r="A1859" t="inlineStr">
        <is>
          <t>田味坊风味年糕自选组合，小年糕大年糕都可以选择，满9元包邮</t>
        </is>
      </c>
      <c r="B1859" t="inlineStr">
        <is>
          <t>recvfD7quwYW56.jpg</t>
        </is>
      </c>
      <c r="C1859" s="2" t="str">
        <f>=HYPERLINK("https://xhslink.com/m/19Xv8p30Hs9", "https://xhslink.com/m/19Xv8p30Hs9")</f>
        <v>https://xhslink.com/m/19Xv8p30Hs9</v>
      </c>
      <c r="D1859"/>
      <c r="E1859">
        <v>172000</v>
      </c>
      <c r="F1859">
        <v>6</v>
      </c>
      <c r="G1859"/>
      <c r="H1859">
        <v>200</v>
      </c>
      <c r="I1859" t="inlineStr">
        <is>
          <t>咸口零食</t>
        </is>
      </c>
      <c r="J1859" t="inlineStr">
        <is>
          <t>0.00</t>
        </is>
      </c>
      <c r="K1859" t="inlineStr">
        <is>
          <t>🔥低粉爆款</t>
        </is>
      </c>
      <c r="L1859" t="inlineStr">
        <is>
          <t>田味坊美食好物的店</t>
        </is>
      </c>
      <c r="M1859">
        <v>27000</v>
      </c>
      <c r="N1859">
        <v>4.67</v>
      </c>
      <c r="O1859">
        <v>414000</v>
      </c>
      <c r="P1859" t="inlineStr">
        <is>
          <t>68c00942be71340001c6a825</t>
        </is>
      </c>
      <c r="Q1859"/>
      <c r="R1859" t="inlineStr">
        <is>
          <t>14周</t>
        </is>
      </c>
      <c r="S1859" t="inlineStr">
        <is>
          <t>6.37</t>
        </is>
      </c>
      <c r="T1859" t="inlineStr">
        <is>
          <t>美食滋补</t>
        </is>
      </c>
      <c r="U1859" t="inlineStr">
        <is>
          <t>休闲零食</t>
        </is>
      </c>
      <c r="V1859" s="3">
        <v>46114.78872685185</v>
      </c>
      <c r="W1859" t="inlineStr">
        <is>
          <t>2026-Q2</t>
        </is>
      </c>
    </row>
    <row r="1860" ht="25.5" customHeight="1">
      <c r="A1860" t="inlineStr">
        <is>
          <t>甜事歪理 · 睡个好觉睡衣礼盒长袖长裤合集生日礼物送闺蜜送女友学生</t>
        </is>
      </c>
      <c r="B1860" t="inlineStr">
        <is>
          <t>recvfKbRx1jsSw.jpg</t>
        </is>
      </c>
      <c r="C1860" s="2" t="str">
        <f>=HYPERLINK("https://xhslink.com/m/2j0BJ7st7iD", "https://xhslink.com/m/2j0BJ7st7iD")</f>
        <v>https://xhslink.com/m/2j0BJ7st7iD</v>
      </c>
      <c r="D1860"/>
      <c r="E1860">
        <v>6040</v>
      </c>
      <c r="F1860">
        <v>186</v>
      </c>
      <c r="G1860">
        <v>163.68</v>
      </c>
      <c r="H1860">
        <v>200</v>
      </c>
      <c r="I1860" t="inlineStr">
        <is>
          <t>睡衣家居服</t>
        </is>
      </c>
      <c r="J1860" t="inlineStr">
        <is>
          <t>0.03</t>
        </is>
      </c>
      <c r="K1860"/>
      <c r="L1860" t="inlineStr">
        <is>
          <t>甜事有礼的店</t>
        </is>
      </c>
      <c r="M1860">
        <v>3808</v>
      </c>
      <c r="N1860">
        <v>4.33</v>
      </c>
      <c r="O1860">
        <v>18000</v>
      </c>
      <c r="P1860" t="inlineStr">
        <is>
          <t>69785fabf5bc340001825fd2</t>
        </is>
      </c>
      <c r="Q1860"/>
      <c r="R1860" t="inlineStr">
        <is>
          <t>14周</t>
        </is>
      </c>
      <c r="S1860" t="inlineStr">
        <is>
          <t>1.59</t>
        </is>
      </c>
      <c r="T1860" t="inlineStr">
        <is>
          <t>服饰穿搭</t>
        </is>
      </c>
      <c r="U1860" t="inlineStr">
        <is>
          <t>女装</t>
        </is>
      </c>
      <c r="V1860" s="3">
        <v>46115.998090277775</v>
      </c>
      <c r="W1860" t="inlineStr">
        <is>
          <t>2026-Q2</t>
        </is>
      </c>
    </row>
    <row r="1861" ht="25.5" customHeight="1">
      <c r="A1861" t="inlineStr">
        <is>
          <t>粉波点草莓春秋季薄款睡衣女可爱长袖长裤甜妹家居服套装外穿春夏</t>
        </is>
      </c>
      <c r="B1861" t="inlineStr">
        <is>
          <t>recvfKbRx1BGam.jpg</t>
        </is>
      </c>
      <c r="C1861" s="2" t="str">
        <f>=HYPERLINK("https://xhslink.com/m/3A4kFsb1Hvi", "https://xhslink.com/m/3A4kFsb1Hvi")</f>
        <v>https://xhslink.com/m/3A4kFsb1Hvi</v>
      </c>
      <c r="D1861"/>
      <c r="E1861">
        <v>792</v>
      </c>
      <c r="F1861">
        <v>89</v>
      </c>
      <c r="G1861">
        <v>65.8</v>
      </c>
      <c r="H1861">
        <v>200</v>
      </c>
      <c r="I1861" t="inlineStr">
        <is>
          <t>睡衣家居服</t>
        </is>
      </c>
      <c r="J1861" t="inlineStr">
        <is>
          <t>0.25</t>
        </is>
      </c>
      <c r="K1861"/>
      <c r="L1861" t="inlineStr">
        <is>
          <t>一口一个蛋的店</t>
        </is>
      </c>
      <c r="M1861">
        <v>2294</v>
      </c>
      <c r="N1861">
        <v>4.48</v>
      </c>
      <c r="O1861">
        <v>34000</v>
      </c>
      <c r="P1861" t="inlineStr">
        <is>
          <t>687726d1f9d7c80001e4115b</t>
        </is>
      </c>
      <c r="Q1861" t="inlineStr">
        <is>
          <t>🚫重复</t>
        </is>
      </c>
      <c r="R1861" t="inlineStr">
        <is>
          <t>14周</t>
        </is>
      </c>
      <c r="S1861" t="inlineStr">
        <is>
          <t>0.35</t>
        </is>
      </c>
      <c r="T1861" t="inlineStr">
        <is>
          <t>服饰穿搭</t>
        </is>
      </c>
      <c r="U1861" t="inlineStr">
        <is>
          <t>女装</t>
        </is>
      </c>
      <c r="V1861" s="3">
        <v>46115.998090277775</v>
      </c>
      <c r="W1861" t="inlineStr">
        <is>
          <t>2026-Q2</t>
        </is>
      </c>
    </row>
    <row r="1862" ht="25.5" customHeight="1">
      <c r="A1862" t="inlineStr">
        <is>
          <t>蓝幻小猫｜A类100%棉春夏秋季睡衣女纯棉纱布宽松可爱家居服套装</t>
        </is>
      </c>
      <c r="B1862" t="inlineStr">
        <is>
          <t>recvfKbRx1pmkT.jpg</t>
        </is>
      </c>
      <c r="C1862" s="2" t="str">
        <f>=HYPERLINK("https://xhslink.com/m/4A4l4cScjts", "https://xhslink.com/m/4A4l4cScjts")</f>
        <v>https://xhslink.com/m/4A4l4cScjts</v>
      </c>
      <c r="D1862"/>
      <c r="E1862">
        <v>6736</v>
      </c>
      <c r="F1862">
        <v>86</v>
      </c>
      <c r="G1862">
        <v>66</v>
      </c>
      <c r="H1862">
        <v>200</v>
      </c>
      <c r="I1862" t="inlineStr">
        <is>
          <t>睡衣家居服</t>
        </is>
      </c>
      <c r="J1862" t="inlineStr">
        <is>
          <t>0.03</t>
        </is>
      </c>
      <c r="K1862"/>
      <c r="L1862" t="inlineStr">
        <is>
          <t>咕噜小鱼饼的店</t>
        </is>
      </c>
      <c r="M1862">
        <v>28000</v>
      </c>
      <c r="N1862">
        <v>4.51</v>
      </c>
      <c r="O1862">
        <v>49000</v>
      </c>
      <c r="P1862" t="inlineStr">
        <is>
          <t>67fcb5b326cdaf00017e3857</t>
        </is>
      </c>
      <c r="Q1862"/>
      <c r="R1862" t="inlineStr">
        <is>
          <t>14周</t>
        </is>
      </c>
      <c r="S1862" t="inlineStr">
        <is>
          <t>0.24</t>
        </is>
      </c>
      <c r="T1862" t="inlineStr">
        <is>
          <t>服饰穿搭</t>
        </is>
      </c>
      <c r="U1862" t="inlineStr">
        <is>
          <t>女装</t>
        </is>
      </c>
      <c r="V1862" s="3">
        <v>46115.998090277775</v>
      </c>
      <c r="W1862" t="inlineStr">
        <is>
          <t>2026-Q2</t>
        </is>
      </c>
    </row>
    <row r="1863" ht="25.5" customHeight="1">
      <c r="A1863" t="inlineStr">
        <is>
          <t>米菲兔春秋薄款睡衣女长袖透气云朵棉纱可爱少女短袖家居服套装夏</t>
        </is>
      </c>
      <c r="B1863" t="inlineStr">
        <is>
          <t>recvfKbRx10X3X.jpg</t>
        </is>
      </c>
      <c r="C1863" s="2" t="str">
        <f>=HYPERLINK("https://xhslink.com/m/1JYJUI9oF4S", "https://xhslink.com/m/1JYJUI9oF4S")</f>
        <v>https://xhslink.com/m/1JYJUI9oF4S</v>
      </c>
      <c r="D1863"/>
      <c r="E1863">
        <v>679</v>
      </c>
      <c r="F1863">
        <v>109.8</v>
      </c>
      <c r="G1863">
        <v>59.8</v>
      </c>
      <c r="H1863">
        <v>200</v>
      </c>
      <c r="I1863" t="inlineStr">
        <is>
          <t>睡衣家居服</t>
        </is>
      </c>
      <c r="J1863" t="inlineStr">
        <is>
          <t>0.29</t>
        </is>
      </c>
      <c r="K1863"/>
      <c r="L1863" t="inlineStr">
        <is>
          <t>一口一个蛋的店</t>
        </is>
      </c>
      <c r="M1863">
        <v>2294</v>
      </c>
      <c r="N1863">
        <v>4.48</v>
      </c>
      <c r="O1863">
        <v>34000</v>
      </c>
      <c r="P1863" t="inlineStr">
        <is>
          <t>69736e0df5bc340001e1828a</t>
        </is>
      </c>
      <c r="Q1863" t="inlineStr">
        <is>
          <t>🚫重复</t>
        </is>
      </c>
      <c r="R1863" t="inlineStr">
        <is>
          <t>14周</t>
        </is>
      </c>
      <c r="S1863" t="inlineStr">
        <is>
          <t>0.30</t>
        </is>
      </c>
      <c r="T1863" t="inlineStr">
        <is>
          <t>服饰穿搭</t>
        </is>
      </c>
      <c r="U1863" t="inlineStr">
        <is>
          <t>女装</t>
        </is>
      </c>
      <c r="V1863" s="3">
        <v>46115.998090277775</v>
      </c>
      <c r="W1863" t="inlineStr">
        <is>
          <t>2026-Q2</t>
        </is>
      </c>
    </row>
    <row r="1864" ht="25.5" customHeight="1">
      <c r="A1864" t="inlineStr">
        <is>
          <t>【虞UU】户外美式！春夏男女速干吸汗运动健身训练服速干长袖T恤</t>
        </is>
      </c>
      <c r="B1864" t="inlineStr">
        <is>
          <t>recvfKbRx1KN28.jpg</t>
        </is>
      </c>
      <c r="C1864" s="2" t="str">
        <f>=HYPERLINK("https://xhslink.com/m/1YyhYaAs9j5", "https://xhslink.com/m/1YyhYaAs9j5")</f>
        <v>https://xhslink.com/m/1YyhYaAs9j5</v>
      </c>
      <c r="D1864"/>
      <c r="E1864">
        <v>10000</v>
      </c>
      <c r="F1864">
        <v>39.9</v>
      </c>
      <c r="G1864"/>
      <c r="H1864">
        <v>200</v>
      </c>
      <c r="I1864" t="inlineStr">
        <is>
          <t>速干长袖</t>
        </is>
      </c>
      <c r="J1864" t="inlineStr">
        <is>
          <t>0.02</t>
        </is>
      </c>
      <c r="K1864"/>
      <c r="L1864" t="inlineStr">
        <is>
          <t>虞优的U的店</t>
        </is>
      </c>
      <c r="M1864">
        <v>11000</v>
      </c>
      <c r="N1864">
        <v>4.38</v>
      </c>
      <c r="O1864">
        <v>104000</v>
      </c>
      <c r="P1864" t="inlineStr">
        <is>
          <t>67bb5f567198db0001209f0d</t>
        </is>
      </c>
      <c r="Q1864" t="inlineStr">
        <is>
          <t>🚫重复</t>
        </is>
      </c>
      <c r="R1864" t="inlineStr">
        <is>
          <t>14周</t>
        </is>
      </c>
      <c r="S1864" t="inlineStr">
        <is>
          <t>0.91</t>
        </is>
      </c>
      <c r="T1864" t="inlineStr">
        <is>
          <t>服饰穿搭</t>
        </is>
      </c>
      <c r="U1864" t="inlineStr">
        <is>
          <t>女装</t>
        </is>
      </c>
      <c r="V1864" s="3">
        <v>46115.998090277775</v>
      </c>
      <c r="W1864" t="inlineStr">
        <is>
          <t>2026-Q2</t>
        </is>
      </c>
    </row>
    <row r="1865" ht="25.5" customHeight="1">
      <c r="A1865" t="inlineStr">
        <is>
          <t>23瑜伽服运动上衣春季款圆领高弹显瘦专业运动长袖跑步速干健身服</t>
        </is>
      </c>
      <c r="B1865" t="inlineStr">
        <is>
          <t>recvfKbRx1114F.jpg</t>
        </is>
      </c>
      <c r="C1865" s="2" t="str">
        <f>=HYPERLINK("https://xhslink.com/m/ACxq8XUvvyE", "https://xhslink.com/m/ACxq8XUvvyE")</f>
        <v>https://xhslink.com/m/ACxq8XUvvyE</v>
      </c>
      <c r="D1865"/>
      <c r="E1865">
        <v>20000</v>
      </c>
      <c r="F1865">
        <v>49.99</v>
      </c>
      <c r="G1865"/>
      <c r="H1865">
        <v>200</v>
      </c>
      <c r="I1865" t="inlineStr">
        <is>
          <t>速干长袖</t>
        </is>
      </c>
      <c r="J1865" t="inlineStr">
        <is>
          <t>0.01</t>
        </is>
      </c>
      <c r="K1865"/>
      <c r="L1865" t="inlineStr">
        <is>
          <t>瑜伽少女Yoga的店</t>
        </is>
      </c>
      <c r="M1865">
        <v>10000</v>
      </c>
      <c r="N1865">
        <v>4.68</v>
      </c>
      <c r="O1865">
        <v>253000</v>
      </c>
      <c r="P1865" t="inlineStr">
        <is>
          <t>68bbc37fd471ac0001126943</t>
        </is>
      </c>
      <c r="Q1865" t="inlineStr">
        <is>
          <t>🚫重复</t>
        </is>
      </c>
      <c r="R1865" t="inlineStr">
        <is>
          <t>14周</t>
        </is>
      </c>
      <c r="S1865" t="inlineStr">
        <is>
          <t>2.00</t>
        </is>
      </c>
      <c r="T1865" t="inlineStr">
        <is>
          <t>运动潮玩</t>
        </is>
      </c>
      <c r="U1865" t="inlineStr">
        <is>
          <t>运动户外装备</t>
        </is>
      </c>
      <c r="V1865" s="3">
        <v>46115.998090277775</v>
      </c>
      <c r="W1865" t="inlineStr">
        <is>
          <t>2026-Q2</t>
        </is>
      </c>
    </row>
    <row r="1866" ht="25.5" customHeight="1">
      <c r="A1866" t="inlineStr">
        <is>
          <t>A.M.G · 双头卧蚕笔珠光提靓亮晶晶哑光自然浅棕色阴影下至学生新手平价d2</t>
        </is>
      </c>
      <c r="B1866" t="inlineStr">
        <is>
          <t>recvfKbRx1thw3.jpg</t>
        </is>
      </c>
      <c r="C1866" s="2" t="str">
        <f>=HYPERLINK("https://xhslink.com/m/9ltLMTRTx4q", "https://xhslink.com/m/9ltLMTRTx4q")</f>
        <v>https://xhslink.com/m/9ltLMTRTx4q</v>
      </c>
      <c r="D1866"/>
      <c r="E1866">
        <v>115000</v>
      </c>
      <c r="F1866">
        <v>30.8</v>
      </c>
      <c r="G1866">
        <v>15.8</v>
      </c>
      <c r="H1866">
        <v>200</v>
      </c>
      <c r="I1866" t="inlineStr">
        <is>
          <t>面部色彩</t>
        </is>
      </c>
      <c r="J1866" t="inlineStr">
        <is>
          <t>0.00</t>
        </is>
      </c>
      <c r="K1866" t="inlineStr">
        <is>
          <t>🔥低粉爆款</t>
        </is>
      </c>
      <c r="L1866" t="inlineStr">
        <is>
          <t>BANGNA邦娜彩妆的店</t>
        </is>
      </c>
      <c r="M1866">
        <v>1255</v>
      </c>
      <c r="N1866">
        <v>4.39</v>
      </c>
      <c r="O1866">
        <v>166000</v>
      </c>
      <c r="P1866" t="inlineStr">
        <is>
          <t>67cbfc56e15c9100010e0086</t>
        </is>
      </c>
      <c r="Q1866" t="inlineStr">
        <is>
          <t>🚫重复</t>
        </is>
      </c>
      <c r="R1866" t="inlineStr">
        <is>
          <t>14周</t>
        </is>
      </c>
      <c r="S1866" t="inlineStr">
        <is>
          <t>91.63</t>
        </is>
      </c>
      <c r="T1866" t="inlineStr">
        <is>
          <t>美妆个护</t>
        </is>
      </c>
      <c r="U1866" t="inlineStr">
        <is>
          <t>护肤彩妆</t>
        </is>
      </c>
      <c r="V1866" s="3">
        <v>46115.998090277775</v>
      </c>
      <c r="W1866" t="inlineStr">
        <is>
          <t>2026-Q2</t>
        </is>
      </c>
    </row>
    <row r="1867" ht="25.5" customHeight="1">
      <c r="A1867" t="inlineStr">
        <is>
          <t>ERSHIQI · 韩系26色超女Super GIRL眼影哑珠光细闪低饱和大地</t>
        </is>
      </c>
      <c r="B1867" t="inlineStr">
        <is>
          <t>recvfKbRx17okc.jpg</t>
        </is>
      </c>
      <c r="C1867" s="2" t="str">
        <f>=HYPERLINK("https://xhslink.com/m/759Br04Yj1p", "https://xhslink.com/m/759Br04Yj1p")</f>
        <v>https://xhslink.com/m/759Br04Yj1p</v>
      </c>
      <c r="D1867"/>
      <c r="E1867">
        <v>30000</v>
      </c>
      <c r="F1867">
        <v>25.8</v>
      </c>
      <c r="G1867">
        <v>9.8</v>
      </c>
      <c r="H1867">
        <v>200</v>
      </c>
      <c r="I1867" t="inlineStr">
        <is>
          <t>面部色彩</t>
        </is>
      </c>
      <c r="J1867" t="inlineStr">
        <is>
          <t>0.01</t>
        </is>
      </c>
      <c r="K1867" t="inlineStr">
        <is>
          <t>🔥低粉爆款</t>
        </is>
      </c>
      <c r="L1867" t="inlineStr">
        <is>
          <t>半勺甜甜粥的店</t>
        </is>
      </c>
      <c r="M1867">
        <v>2932</v>
      </c>
      <c r="N1867">
        <v>4.6</v>
      </c>
      <c r="O1867">
        <v>89000</v>
      </c>
      <c r="P1867" t="inlineStr">
        <is>
          <t>682ac70adc7a6b001527d4d3</t>
        </is>
      </c>
      <c r="Q1867" t="inlineStr">
        <is>
          <t>🚫重复</t>
        </is>
      </c>
      <c r="R1867" t="inlineStr">
        <is>
          <t>14周</t>
        </is>
      </c>
      <c r="S1867" t="inlineStr">
        <is>
          <t>10.23</t>
        </is>
      </c>
      <c r="T1867" t="inlineStr">
        <is>
          <t>美妆个护</t>
        </is>
      </c>
      <c r="U1867" t="inlineStr">
        <is>
          <t>护肤彩妆</t>
        </is>
      </c>
      <c r="V1867" s="3">
        <v>46115.998090277775</v>
      </c>
      <c r="W1867" t="inlineStr">
        <is>
          <t>2026-Q2</t>
        </is>
      </c>
    </row>
    <row r="1868" ht="25.5" customHeight="1">
      <c r="A1868" t="inlineStr">
        <is>
          <t>【多巴胺】晨总自制夏季外穿修身显瘦短款百搭纯色美背背心女</t>
        </is>
      </c>
      <c r="B1868" t="inlineStr">
        <is>
          <t>recvfKbRx1ahT9.jpg</t>
        </is>
      </c>
      <c r="C1868" s="2" t="str">
        <f>=HYPERLINK("https://xhslink.com/m/9NyOTm3oQpp", "https://xhslink.com/m/9NyOTm3oQpp")</f>
        <v>https://xhslink.com/m/9NyOTm3oQpp</v>
      </c>
      <c r="D1868"/>
      <c r="E1868">
        <v>43000</v>
      </c>
      <c r="F1868">
        <v>49</v>
      </c>
      <c r="G1868">
        <v>44</v>
      </c>
      <c r="H1868">
        <v>200</v>
      </c>
      <c r="I1868" t="inlineStr">
        <is>
          <t>运动背心</t>
        </is>
      </c>
      <c r="J1868" t="inlineStr">
        <is>
          <t>0.00</t>
        </is>
      </c>
      <c r="K1868"/>
      <c r="L1868" t="inlineStr">
        <is>
          <t>晨总家的店</t>
        </is>
      </c>
      <c r="M1868">
        <v>33000</v>
      </c>
      <c r="N1868">
        <v>4.54</v>
      </c>
      <c r="O1868">
        <v>130000</v>
      </c>
      <c r="P1868" t="inlineStr">
        <is>
          <t>681d71d5927b0e0001ffa17f</t>
        </is>
      </c>
      <c r="Q1868" t="inlineStr">
        <is>
          <t>🚫重复</t>
        </is>
      </c>
      <c r="R1868" t="inlineStr">
        <is>
          <t>14周</t>
        </is>
      </c>
      <c r="S1868" t="inlineStr">
        <is>
          <t>1.30</t>
        </is>
      </c>
      <c r="T1868" t="inlineStr">
        <is>
          <t>服饰穿搭</t>
        </is>
      </c>
      <c r="U1868" t="inlineStr">
        <is>
          <t>女装</t>
        </is>
      </c>
      <c r="V1868" s="3">
        <v>46115.998090277775</v>
      </c>
      <c r="W1868" t="inlineStr">
        <is>
          <t>2026-Q2</t>
        </is>
      </c>
    </row>
    <row r="1869" ht="25.5" customHeight="1">
      <c r="A1869" t="inlineStr">
        <is>
          <t>九觅无限原创LOGO辣妹跳舞闪小胸挂脖可外穿背心运动三角杯无钢圈</t>
        </is>
      </c>
      <c r="B1869" t="inlineStr">
        <is>
          <t>recvfKbRx1DTgs.jpg</t>
        </is>
      </c>
      <c r="C1869" s="2" t="str">
        <f>=HYPERLINK("https://xhslink.com/m/3KVTHkbrrUx", "https://xhslink.com/m/3KVTHkbrrUx")</f>
        <v>https://xhslink.com/m/3KVTHkbrrUx</v>
      </c>
      <c r="D1869"/>
      <c r="E1869">
        <v>1409</v>
      </c>
      <c r="F1869">
        <v>78</v>
      </c>
      <c r="G1869">
        <v>73</v>
      </c>
      <c r="H1869">
        <v>200</v>
      </c>
      <c r="I1869" t="inlineStr">
        <is>
          <t>运动背心</t>
        </is>
      </c>
      <c r="J1869" t="inlineStr">
        <is>
          <t>0.14</t>
        </is>
      </c>
      <c r="K1869"/>
      <c r="L1869" t="inlineStr">
        <is>
          <t>欣欣儿的share的店</t>
        </is>
      </c>
      <c r="M1869">
        <v>8255</v>
      </c>
      <c r="N1869">
        <v>4.69</v>
      </c>
      <c r="O1869">
        <v>4218</v>
      </c>
      <c r="P1869" t="inlineStr">
        <is>
          <t>69bee1f799f8fe000198584d</t>
        </is>
      </c>
      <c r="Q1869"/>
      <c r="R1869" t="inlineStr">
        <is>
          <t>14周</t>
        </is>
      </c>
      <c r="S1869" t="inlineStr">
        <is>
          <t>0.17</t>
        </is>
      </c>
      <c r="T1869" t="inlineStr">
        <is>
          <t>服饰穿搭</t>
        </is>
      </c>
      <c r="U1869" t="inlineStr">
        <is>
          <t>女装</t>
        </is>
      </c>
      <c r="V1869" s="3">
        <v>46115.998090277775</v>
      </c>
      <c r="W1869" t="inlineStr">
        <is>
          <t>2026-Q2</t>
        </is>
      </c>
    </row>
    <row r="1870" ht="25.5" customHeight="1">
      <c r="A1870" t="inlineStr">
        <is>
          <t>2026春夏法式高级感显瘦粉色高腰半身裙女长款裙子伞裙拖地长裙</t>
        </is>
      </c>
      <c r="B1870" t="inlineStr">
        <is>
          <t>recvfKbRx1Ynxo.jpg</t>
        </is>
      </c>
      <c r="C1870" s="2" t="str">
        <f>=HYPERLINK("https://xhslink.com/m/6n5nmz9NK6A", "https://xhslink.com/m/6n5nmz9NK6A")</f>
        <v>https://xhslink.com/m/6n5nmz9NK6A</v>
      </c>
      <c r="D1870"/>
      <c r="E1870">
        <v>20000</v>
      </c>
      <c r="F1870">
        <v>129</v>
      </c>
      <c r="G1870">
        <v>109</v>
      </c>
      <c r="H1870">
        <v>200</v>
      </c>
      <c r="I1870" t="inlineStr">
        <is>
          <t>裙子</t>
        </is>
      </c>
      <c r="J1870" t="inlineStr">
        <is>
          <t>0.01</t>
        </is>
      </c>
      <c r="K1870"/>
      <c r="L1870" t="inlineStr">
        <is>
          <t>CHUQINGDULI的店</t>
        </is>
      </c>
      <c r="M1870">
        <v>14000</v>
      </c>
      <c r="N1870">
        <v>4.58</v>
      </c>
      <c r="O1870">
        <v>51000</v>
      </c>
      <c r="P1870" t="inlineStr">
        <is>
          <t>65d87dff365e4e00011cfabc</t>
        </is>
      </c>
      <c r="Q1870"/>
      <c r="R1870" t="inlineStr">
        <is>
          <t>14周</t>
        </is>
      </c>
      <c r="S1870" t="inlineStr">
        <is>
          <t>1.43</t>
        </is>
      </c>
      <c r="T1870" t="inlineStr">
        <is>
          <t>服饰穿搭</t>
        </is>
      </c>
      <c r="U1870" t="inlineStr">
        <is>
          <t>女装</t>
        </is>
      </c>
      <c r="V1870" s="3">
        <v>46115.998090277775</v>
      </c>
      <c r="W1870" t="inlineStr">
        <is>
          <t>2026-Q2</t>
        </is>
      </c>
    </row>
    <row r="1871" ht="25.5" customHeight="1">
      <c r="A1871" t="inlineStr">
        <is>
          <t>贡枝果栈 · 新鲜无花果农家应季时令水果天然孕妇下奶鲜果现摘现发顺丰包邮</t>
        </is>
      </c>
      <c r="B1871" t="inlineStr">
        <is>
          <t>recvfKbRx1Wgrb.jpg</t>
        </is>
      </c>
      <c r="C1871" s="2" t="str">
        <f>=HYPERLINK("https://xhslink.com/m/7YuKK8JJbsZ", "https://xhslink.com/m/7YuKK8JJbsZ")</f>
        <v>https://xhslink.com/m/7YuKK8JJbsZ</v>
      </c>
      <c r="D1871"/>
      <c r="E1871">
        <v>205000</v>
      </c>
      <c r="F1871">
        <v>68.9</v>
      </c>
      <c r="G1871"/>
      <c r="H1871">
        <v>200</v>
      </c>
      <c r="I1871" t="inlineStr">
        <is>
          <t>水果</t>
        </is>
      </c>
      <c r="J1871" t="inlineStr">
        <is>
          <t>0.00</t>
        </is>
      </c>
      <c r="K1871" t="inlineStr">
        <is>
          <t>🔥低粉爆款</t>
        </is>
      </c>
      <c r="L1871" t="inlineStr">
        <is>
          <t>贡枝果栈旗舰店</t>
        </is>
      </c>
      <c r="M1871">
        <v>10000</v>
      </c>
      <c r="N1871">
        <v>4.6</v>
      </c>
      <c r="O1871">
        <v>238000</v>
      </c>
      <c r="P1871" t="inlineStr">
        <is>
          <t>6911f714f08ff500015b710d</t>
        </is>
      </c>
      <c r="Q1871" t="inlineStr">
        <is>
          <t>🚫重复</t>
        </is>
      </c>
      <c r="R1871" t="inlineStr">
        <is>
          <t>14周</t>
        </is>
      </c>
      <c r="S1871" t="inlineStr">
        <is>
          <t>20.50</t>
        </is>
      </c>
      <c r="T1871" t="inlineStr">
        <is>
          <t>美食滋补</t>
        </is>
      </c>
      <c r="U1871" t="inlineStr">
        <is>
          <t>生鲜特产</t>
        </is>
      </c>
      <c r="V1871" s="3">
        <v>46115.998090277775</v>
      </c>
      <c r="W1871" t="inlineStr">
        <is>
          <t>2026-Q2</t>
        </is>
      </c>
    </row>
    <row r="1872" ht="25.5" customHeight="1">
      <c r="A1872" t="inlineStr">
        <is>
          <t>西域伯爵 · 【需要催熟/也可以生吃】海南金煌芒纸核芒新鲜应季核薄无丝</t>
        </is>
      </c>
      <c r="B1872" t="inlineStr">
        <is>
          <t>recvfKbRx1pq2X_fix.jpg</t>
        </is>
      </c>
      <c r="C1872" s="2" t="str">
        <f>=HYPERLINK("https://xhslink.com/m/5fpW4XNW68d", "https://xhslink.com/m/5fpW4XNW68d")</f>
        <v>https://xhslink.com/m/5fpW4XNW68d</v>
      </c>
      <c r="D1872"/>
      <c r="E1872">
        <v>517000</v>
      </c>
      <c r="F1872">
        <v>49.9</v>
      </c>
      <c r="G1872"/>
      <c r="H1872">
        <v>200</v>
      </c>
      <c r="I1872" t="inlineStr">
        <is>
          <t>水果</t>
        </is>
      </c>
      <c r="J1872" t="inlineStr">
        <is>
          <t>0.00</t>
        </is>
      </c>
      <c r="K1872" t="inlineStr">
        <is>
          <t>🔥低粉爆款</t>
        </is>
      </c>
      <c r="L1872" t="inlineStr">
        <is>
          <t>西域伯爵旗舰店</t>
        </is>
      </c>
      <c r="M1872">
        <v>2157</v>
      </c>
      <c r="N1872">
        <v>4.46</v>
      </c>
      <c r="O1872">
        <v>142000</v>
      </c>
      <c r="P1872" t="inlineStr">
        <is>
          <t>682aac8880956a0001526b0e</t>
        </is>
      </c>
      <c r="Q1872" t="inlineStr">
        <is>
          <t>🚫重复</t>
        </is>
      </c>
      <c r="R1872" t="inlineStr">
        <is>
          <t>14周</t>
        </is>
      </c>
      <c r="S1872" t="inlineStr">
        <is>
          <t>239.68</t>
        </is>
      </c>
      <c r="T1872" t="inlineStr">
        <is>
          <t>美食滋补</t>
        </is>
      </c>
      <c r="U1872" t="inlineStr">
        <is>
          <t>生鲜特产</t>
        </is>
      </c>
      <c r="V1872" s="3">
        <v>46115.998090277775</v>
      </c>
      <c r="W1872" t="inlineStr">
        <is>
          <t>2026-Q2</t>
        </is>
      </c>
    </row>
    <row r="1873" ht="25.5" customHeight="1">
      <c r="A1873" t="inlineStr">
        <is>
          <t>米菲兔春秋薄款睡衣女长袖透气云朵棉纱可爱少女短袖家居服套装夏</t>
        </is>
      </c>
      <c r="B1873" t="inlineStr">
        <is>
          <t>recvfKbRx1RCDl.jpg</t>
        </is>
      </c>
      <c r="C1873" s="2" t="str">
        <f>=HYPERLINK("https://xhslink.com/m/5rh0cAkQKHL", "https://xhslink.com/m/5rh0cAkQKHL")</f>
        <v>https://xhslink.com/m/5rh0cAkQKHL</v>
      </c>
      <c r="D1873"/>
      <c r="E1873">
        <v>695</v>
      </c>
      <c r="F1873">
        <v>99.8</v>
      </c>
      <c r="G1873">
        <v>69.8</v>
      </c>
      <c r="H1873">
        <v>200</v>
      </c>
      <c r="I1873" t="inlineStr">
        <is>
          <t>夏季睡衣</t>
        </is>
      </c>
      <c r="J1873" t="inlineStr">
        <is>
          <t>0.29</t>
        </is>
      </c>
      <c r="K1873"/>
      <c r="L1873" t="inlineStr">
        <is>
          <t>一口一个蛋的店</t>
        </is>
      </c>
      <c r="M1873">
        <v>2294</v>
      </c>
      <c r="N1873">
        <v>4.48</v>
      </c>
      <c r="O1873">
        <v>34000</v>
      </c>
      <c r="P1873" t="inlineStr">
        <is>
          <t>69c2612815bd740001cb2b12</t>
        </is>
      </c>
      <c r="Q1873" t="inlineStr">
        <is>
          <t>🚫重复</t>
        </is>
      </c>
      <c r="R1873" t="inlineStr">
        <is>
          <t>14周</t>
        </is>
      </c>
      <c r="S1873" t="inlineStr">
        <is>
          <t>0.30</t>
        </is>
      </c>
      <c r="T1873" t="inlineStr">
        <is>
          <t>服饰穿搭</t>
        </is>
      </c>
      <c r="U1873" t="inlineStr">
        <is>
          <t>女装</t>
        </is>
      </c>
      <c r="V1873" s="3">
        <v>46115.998090277775</v>
      </c>
      <c r="W1873" t="inlineStr">
        <is>
          <t>2026-Q2</t>
        </is>
      </c>
    </row>
    <row r="1874" ht="25.5" customHeight="1">
      <c r="A1874" t="inlineStr">
        <is>
          <t>泡泡羊自制· 【天丝亚麻直筒空调裤】微胖可穿会呼吸的低腰裤</t>
        </is>
      </c>
      <c r="B1874" t="inlineStr">
        <is>
          <t>recvfKbRx1q08U.jpg</t>
        </is>
      </c>
      <c r="C1874" s="2" t="str">
        <f>=HYPERLINK("https://xhslink.com/m/8ZZS8rb2bFR", "https://xhslink.com/m/8ZZS8rb2bFR")</f>
        <v>https://xhslink.com/m/8ZZS8rb2bFR</v>
      </c>
      <c r="D1874"/>
      <c r="E1874">
        <v>15000</v>
      </c>
      <c r="F1874">
        <v>93</v>
      </c>
      <c r="G1874"/>
      <c r="H1874">
        <v>200</v>
      </c>
      <c r="I1874" t="inlineStr">
        <is>
          <t>裤子</t>
        </is>
      </c>
      <c r="J1874" t="inlineStr">
        <is>
          <t>0.01</t>
        </is>
      </c>
      <c r="K1874"/>
      <c r="L1874" t="inlineStr">
        <is>
          <t>小羊来个泡泡糖的店</t>
        </is>
      </c>
      <c r="M1874">
        <v>67000</v>
      </c>
      <c r="N1874">
        <v>4.72</v>
      </c>
      <c r="O1874">
        <v>237000</v>
      </c>
      <c r="P1874" t="inlineStr">
        <is>
          <t>68553f477590770001611c5b</t>
        </is>
      </c>
      <c r="Q1874" t="inlineStr">
        <is>
          <t>🚫重复</t>
        </is>
      </c>
      <c r="R1874" t="inlineStr">
        <is>
          <t>14周</t>
        </is>
      </c>
      <c r="S1874" t="inlineStr">
        <is>
          <t>0.22</t>
        </is>
      </c>
      <c r="T1874" t="inlineStr">
        <is>
          <t>数码家电</t>
        </is>
      </c>
      <c r="U1874" t="inlineStr">
        <is>
          <t>大家电</t>
        </is>
      </c>
      <c r="V1874" s="3">
        <v>46115.998090277775</v>
      </c>
      <c r="W1874" t="inlineStr">
        <is>
          <t>2026-Q2</t>
        </is>
      </c>
    </row>
    <row r="1875" ht="25.5" customHeight="1">
      <c r="A1875" t="inlineStr">
        <is>
          <t>【亏本冲销量29.9包邮】春夏高级感奶皮醋酸绒褶皱慵懒风山本裤</t>
        </is>
      </c>
      <c r="B1875" t="inlineStr">
        <is>
          <t>recvfKbRx1GupS.jpg</t>
        </is>
      </c>
      <c r="C1875" s="2" t="str">
        <f>=HYPERLINK("https://xhslink.com/m/lPvyhR58KC", "https://xhslink.com/m/lPvyhR58KC")</f>
        <v>https://xhslink.com/m/lPvyhR58KC</v>
      </c>
      <c r="D1875"/>
      <c r="E1875">
        <v>41000</v>
      </c>
      <c r="F1875">
        <v>79.9</v>
      </c>
      <c r="G1875">
        <v>29.9</v>
      </c>
      <c r="H1875">
        <v>200</v>
      </c>
      <c r="I1875" t="inlineStr">
        <is>
          <t>裤子</t>
        </is>
      </c>
      <c r="J1875" t="inlineStr">
        <is>
          <t>0.00</t>
        </is>
      </c>
      <c r="K1875"/>
      <c r="L1875" t="inlineStr">
        <is>
          <t>小橘子爱喝酒的店</t>
        </is>
      </c>
      <c r="M1875">
        <v>927000</v>
      </c>
      <c r="N1875">
        <v>4.65</v>
      </c>
      <c r="O1875">
        <v>995000</v>
      </c>
      <c r="P1875" t="inlineStr">
        <is>
          <t>6662646f76a9fe00010e38a8</t>
        </is>
      </c>
      <c r="Q1875" t="inlineStr">
        <is>
          <t>🚫重复</t>
        </is>
      </c>
      <c r="R1875" t="inlineStr">
        <is>
          <t>14周</t>
        </is>
      </c>
      <c r="S1875" t="inlineStr">
        <is>
          <t>0.04</t>
        </is>
      </c>
      <c r="T1875" t="inlineStr">
        <is>
          <t>服饰穿搭</t>
        </is>
      </c>
      <c r="U1875" t="inlineStr">
        <is>
          <t>女装</t>
        </is>
      </c>
      <c r="V1875" s="3">
        <v>46115.998090277775</v>
      </c>
      <c r="W1875" t="inlineStr">
        <is>
          <t>2026-Q2</t>
        </is>
      </c>
    </row>
    <row r="1876" ht="25.5" customHeight="1">
      <c r="A1876" t="inlineStr">
        <is>
          <t>Luuu7定制韩女裤 自带丰胯垫~掐腰丰胯翘臀高腰弹力微喇裤 偏小！</t>
        </is>
      </c>
      <c r="B1876" t="inlineStr">
        <is>
          <t>recvfKbRx1jGes.jpg</t>
        </is>
      </c>
      <c r="C1876" s="2" t="str">
        <f>=HYPERLINK("https://xhslink.com/m/7gNGscH0QLv", "https://xhslink.com/m/7gNGscH0QLv")</f>
        <v>https://xhslink.com/m/7gNGscH0QLv</v>
      </c>
      <c r="D1876"/>
      <c r="E1876">
        <v>76000</v>
      </c>
      <c r="F1876">
        <v>119</v>
      </c>
      <c r="G1876"/>
      <c r="H1876">
        <v>200</v>
      </c>
      <c r="I1876" t="inlineStr">
        <is>
          <t>裤子</t>
        </is>
      </c>
      <c r="J1876" t="inlineStr">
        <is>
          <t>0.00</t>
        </is>
      </c>
      <c r="K1876"/>
      <c r="L1876" t="inlineStr">
        <is>
          <t>67不吃辣的店</t>
        </is>
      </c>
      <c r="M1876">
        <v>27000</v>
      </c>
      <c r="N1876">
        <v>4.71</v>
      </c>
      <c r="O1876">
        <v>156000</v>
      </c>
      <c r="P1876" t="inlineStr">
        <is>
          <t>66ab68fcb81ac20001aab9e8</t>
        </is>
      </c>
      <c r="Q1876" t="inlineStr">
        <is>
          <t>🚫重复</t>
        </is>
      </c>
      <c r="R1876" t="inlineStr">
        <is>
          <t>14周</t>
        </is>
      </c>
      <c r="S1876" t="inlineStr">
        <is>
          <t>2.81</t>
        </is>
      </c>
      <c r="T1876" t="inlineStr">
        <is>
          <t>服饰穿搭</t>
        </is>
      </c>
      <c r="U1876" t="inlineStr">
        <is>
          <t>女装</t>
        </is>
      </c>
      <c r="V1876" s="3">
        <v>46115.998090277775</v>
      </c>
      <c r="W1876" t="inlineStr">
        <is>
          <t>2026-Q2</t>
        </is>
      </c>
    </row>
    <row r="1877" ht="25.5" customHeight="1">
      <c r="A1877" t="inlineStr">
        <is>
          <t>【最强黑/白牛】超模弹力直筒微喇窄版中腰牛仔裤</t>
        </is>
      </c>
      <c r="B1877" t="inlineStr">
        <is>
          <t>recvfKbRx1bllb.jpg</t>
        </is>
      </c>
      <c r="C1877" s="2" t="str">
        <f>=HYPERLINK("https://xhslink.com/m/A9hIqfNMszo", "https://xhslink.com/m/A9hIqfNMszo")</f>
        <v>https://xhslink.com/m/A9hIqfNMszo</v>
      </c>
      <c r="D1877"/>
      <c r="E1877">
        <v>12000</v>
      </c>
      <c r="F1877">
        <v>159</v>
      </c>
      <c r="G1877">
        <v>128.79</v>
      </c>
      <c r="H1877">
        <v>200</v>
      </c>
      <c r="I1877" t="inlineStr">
        <is>
          <t>裤子</t>
        </is>
      </c>
      <c r="J1877" t="inlineStr">
        <is>
          <t>0.02</t>
        </is>
      </c>
      <c r="K1877"/>
      <c r="L1877" t="inlineStr">
        <is>
          <t>卤蛋不是蛋的店</t>
        </is>
      </c>
      <c r="M1877">
        <v>18000</v>
      </c>
      <c r="N1877">
        <v>4.47</v>
      </c>
      <c r="O1877">
        <v>115000</v>
      </c>
      <c r="P1877" t="inlineStr">
        <is>
          <t>67ead2d90f9d6000013fce66</t>
        </is>
      </c>
      <c r="Q1877" t="inlineStr">
        <is>
          <t>🚫重复</t>
        </is>
      </c>
      <c r="R1877" t="inlineStr">
        <is>
          <t>14周</t>
        </is>
      </c>
      <c r="S1877" t="inlineStr">
        <is>
          <t>0.67</t>
        </is>
      </c>
      <c r="T1877" t="inlineStr">
        <is>
          <t>服饰穿搭</t>
        </is>
      </c>
      <c r="U1877" t="inlineStr">
        <is>
          <t>女装</t>
        </is>
      </c>
      <c r="V1877" s="3">
        <v>46115.998090277775</v>
      </c>
      <c r="W1877" t="inlineStr">
        <is>
          <t>2026-Q2</t>
        </is>
      </c>
    </row>
    <row r="1878" ht="25.5" customHeight="1">
      <c r="A1878" t="inlineStr">
        <is>
          <t>禾果贝果【30元任选5个】顺丰包邮手作贝果碱水球早八面包饱腹</t>
        </is>
      </c>
      <c r="B1878" t="inlineStr">
        <is>
          <t>recvfP5nJfeYOK.jpg</t>
        </is>
      </c>
      <c r="C1878" s="2" t="str">
        <f>=HYPERLINK("https://xhslink.com/m/8RPei6OaI34", "https://xhslink.com/m/8RPei6OaI34")</f>
        <v>https://xhslink.com/m/8RPei6OaI34</v>
      </c>
      <c r="D1878"/>
      <c r="E1878">
        <v>898000</v>
      </c>
      <c r="F1878">
        <v>20</v>
      </c>
      <c r="G1878"/>
      <c r="H1878">
        <v>200</v>
      </c>
      <c r="I1878" t="inlineStr">
        <is>
          <t>手作面包</t>
        </is>
      </c>
      <c r="J1878" t="inlineStr">
        <is>
          <t>0.00</t>
        </is>
      </c>
      <c r="K1878" t="inlineStr">
        <is>
          <t>🔥低粉爆款</t>
        </is>
      </c>
      <c r="L1878" t="inlineStr">
        <is>
          <t>禾果烘焙坊的店</t>
        </is>
      </c>
      <c r="M1878">
        <v>17000</v>
      </c>
      <c r="N1878">
        <v>4.5</v>
      </c>
      <c r="O1878">
        <v>1019000</v>
      </c>
      <c r="P1878" t="inlineStr">
        <is>
          <t>682afe32a045210001d3c7f7</t>
        </is>
      </c>
      <c r="Q1878" t="inlineStr">
        <is>
          <t>🚫重复</t>
        </is>
      </c>
      <c r="R1878" t="inlineStr">
        <is>
          <t>14周</t>
        </is>
      </c>
      <c r="S1878" t="inlineStr">
        <is>
          <t>52.82</t>
        </is>
      </c>
      <c r="T1878" t="inlineStr">
        <is>
          <t>美食滋补</t>
        </is>
      </c>
      <c r="U1878" t="inlineStr">
        <is>
          <t>休闲零食</t>
        </is>
      </c>
      <c r="V1878" s="3">
        <v>46116.835335648146</v>
      </c>
      <c r="W1878" t="inlineStr">
        <is>
          <t>2026-Q2</t>
        </is>
      </c>
    </row>
    <row r="1879" ht="25.5" customHeight="1">
      <c r="A1879" t="inlineStr">
        <is>
          <t>【沈阳人私藏】香格里拉面包手作速食下午茶奶油面包顺丰包邮</t>
        </is>
      </c>
      <c r="B1879" t="inlineStr">
        <is>
          <t>recvfP5nJfHhz3.jpg</t>
        </is>
      </c>
      <c r="C1879" s="2" t="str">
        <f>=HYPERLINK("https://xhslink.com/m/TWV4lcpLkM", "https://xhslink.com/m/TWV4lcpLkM")</f>
        <v>https://xhslink.com/m/TWV4lcpLkM</v>
      </c>
      <c r="D1879"/>
      <c r="E1879">
        <v>593</v>
      </c>
      <c r="F1879">
        <v>69</v>
      </c>
      <c r="G1879">
        <v>40</v>
      </c>
      <c r="H1879">
        <v>200</v>
      </c>
      <c r="I1879" t="inlineStr">
        <is>
          <t>手作面包</t>
        </is>
      </c>
      <c r="J1879" t="inlineStr">
        <is>
          <t>0.34</t>
        </is>
      </c>
      <c r="K1879"/>
      <c r="L1879" t="inlineStr">
        <is>
          <t>兰乔贝恩食品的店</t>
        </is>
      </c>
      <c r="M1879">
        <v>923</v>
      </c>
      <c r="N1879">
        <v>4.62</v>
      </c>
      <c r="O1879">
        <v>498</v>
      </c>
      <c r="P1879" t="inlineStr">
        <is>
          <t>6986e9987db7d200014049a8</t>
        </is>
      </c>
      <c r="Q1879" t="inlineStr">
        <is>
          <t>🚫重复</t>
        </is>
      </c>
      <c r="R1879" t="inlineStr">
        <is>
          <t>14周</t>
        </is>
      </c>
      <c r="S1879" t="inlineStr">
        <is>
          <t>0.64</t>
        </is>
      </c>
      <c r="T1879" t="inlineStr">
        <is>
          <t>美食滋补</t>
        </is>
      </c>
      <c r="U1879" t="inlineStr">
        <is>
          <t>休闲零食</t>
        </is>
      </c>
      <c r="V1879" s="3">
        <v>46116.835335648146</v>
      </c>
      <c r="W1879" t="inlineStr">
        <is>
          <t>2026-Q2</t>
        </is>
      </c>
    </row>
    <row r="1880" ht="25.5" customHeight="1">
      <c r="A1880" t="inlineStr">
        <is>
          <t>光和手感 · 【29.8碱水自选八份】手作碱水面包饱腹早中晚餐全麦粗粮面包控卡</t>
        </is>
      </c>
      <c r="B1880" t="inlineStr">
        <is>
          <t>recvfP5nJfov5I.jpg</t>
        </is>
      </c>
      <c r="C1880" s="2" t="str">
        <f>=HYPERLINK("https://xhslink.com/m/8wImHt7IuOe", "https://xhslink.com/m/8wImHt7IuOe")</f>
        <v>https://xhslink.com/m/8wImHt7IuOe</v>
      </c>
      <c r="D1880"/>
      <c r="E1880">
        <v>351000</v>
      </c>
      <c r="F1880">
        <v>9.6</v>
      </c>
      <c r="G1880">
        <v>3.1</v>
      </c>
      <c r="H1880">
        <v>200</v>
      </c>
      <c r="I1880" t="inlineStr">
        <is>
          <t>手作面包</t>
        </is>
      </c>
      <c r="J1880" t="inlineStr">
        <is>
          <t>0.00</t>
        </is>
      </c>
      <c r="K1880"/>
      <c r="L1880" t="inlineStr">
        <is>
          <t>光和手感的店</t>
        </is>
      </c>
      <c r="M1880">
        <v>235000</v>
      </c>
      <c r="N1880">
        <v>4.39</v>
      </c>
      <c r="O1880">
        <v>2214000</v>
      </c>
      <c r="P1880" t="inlineStr">
        <is>
          <t>670209e394f7580001d8079c</t>
        </is>
      </c>
      <c r="Q1880" t="inlineStr">
        <is>
          <t>🚫重复</t>
        </is>
      </c>
      <c r="R1880" t="inlineStr">
        <is>
          <t>14周</t>
        </is>
      </c>
      <c r="S1880" t="inlineStr">
        <is>
          <t>1.49</t>
        </is>
      </c>
      <c r="T1880" t="inlineStr">
        <is>
          <t>美食滋补</t>
        </is>
      </c>
      <c r="U1880" t="inlineStr">
        <is>
          <t>休闲零食</t>
        </is>
      </c>
      <c r="V1880" s="3">
        <v>46116.835335648146</v>
      </c>
      <c r="W1880" t="inlineStr">
        <is>
          <t>2026-Q2</t>
        </is>
      </c>
    </row>
    <row r="1881" ht="25.5" customHeight="1">
      <c r="A1881" t="inlineStr">
        <is>
          <t>【29.8/8】碱水球碱水棒8个任选自动改价碱水面包手作面包下午茶</t>
        </is>
      </c>
      <c r="B1881" t="inlineStr">
        <is>
          <t>recvfP5nJf5Whz.jpg</t>
        </is>
      </c>
      <c r="C1881" s="2" t="str">
        <f>=HYPERLINK("https://xhslink.com/m/9J6x5N1zuvp", "https://xhslink.com/m/9J6x5N1zuvp")</f>
        <v>https://xhslink.com/m/9J6x5N1zuvp</v>
      </c>
      <c r="D1881"/>
      <c r="E1881">
        <v>41000</v>
      </c>
      <c r="F1881">
        <v>20</v>
      </c>
      <c r="G1881">
        <v>11.6</v>
      </c>
      <c r="H1881">
        <v>200</v>
      </c>
      <c r="I1881" t="inlineStr">
        <is>
          <t>手作面包</t>
        </is>
      </c>
      <c r="J1881" t="inlineStr">
        <is>
          <t>0.00</t>
        </is>
      </c>
      <c r="K1881" t="inlineStr">
        <is>
          <t>🔥低粉爆款</t>
        </is>
      </c>
      <c r="L1881" t="inlineStr">
        <is>
          <t>谷味侬手作的店</t>
        </is>
      </c>
      <c r="M1881">
        <v>8929</v>
      </c>
      <c r="N1881">
        <v>4.27</v>
      </c>
      <c r="O1881">
        <v>1483000</v>
      </c>
      <c r="P1881" t="inlineStr">
        <is>
          <t>69775c90a1496d0001c06567</t>
        </is>
      </c>
      <c r="Q1881" t="inlineStr">
        <is>
          <t>🚫重复</t>
        </is>
      </c>
      <c r="R1881" t="inlineStr">
        <is>
          <t>14周</t>
        </is>
      </c>
      <c r="S1881" t="inlineStr">
        <is>
          <t>4.59</t>
        </is>
      </c>
      <c r="T1881" t="inlineStr">
        <is>
          <t>美食滋补</t>
        </is>
      </c>
      <c r="U1881" t="inlineStr">
        <is>
          <t>休闲零食</t>
        </is>
      </c>
      <c r="V1881" s="3">
        <v>46116.835335648146</v>
      </c>
      <c r="W1881" t="inlineStr">
        <is>
          <t>2026-Q2</t>
        </is>
      </c>
    </row>
    <row r="1882" ht="25.5" customHeight="1">
      <c r="A1882" t="inlineStr">
        <is>
          <t>l夏季情侣款插肩袖轻量速干短袖运动户外撞色T恤上衣男女202</t>
        </is>
      </c>
      <c r="B1882" t="inlineStr">
        <is>
          <t>recvfP5nJfvWGE.jpg</t>
        </is>
      </c>
      <c r="C1882" s="2" t="str">
        <f>=HYPERLINK("https://xhslink.com/m/2JjjKKGPwSL", "https://xhslink.com/m/2JjjKKGPwSL")</f>
        <v>https://xhslink.com/m/2JjjKKGPwSL</v>
      </c>
      <c r="D1882"/>
      <c r="E1882">
        <v>10000</v>
      </c>
      <c r="F1882">
        <v>39</v>
      </c>
      <c r="G1882"/>
      <c r="H1882">
        <v>200</v>
      </c>
      <c r="I1882" t="inlineStr">
        <is>
          <t>T恤</t>
        </is>
      </c>
      <c r="J1882" t="inlineStr">
        <is>
          <t>0.02</t>
        </is>
      </c>
      <c r="K1882"/>
      <c r="L1882" t="inlineStr">
        <is>
          <t>XYJ STUDIO的店</t>
        </is>
      </c>
      <c r="M1882">
        <v>17000</v>
      </c>
      <c r="N1882">
        <v>4.46</v>
      </c>
      <c r="O1882">
        <v>154000</v>
      </c>
      <c r="P1882" t="inlineStr">
        <is>
          <t>6694f24c6606ad00015c5ab3</t>
        </is>
      </c>
      <c r="Q1882" t="inlineStr">
        <is>
          <t>🚫重复</t>
        </is>
      </c>
      <c r="R1882" t="inlineStr">
        <is>
          <t>14周</t>
        </is>
      </c>
      <c r="S1882" t="inlineStr">
        <is>
          <t>0.59</t>
        </is>
      </c>
      <c r="T1882" t="inlineStr">
        <is>
          <t>服饰穿搭</t>
        </is>
      </c>
      <c r="U1882" t="inlineStr">
        <is>
          <t>女装</t>
        </is>
      </c>
      <c r="V1882" s="3">
        <v>46116.835335648146</v>
      </c>
      <c r="W1882" t="inlineStr">
        <is>
          <t>2026-Q2</t>
        </is>
      </c>
    </row>
    <row r="1883" ht="25.5" customHeight="1">
      <c r="A1883" t="inlineStr">
        <is>
          <t>瑞秘 · 【不闷脚】头层牛皮德训鞋女休闲阿甘板鞋暴走软底健身通勤男鞋</t>
        </is>
      </c>
      <c r="B1883" t="inlineStr">
        <is>
          <t>recvfP5nJfLndk.jpg</t>
        </is>
      </c>
      <c r="C1883" s="2" t="str">
        <f>=HYPERLINK("https://xhslink.com/m/AomOAGBHQc6", "https://xhslink.com/m/AomOAGBHQc6")</f>
        <v>https://xhslink.com/m/AomOAGBHQc6</v>
      </c>
      <c r="D1883"/>
      <c r="E1883">
        <v>33000</v>
      </c>
      <c r="F1883">
        <v>223.4</v>
      </c>
      <c r="G1883">
        <v>189.89</v>
      </c>
      <c r="H1883">
        <v>200</v>
      </c>
      <c r="I1883" t="inlineStr">
        <is>
          <t>休闲鞋</t>
        </is>
      </c>
      <c r="J1883" t="inlineStr">
        <is>
          <t>0.01</t>
        </is>
      </c>
      <c r="K1883"/>
      <c r="L1883" t="inlineStr">
        <is>
          <t>MR. QIUER潮品的店</t>
        </is>
      </c>
      <c r="M1883">
        <v>38000</v>
      </c>
      <c r="N1883">
        <v>4.65</v>
      </c>
      <c r="O1883">
        <v>80000</v>
      </c>
      <c r="P1883" t="inlineStr">
        <is>
          <t>63fd4f3f20e7280001a533ba</t>
        </is>
      </c>
      <c r="Q1883" t="inlineStr">
        <is>
          <t>🚫重复</t>
        </is>
      </c>
      <c r="R1883" t="inlineStr">
        <is>
          <t>14周</t>
        </is>
      </c>
      <c r="S1883" t="inlineStr">
        <is>
          <t>0.87</t>
        </is>
      </c>
      <c r="T1883" t="inlineStr">
        <is>
          <t>服饰穿搭</t>
        </is>
      </c>
      <c r="U1883" t="inlineStr">
        <is>
          <t>男装</t>
        </is>
      </c>
      <c r="V1883" s="3">
        <v>46116.835335648146</v>
      </c>
      <c r="W1883" t="inlineStr">
        <is>
          <t>2026-Q2</t>
        </is>
      </c>
    </row>
    <row r="1884" ht="25.5" customHeight="1">
      <c r="A1884" t="inlineStr">
        <is>
          <t>厚底3cm德训鞋女春秋透气低帮百搭休闲鞋舒适软弹阿甘鞋休闲板鞋</t>
        </is>
      </c>
      <c r="B1884" t="inlineStr">
        <is>
          <t>recvfP5nJfybIM.jpg</t>
        </is>
      </c>
      <c r="C1884" s="2" t="str">
        <f>=HYPERLINK("https://xhslink.com/m/2Fgr6PV5T17", "https://xhslink.com/m/2Fgr6PV5T17")</f>
        <v>https://xhslink.com/m/2Fgr6PV5T17</v>
      </c>
      <c r="D1884"/>
      <c r="E1884">
        <v>34000</v>
      </c>
      <c r="F1884">
        <v>69</v>
      </c>
      <c r="G1884"/>
      <c r="H1884">
        <v>200</v>
      </c>
      <c r="I1884" t="inlineStr">
        <is>
          <t>休闲鞋</t>
        </is>
      </c>
      <c r="J1884" t="inlineStr">
        <is>
          <t>0.01</t>
        </is>
      </c>
      <c r="K1884" t="inlineStr">
        <is>
          <t>🔥低粉爆款</t>
        </is>
      </c>
      <c r="L1884" t="inlineStr">
        <is>
          <t>格物桃的店</t>
        </is>
      </c>
      <c r="M1884">
        <v>3320</v>
      </c>
      <c r="N1884">
        <v>4.71</v>
      </c>
      <c r="O1884">
        <v>62000</v>
      </c>
      <c r="P1884" t="inlineStr">
        <is>
          <t>66d124510614b500016aca36</t>
        </is>
      </c>
      <c r="Q1884" t="inlineStr">
        <is>
          <t>🚫重复</t>
        </is>
      </c>
      <c r="R1884" t="inlineStr">
        <is>
          <t>14周</t>
        </is>
      </c>
      <c r="S1884" t="inlineStr">
        <is>
          <t>10.24</t>
        </is>
      </c>
      <c r="T1884" t="inlineStr">
        <is>
          <t>服饰穿搭</t>
        </is>
      </c>
      <c r="U1884" t="inlineStr">
        <is>
          <t>鞋靴箱包</t>
        </is>
      </c>
      <c r="V1884" s="3">
        <v>46116.835335648146</v>
      </c>
      <c r="W1884" t="inlineStr">
        <is>
          <t>2026-Q2</t>
        </is>
      </c>
    </row>
    <row r="1885" ht="25.5" customHeight="1">
      <c r="A1885" t="inlineStr">
        <is>
          <t>【半夏倾颜】软底德训鞋女2026春季新款休闲运动鞋百搭阿甘小白鞋</t>
        </is>
      </c>
      <c r="B1885" t="inlineStr">
        <is>
          <t>recvfP5nJfqy9R.jpg</t>
        </is>
      </c>
      <c r="C1885" s="2" t="str">
        <f>=HYPERLINK("https://xhslink.com/m/6UyJzGHrZCm", "https://xhslink.com/m/6UyJzGHrZCm")</f>
        <v>https://xhslink.com/m/6UyJzGHrZCm</v>
      </c>
      <c r="D1885"/>
      <c r="E1885">
        <v>3864</v>
      </c>
      <c r="F1885">
        <v>298</v>
      </c>
      <c r="G1885">
        <v>98</v>
      </c>
      <c r="H1885">
        <v>200</v>
      </c>
      <c r="I1885" t="inlineStr">
        <is>
          <t>休闲鞋</t>
        </is>
      </c>
      <c r="J1885" t="inlineStr">
        <is>
          <t>0.05</t>
        </is>
      </c>
      <c r="K1885" t="inlineStr">
        <is>
          <t>🔥低粉爆款</t>
        </is>
      </c>
      <c r="L1885" t="inlineStr">
        <is>
          <t>半夏倾颜的店</t>
        </is>
      </c>
      <c r="M1885">
        <v>520</v>
      </c>
      <c r="N1885">
        <v>4.54</v>
      </c>
      <c r="O1885">
        <v>6716</v>
      </c>
      <c r="P1885" t="inlineStr">
        <is>
          <t>69a924ae07adea000125e0b5</t>
        </is>
      </c>
      <c r="Q1885" t="inlineStr">
        <is>
          <t>🚫重复</t>
        </is>
      </c>
      <c r="R1885" t="inlineStr">
        <is>
          <t>14周</t>
        </is>
      </c>
      <c r="S1885" t="inlineStr">
        <is>
          <t>7.43</t>
        </is>
      </c>
      <c r="T1885" t="inlineStr">
        <is>
          <t>服饰穿搭</t>
        </is>
      </c>
      <c r="U1885" t="inlineStr">
        <is>
          <t>鞋靴箱包</t>
        </is>
      </c>
      <c r="V1885" s="3">
        <v>46116.835335648146</v>
      </c>
      <c r="W1885" t="inlineStr">
        <is>
          <t>2026-Q2</t>
        </is>
      </c>
    </row>
    <row r="1886" ht="25.5" customHeight="1">
      <c r="A1886" t="inlineStr">
        <is>
          <t>A5新版花卉笔记本子高颜值简约ins学生读书摘抄学习记事本手账本</t>
        </is>
      </c>
      <c r="B1886" t="inlineStr">
        <is>
          <t>recvfP5nJftDI9.jpg</t>
        </is>
      </c>
      <c r="C1886" s="2" t="str">
        <f>=HYPERLINK("https://xhslink.com/m/7dBjmFCtf9f", "https://xhslink.com/m/7dBjmFCtf9f")</f>
        <v>https://xhslink.com/m/7dBjmFCtf9f</v>
      </c>
      <c r="D1886"/>
      <c r="E1886">
        <v>12000</v>
      </c>
      <c r="F1886">
        <v>13.8</v>
      </c>
      <c r="G1886"/>
      <c r="H1886">
        <v>200</v>
      </c>
      <c r="I1886" t="inlineStr">
        <is>
          <t>文具</t>
        </is>
      </c>
      <c r="J1886" t="inlineStr">
        <is>
          <t>0.02</t>
        </is>
      </c>
      <c r="K1886"/>
      <c r="L1886" t="inlineStr">
        <is>
          <t>乔先生的店</t>
        </is>
      </c>
      <c r="M1886">
        <v>12000</v>
      </c>
      <c r="N1886">
        <v>4.41</v>
      </c>
      <c r="O1886">
        <v>39000</v>
      </c>
      <c r="P1886" t="inlineStr">
        <is>
          <t>696f3987f79d40000194c355</t>
        </is>
      </c>
      <c r="Q1886"/>
      <c r="R1886" t="inlineStr">
        <is>
          <t>14周</t>
        </is>
      </c>
      <c r="S1886" t="inlineStr">
        <is>
          <t>1.00</t>
        </is>
      </c>
      <c r="T1886" t="inlineStr">
        <is>
          <t>运动潮玩</t>
        </is>
      </c>
      <c r="U1886" t="inlineStr">
        <is>
          <t>图书文创</t>
        </is>
      </c>
      <c r="V1886" s="3">
        <v>46116.835335648146</v>
      </c>
      <c r="W1886" t="inlineStr">
        <is>
          <t>2026-Q2</t>
        </is>
      </c>
    </row>
    <row r="1887" ht="25.5" customHeight="1">
      <c r="A1887" t="inlineStr">
        <is>
          <t>禾果贝果【30元任选5个】顺丰包邮手作贝果碱水球早八面包饱腹</t>
        </is>
      </c>
      <c r="B1887" t="inlineStr">
        <is>
          <t>recvfP5nJfCB3e.jpg</t>
        </is>
      </c>
      <c r="C1887" s="2" t="str">
        <f>=HYPERLINK("https://xhslink.com/m/5CyJ12VDaoK", "https://xhslink.com/m/5CyJ12VDaoK")</f>
        <v>https://xhslink.com/m/5CyJ12VDaoK</v>
      </c>
      <c r="D1887"/>
      <c r="E1887">
        <v>898000</v>
      </c>
      <c r="F1887">
        <v>20</v>
      </c>
      <c r="G1887"/>
      <c r="H1887">
        <v>200</v>
      </c>
      <c r="I1887" t="inlineStr">
        <is>
          <t>面包</t>
        </is>
      </c>
      <c r="J1887" t="inlineStr">
        <is>
          <t>0.00</t>
        </is>
      </c>
      <c r="K1887" t="inlineStr">
        <is>
          <t>🔥低粉爆款</t>
        </is>
      </c>
      <c r="L1887" t="inlineStr">
        <is>
          <t>禾果烘焙坊的店</t>
        </is>
      </c>
      <c r="M1887">
        <v>17000</v>
      </c>
      <c r="N1887">
        <v>4.5</v>
      </c>
      <c r="O1887">
        <v>1019000</v>
      </c>
      <c r="P1887" t="inlineStr">
        <is>
          <t>682afe32a045210001d3c7df</t>
        </is>
      </c>
      <c r="Q1887" t="inlineStr">
        <is>
          <t>🚫重复</t>
        </is>
      </c>
      <c r="R1887" t="inlineStr">
        <is>
          <t>14周</t>
        </is>
      </c>
      <c r="S1887" t="inlineStr">
        <is>
          <t>52.82</t>
        </is>
      </c>
      <c r="T1887" t="inlineStr">
        <is>
          <t>美食滋补</t>
        </is>
      </c>
      <c r="U1887" t="inlineStr">
        <is>
          <t>休闲零食</t>
        </is>
      </c>
      <c r="V1887" s="3">
        <v>46116.835335648146</v>
      </c>
      <c r="W1887" t="inlineStr">
        <is>
          <t>2026-Q2</t>
        </is>
      </c>
    </row>
    <row r="1888" ht="25.5" customHeight="1">
      <c r="A1888" t="inlineStr">
        <is>
          <t>【28.8元任选8个碱水球】手作面包碱水面包代餐下午茶贝果零食</t>
        </is>
      </c>
      <c r="B1888" t="inlineStr">
        <is>
          <t>recvfP5nJfgzuA.jpg</t>
        </is>
      </c>
      <c r="C1888" s="2" t="str">
        <f>=HYPERLINK("https://xhslink.com/m/1i03P7zT8Bp", "https://xhslink.com/m/1i03P7zT8Bp")</f>
        <v>https://xhslink.com/m/1i03P7zT8Bp</v>
      </c>
      <c r="D1888"/>
      <c r="E1888">
        <v>1177</v>
      </c>
      <c r="F1888">
        <v>20</v>
      </c>
      <c r="G1888">
        <v>9.1</v>
      </c>
      <c r="H1888">
        <v>200</v>
      </c>
      <c r="I1888" t="inlineStr">
        <is>
          <t>面包</t>
        </is>
      </c>
      <c r="J1888" t="inlineStr">
        <is>
          <t>0.17</t>
        </is>
      </c>
      <c r="K1888" t="inlineStr">
        <is>
          <t>🔥低粉爆款</t>
        </is>
      </c>
      <c r="L1888" t="inlineStr">
        <is>
          <t>麦禾一Bakery的店</t>
        </is>
      </c>
      <c r="M1888">
        <v>365</v>
      </c>
      <c r="N1888">
        <v>4.31</v>
      </c>
      <c r="O1888">
        <v>1612</v>
      </c>
      <c r="P1888" t="inlineStr">
        <is>
          <t>69ba1b0f7c9c8f0001929557</t>
        </is>
      </c>
      <c r="Q1888" t="inlineStr">
        <is>
          <t>🚫重复</t>
        </is>
      </c>
      <c r="R1888" t="inlineStr">
        <is>
          <t>14周</t>
        </is>
      </c>
      <c r="S1888" t="inlineStr">
        <is>
          <t>3.22</t>
        </is>
      </c>
      <c r="T1888" t="inlineStr">
        <is>
          <t>美食滋补</t>
        </is>
      </c>
      <c r="U1888" t="inlineStr">
        <is>
          <t>休闲零食</t>
        </is>
      </c>
      <c r="V1888" s="3">
        <v>46116.835335648146</v>
      </c>
      <c r="W1888" t="inlineStr">
        <is>
          <t>2026-Q2</t>
        </is>
      </c>
    </row>
    <row r="1889" ht="25.5" customHeight="1">
      <c r="A1889" t="inlineStr">
        <is>
          <t>麦浪里 · 【28.8任选八个顺丰包邮】手作碱水棒夹心带馅全麦营养早餐面包</t>
        </is>
      </c>
      <c r="B1889" t="inlineStr">
        <is>
          <t>recvfP5nJfSAyd.jpg</t>
        </is>
      </c>
      <c r="C1889" s="2" t="str">
        <f>=HYPERLINK("https://xhslink.com/m/3F8wy17C0fI", "https://xhslink.com/m/3F8wy17C0fI")</f>
        <v>https://xhslink.com/m/3F8wy17C0fI</v>
      </c>
      <c r="D1889"/>
      <c r="E1889">
        <v>21000</v>
      </c>
      <c r="F1889">
        <v>20</v>
      </c>
      <c r="G1889">
        <v>11.6</v>
      </c>
      <c r="H1889">
        <v>200</v>
      </c>
      <c r="I1889" t="inlineStr">
        <is>
          <t>面包</t>
        </is>
      </c>
      <c r="J1889" t="inlineStr">
        <is>
          <t>0.01</t>
        </is>
      </c>
      <c r="K1889" t="inlineStr">
        <is>
          <t>🔥低粉爆款</t>
        </is>
      </c>
      <c r="L1889" t="inlineStr">
        <is>
          <t>麦浪里旗舰店</t>
        </is>
      </c>
      <c r="M1889">
        <v>5585</v>
      </c>
      <c r="N1889">
        <v>4.57</v>
      </c>
      <c r="O1889">
        <v>253000</v>
      </c>
      <c r="P1889" t="inlineStr">
        <is>
          <t>695a349396a9fa00016cc54a</t>
        </is>
      </c>
      <c r="Q1889" t="inlineStr">
        <is>
          <t>🚫重复</t>
        </is>
      </c>
      <c r="R1889" t="inlineStr">
        <is>
          <t>14周</t>
        </is>
      </c>
      <c r="S1889" t="inlineStr">
        <is>
          <t>3.76</t>
        </is>
      </c>
      <c r="T1889" t="inlineStr">
        <is>
          <t>美食滋补</t>
        </is>
      </c>
      <c r="U1889" t="inlineStr">
        <is>
          <t>休闲零食</t>
        </is>
      </c>
      <c r="V1889" s="3">
        <v>46116.835335648146</v>
      </c>
      <c r="W1889" t="inlineStr">
        <is>
          <t>2026-Q2</t>
        </is>
      </c>
    </row>
    <row r="1890" ht="25.5" customHeight="1">
      <c r="A1890" t="inlineStr">
        <is>
          <t>慵懒风冰丝半裙小众高级感百搭裙子</t>
        </is>
      </c>
      <c r="B1890" t="inlineStr">
        <is>
          <t>recvfP5nJfg1FR.jpg</t>
        </is>
      </c>
      <c r="C1890" s="2" t="str">
        <f>=HYPERLINK("https://xhslink.com/m/6C1BiOb6A0L", "https://xhslink.com/m/6C1BiOb6A0L")</f>
        <v>https://xhslink.com/m/6C1BiOb6A0L</v>
      </c>
      <c r="D1890"/>
      <c r="E1890">
        <v>51000</v>
      </c>
      <c r="F1890">
        <v>59.9</v>
      </c>
      <c r="G1890"/>
      <c r="H1890">
        <v>200</v>
      </c>
      <c r="I1890" t="inlineStr">
        <is>
          <t>长裙</t>
        </is>
      </c>
      <c r="J1890" t="inlineStr">
        <is>
          <t>0.00</t>
        </is>
      </c>
      <c r="K1890" t="inlineStr">
        <is>
          <t>🔥低粉爆款</t>
        </is>
      </c>
      <c r="L1890" t="inlineStr">
        <is>
          <t>半勺糖Tang的店</t>
        </is>
      </c>
      <c r="M1890">
        <v>7040</v>
      </c>
      <c r="N1890">
        <v>4.3</v>
      </c>
      <c r="O1890">
        <v>148000</v>
      </c>
      <c r="P1890" t="inlineStr">
        <is>
          <t>68556d28b93d410001a4d869</t>
        </is>
      </c>
      <c r="Q1890" t="inlineStr">
        <is>
          <t>🚫重复</t>
        </is>
      </c>
      <c r="R1890" t="inlineStr">
        <is>
          <t>14周</t>
        </is>
      </c>
      <c r="S1890" t="inlineStr">
        <is>
          <t>7.24</t>
        </is>
      </c>
      <c r="T1890" t="inlineStr">
        <is>
          <t>服饰穿搭</t>
        </is>
      </c>
      <c r="U1890" t="inlineStr">
        <is>
          <t>女装</t>
        </is>
      </c>
      <c r="V1890" s="3">
        <v>46116.835335648146</v>
      </c>
      <c r="W1890" t="inlineStr">
        <is>
          <t>2026-Q2</t>
        </is>
      </c>
    </row>
    <row r="1891" ht="25.5" customHeight="1">
      <c r="A1891" t="inlineStr">
        <is>
          <t>【春季焕新立减60!】春夏山本工装裤半身裙裤裙子女松紧高腰显瘦</t>
        </is>
      </c>
      <c r="B1891" t="inlineStr">
        <is>
          <t>recvfP5nJf3lns.jpg</t>
        </is>
      </c>
      <c r="C1891" s="2" t="str">
        <f>=HYPERLINK("https://xhslink.com/m/AdFUryFszpy", "https://xhslink.com/m/AdFUryFszpy")</f>
        <v>https://xhslink.com/m/AdFUryFszpy</v>
      </c>
      <c r="D1891"/>
      <c r="E1891">
        <v>35000</v>
      </c>
      <c r="F1891">
        <v>129.9</v>
      </c>
      <c r="G1891">
        <v>69.9</v>
      </c>
      <c r="H1891">
        <v>200</v>
      </c>
      <c r="I1891" t="inlineStr">
        <is>
          <t>长裙</t>
        </is>
      </c>
      <c r="J1891" t="inlineStr">
        <is>
          <t>0.01</t>
        </is>
      </c>
      <c r="K1891" t="inlineStr">
        <is>
          <t>🔥低粉爆款</t>
        </is>
      </c>
      <c r="L1891" t="inlineStr">
        <is>
          <t>可乐小馋猫的店</t>
        </is>
      </c>
      <c r="M1891">
        <v>2013</v>
      </c>
      <c r="N1891">
        <v>4.5</v>
      </c>
      <c r="O1891">
        <v>44000</v>
      </c>
      <c r="P1891" t="inlineStr">
        <is>
          <t>67e8c8203d0cf40001762751</t>
        </is>
      </c>
      <c r="Q1891"/>
      <c r="R1891" t="inlineStr">
        <is>
          <t>14周</t>
        </is>
      </c>
      <c r="S1891" t="inlineStr">
        <is>
          <t>17.39</t>
        </is>
      </c>
      <c r="T1891" t="inlineStr">
        <is>
          <t>服饰穿搭</t>
        </is>
      </c>
      <c r="U1891" t="inlineStr">
        <is>
          <t>女装</t>
        </is>
      </c>
      <c r="V1891" s="3">
        <v>46116.835335648146</v>
      </c>
      <c r="W1891" t="inlineStr">
        <is>
          <t>2026-Q2</t>
        </is>
      </c>
    </row>
    <row r="1892" ht="25.5" customHeight="1">
      <c r="A1892" t="inlineStr">
        <is>
          <t>强推！！贵气珠光缎面鱼尾小短裙 自带安全裤波光粼粼半身裙</t>
        </is>
      </c>
      <c r="B1892" t="inlineStr">
        <is>
          <t>recvfP5nJfk2JO.jpg</t>
        </is>
      </c>
      <c r="C1892" s="2" t="str">
        <f>=HYPERLINK("https://xhslink.com/m/94fey6ru8v4", "https://xhslink.com/m/94fey6ru8v4")</f>
        <v>https://xhslink.com/m/94fey6ru8v4</v>
      </c>
      <c r="D1892"/>
      <c r="E1892">
        <v>2804</v>
      </c>
      <c r="F1892">
        <v>139</v>
      </c>
      <c r="G1892"/>
      <c r="H1892">
        <v>200</v>
      </c>
      <c r="I1892" t="inlineStr">
        <is>
          <t>长裙</t>
        </is>
      </c>
      <c r="J1892" t="inlineStr">
        <is>
          <t>0.07</t>
        </is>
      </c>
      <c r="K1892"/>
      <c r="L1892" t="inlineStr">
        <is>
          <t>MOMOPLUS二店的店</t>
        </is>
      </c>
      <c r="M1892">
        <v>18000</v>
      </c>
      <c r="N1892">
        <v>4.61</v>
      </c>
      <c r="O1892">
        <v>67000</v>
      </c>
      <c r="P1892" t="inlineStr">
        <is>
          <t>69afd5b4ab6d1e000115a752</t>
        </is>
      </c>
      <c r="Q1892"/>
      <c r="R1892" t="inlineStr">
        <is>
          <t>14周</t>
        </is>
      </c>
      <c r="S1892" t="inlineStr">
        <is>
          <t>0.16</t>
        </is>
      </c>
      <c r="T1892" t="inlineStr">
        <is>
          <t>服饰穿搭</t>
        </is>
      </c>
      <c r="U1892" t="inlineStr">
        <is>
          <t>女装</t>
        </is>
      </c>
      <c r="V1892" s="3">
        <v>46116.835335648146</v>
      </c>
      <c r="W1892" t="inlineStr">
        <is>
          <t>2026-Q2</t>
        </is>
      </c>
    </row>
    <row r="1893" ht="25.5" customHeight="1">
      <c r="A1893" t="inlineStr">
        <is>
          <t>重工拼接印花网纱蛋糕裙半身裙女新款碎花蓬蓬长裙</t>
        </is>
      </c>
      <c r="B1893" t="inlineStr">
        <is>
          <t>recvfP5nJfOz1q.jpg</t>
        </is>
      </c>
      <c r="C1893" s="2" t="str">
        <f>=HYPERLINK("https://xhslink.com/m/3ryEyhsVpen", "https://xhslink.com/m/3ryEyhsVpen")</f>
        <v>https://xhslink.com/m/3ryEyhsVpen</v>
      </c>
      <c r="D1893"/>
      <c r="E1893">
        <v>6720</v>
      </c>
      <c r="F1893">
        <v>89</v>
      </c>
      <c r="G1893"/>
      <c r="H1893">
        <v>200</v>
      </c>
      <c r="I1893" t="inlineStr">
        <is>
          <t>长裙</t>
        </is>
      </c>
      <c r="J1893" t="inlineStr">
        <is>
          <t>0.03</t>
        </is>
      </c>
      <c r="K1893"/>
      <c r="L1893" t="inlineStr">
        <is>
          <t>倩倩oo.o的店</t>
        </is>
      </c>
      <c r="M1893">
        <v>10000</v>
      </c>
      <c r="N1893">
        <v>4.47</v>
      </c>
      <c r="O1893">
        <v>94000</v>
      </c>
      <c r="P1893" t="inlineStr">
        <is>
          <t>6803d65392ada400011333d2</t>
        </is>
      </c>
      <c r="Q1893"/>
      <c r="R1893" t="inlineStr">
        <is>
          <t>14周</t>
        </is>
      </c>
      <c r="S1893" t="inlineStr">
        <is>
          <t>0.67</t>
        </is>
      </c>
      <c r="T1893" t="inlineStr">
        <is>
          <t>服饰穿搭</t>
        </is>
      </c>
      <c r="U1893" t="inlineStr">
        <is>
          <t>女装</t>
        </is>
      </c>
      <c r="V1893" s="3">
        <v>46116.835335648146</v>
      </c>
      <c r="W1893" t="inlineStr">
        <is>
          <t>2026-Q2</t>
        </is>
      </c>
    </row>
    <row r="1894" ht="25.5" customHeight="1">
      <c r="A1894" t="inlineStr">
        <is>
          <t>姜十八-“晚归折鹤”韩国单~26新款巨好看的韩系休闲花苞半身裙</t>
        </is>
      </c>
      <c r="B1894" t="inlineStr">
        <is>
          <t>recvfP5nJfkUz2.jpg</t>
        </is>
      </c>
      <c r="C1894" s="2" t="str">
        <f>=HYPERLINK("https://xhslink.com/m/8TYiip6JypU", "https://xhslink.com/m/8TYiip6JypU")</f>
        <v>https://xhslink.com/m/8TYiip6JypU</v>
      </c>
      <c r="D1894"/>
      <c r="E1894">
        <v>2282</v>
      </c>
      <c r="F1894">
        <v>49.9</v>
      </c>
      <c r="G1894"/>
      <c r="H1894">
        <v>200</v>
      </c>
      <c r="I1894" t="inlineStr">
        <is>
          <t>长裙</t>
        </is>
      </c>
      <c r="J1894" t="inlineStr">
        <is>
          <t>0.09</t>
        </is>
      </c>
      <c r="K1894" t="inlineStr">
        <is>
          <t>🔥低粉爆款</t>
        </is>
      </c>
      <c r="L1894" t="inlineStr">
        <is>
          <t>小森屿涧的店</t>
        </is>
      </c>
      <c r="M1894">
        <v>90</v>
      </c>
      <c r="N1894">
        <v>4.59</v>
      </c>
      <c r="O1894">
        <v>74000</v>
      </c>
      <c r="P1894" t="inlineStr">
        <is>
          <t>69b909c3be1ced0015b33067</t>
        </is>
      </c>
      <c r="Q1894"/>
      <c r="R1894" t="inlineStr">
        <is>
          <t>14周</t>
        </is>
      </c>
      <c r="S1894" t="inlineStr">
        <is>
          <t>25.36</t>
        </is>
      </c>
      <c r="T1894" t="inlineStr">
        <is>
          <t>服饰穿搭</t>
        </is>
      </c>
      <c r="U1894" t="inlineStr">
        <is>
          <t>女装</t>
        </is>
      </c>
      <c r="V1894" s="3">
        <v>46116.835335648146</v>
      </c>
      <c r="W1894" t="inlineStr">
        <is>
          <t>2026-Q2</t>
        </is>
      </c>
    </row>
    <row r="1895" ht="25.5" customHeight="1">
      <c r="A1895" t="inlineStr">
        <is>
          <t>嘉泰霖 · 无核老梅干  酸梅肉泡水干吃解馋小零食</t>
        </is>
      </c>
      <c r="B1895" t="inlineStr">
        <is>
          <t>recvfP5nJfDYLJ.jpg</t>
        </is>
      </c>
      <c r="C1895" s="2" t="str">
        <f>=HYPERLINK("https://xhslink.com/m/15XhEBSTr8E", "https://xhslink.com/m/15XhEBSTr8E")</f>
        <v>https://xhslink.com/m/15XhEBSTr8E</v>
      </c>
      <c r="D1895"/>
      <c r="E1895">
        <v>44000</v>
      </c>
      <c r="F1895">
        <v>9.9</v>
      </c>
      <c r="G1895">
        <v>8.9</v>
      </c>
      <c r="H1895">
        <v>200</v>
      </c>
      <c r="I1895" t="inlineStr">
        <is>
          <t>坚果果干</t>
        </is>
      </c>
      <c r="J1895" t="inlineStr">
        <is>
          <t>0.00</t>
        </is>
      </c>
      <c r="K1895" t="inlineStr">
        <is>
          <t>🔥低粉爆款</t>
        </is>
      </c>
      <c r="L1895" t="inlineStr">
        <is>
          <t>嘉泰霖的店</t>
        </is>
      </c>
      <c r="M1895">
        <v>14000</v>
      </c>
      <c r="N1895">
        <v>4.61</v>
      </c>
      <c r="O1895">
        <v>158000</v>
      </c>
      <c r="P1895" t="inlineStr">
        <is>
          <t>690b88f9e379430001ed5c98</t>
        </is>
      </c>
      <c r="Q1895"/>
      <c r="R1895" t="inlineStr">
        <is>
          <t>14周</t>
        </is>
      </c>
      <c r="S1895" t="inlineStr">
        <is>
          <t>3.14</t>
        </is>
      </c>
      <c r="T1895" t="inlineStr">
        <is>
          <t>美食滋补</t>
        </is>
      </c>
      <c r="U1895" t="inlineStr">
        <is>
          <t>休闲零食</t>
        </is>
      </c>
      <c r="V1895" s="3">
        <v>46116.835335648146</v>
      </c>
      <c r="W1895" t="inlineStr">
        <is>
          <t>2026-Q2</t>
        </is>
      </c>
    </row>
    <row r="1896" ht="25.5" customHeight="1">
      <c r="A1896" t="inlineStr">
        <is>
          <t>【0.45粗纹理超耐用烘焙布】大火猛烫不搓泥不闷豆重复使用率超高</t>
        </is>
      </c>
      <c r="B1896" t="inlineStr">
        <is>
          <t>recvfP5nJfxzZe.jpg</t>
        </is>
      </c>
      <c r="C1896" s="2" t="str">
        <f>=HYPERLINK("https://xhslink.com/m/1Uy66Puc87S", "https://xhslink.com/m/1Uy66Puc87S")</f>
        <v>https://xhslink.com/m/1Uy66Puc87S</v>
      </c>
      <c r="D1896"/>
      <c r="E1896">
        <v>10000</v>
      </c>
      <c r="F1896">
        <v>17</v>
      </c>
      <c r="G1896">
        <v>14.96</v>
      </c>
      <c r="H1896">
        <v>200</v>
      </c>
      <c r="I1896" t="inlineStr">
        <is>
          <t>厨房用品</t>
        </is>
      </c>
      <c r="J1896" t="inlineStr">
        <is>
          <t>0.02</t>
        </is>
      </c>
      <c r="K1896" t="inlineStr">
        <is>
          <t>🔥低粉爆款</t>
        </is>
      </c>
      <c r="L1896" t="inlineStr">
        <is>
          <t>天才少女李铁柱的店</t>
        </is>
      </c>
      <c r="M1896">
        <v>2932</v>
      </c>
      <c r="N1896">
        <v>4.55</v>
      </c>
      <c r="O1896">
        <v>20000</v>
      </c>
      <c r="P1896" t="inlineStr">
        <is>
          <t>6906cb61e0dd170001327336</t>
        </is>
      </c>
      <c r="Q1896"/>
      <c r="R1896" t="inlineStr">
        <is>
          <t>14周</t>
        </is>
      </c>
      <c r="S1896" t="inlineStr">
        <is>
          <t>3.41</t>
        </is>
      </c>
      <c r="T1896" t="inlineStr">
        <is>
          <t>家居生活</t>
        </is>
      </c>
      <c r="U1896" t="inlineStr">
        <is>
          <t>厨房餐饮</t>
        </is>
      </c>
      <c r="V1896" s="3">
        <v>46116.835335648146</v>
      </c>
      <c r="W1896" t="inlineStr">
        <is>
          <t>2026-Q2</t>
        </is>
      </c>
    </row>
    <row r="1897" ht="25.5" customHeight="1">
      <c r="A1897" t="inlineStr">
        <is>
          <t>OTHER · 日式旋涡地漏浴室头发地漏盖过滤网水槽卫生间手池毛发防堵浴缸</t>
        </is>
      </c>
      <c r="B1897" t="inlineStr">
        <is>
          <t>recvfP5nJfKJX3.jpg</t>
        </is>
      </c>
      <c r="C1897" s="2" t="str">
        <f>=HYPERLINK("https://xhslink.com/m/3hppWBh9WjD", "https://xhslink.com/m/3hppWBh9WjD")</f>
        <v>https://xhslink.com/m/3hppWBh9WjD</v>
      </c>
      <c r="D1897"/>
      <c r="E1897">
        <v>121000</v>
      </c>
      <c r="F1897">
        <v>19.9</v>
      </c>
      <c r="G1897">
        <v>9.7</v>
      </c>
      <c r="H1897">
        <v>200</v>
      </c>
      <c r="I1897" t="inlineStr">
        <is>
          <t>卫生间用品</t>
        </is>
      </c>
      <c r="J1897" t="inlineStr">
        <is>
          <t>0.00</t>
        </is>
      </c>
      <c r="K1897" t="inlineStr">
        <is>
          <t>🔥低粉爆款</t>
        </is>
      </c>
      <c r="L1897" t="inlineStr">
        <is>
          <t>AA睿睿的店</t>
        </is>
      </c>
      <c r="M1897">
        <v>1120</v>
      </c>
      <c r="N1897">
        <v>4.42</v>
      </c>
      <c r="O1897">
        <v>122000</v>
      </c>
      <c r="P1897" t="inlineStr">
        <is>
          <t>68df23f689b7480015113db9</t>
        </is>
      </c>
      <c r="Q1897"/>
      <c r="R1897" t="inlineStr">
        <is>
          <t>14周</t>
        </is>
      </c>
      <c r="S1897" t="inlineStr">
        <is>
          <t>108.04</t>
        </is>
      </c>
      <c r="T1897" t="inlineStr">
        <is>
          <t>家居生活</t>
        </is>
      </c>
      <c r="U1897" t="inlineStr">
        <is>
          <t>家居日用</t>
        </is>
      </c>
      <c r="V1897" s="3">
        <v>46116.835335648146</v>
      </c>
      <c r="W1897" t="inlineStr">
        <is>
          <t>2026-Q2</t>
        </is>
      </c>
    </row>
    <row r="1898" ht="25.5" customHeight="1">
      <c r="A1898" t="inlineStr">
        <is>
          <t>花花调香室有点茉莉瘾香氛喷雾持久留香清新衣物高级小众茉莉调</t>
        </is>
      </c>
      <c r="B1898" t="inlineStr">
        <is>
          <t>recvfP5nJfiybP.jpg</t>
        </is>
      </c>
      <c r="C1898" s="2" t="str">
        <f>=HYPERLINK("https://xhslink.com/m/6xoZJS8k86h", "https://xhslink.com/m/6xoZJS8k86h")</f>
        <v>https://xhslink.com/m/6xoZJS8k86h</v>
      </c>
      <c r="D1898"/>
      <c r="E1898">
        <v>137000</v>
      </c>
      <c r="F1898">
        <v>46.8</v>
      </c>
      <c r="G1898">
        <v>28.6</v>
      </c>
      <c r="H1898">
        <v>200</v>
      </c>
      <c r="I1898" t="inlineStr">
        <is>
          <t>香薰</t>
        </is>
      </c>
      <c r="J1898" t="inlineStr">
        <is>
          <t>0.00</t>
        </is>
      </c>
      <c r="K1898"/>
      <c r="L1898" t="inlineStr">
        <is>
          <t>会调香的花花的店</t>
        </is>
      </c>
      <c r="M1898">
        <v>132000</v>
      </c>
      <c r="N1898">
        <v>4.6</v>
      </c>
      <c r="O1898">
        <v>525000</v>
      </c>
      <c r="P1898" t="inlineStr">
        <is>
          <t>687088e79c0b4400017823cd</t>
        </is>
      </c>
      <c r="Q1898" t="inlineStr">
        <is>
          <t>🚫重复</t>
        </is>
      </c>
      <c r="R1898" t="inlineStr">
        <is>
          <t>14周</t>
        </is>
      </c>
      <c r="S1898" t="inlineStr">
        <is>
          <t>1.04</t>
        </is>
      </c>
      <c r="T1898" t="inlineStr">
        <is>
          <t>家居生活</t>
        </is>
      </c>
      <c r="U1898" t="inlineStr">
        <is>
          <t>家居日用</t>
        </is>
      </c>
      <c r="V1898" s="3">
        <v>46116.835335648146</v>
      </c>
      <c r="W1898" t="inlineStr">
        <is>
          <t>2026-Q2</t>
        </is>
      </c>
    </row>
    <row r="1899" ht="25.5" customHeight="1">
      <c r="A1899" t="inlineStr">
        <is>
          <t>烛也 · 景德镇非遗手捏陶瓷花瓣线香插粗陶扩香香薰家居摆件闺蜜小众礼物</t>
        </is>
      </c>
      <c r="B1899" t="inlineStr">
        <is>
          <t>recvfP5nJftebc.jpg</t>
        </is>
      </c>
      <c r="C1899" s="2" t="str">
        <f>=HYPERLINK("https://xhslink.com/m/5OoTftsgzRl", "https://xhslink.com/m/5OoTftsgzRl")</f>
        <v>https://xhslink.com/m/5OoTftsgzRl</v>
      </c>
      <c r="D1899"/>
      <c r="E1899">
        <v>2438</v>
      </c>
      <c r="F1899">
        <v>139.5</v>
      </c>
      <c r="G1899">
        <v>136.5</v>
      </c>
      <c r="H1899">
        <v>200</v>
      </c>
      <c r="I1899" t="inlineStr">
        <is>
          <t>香薰</t>
        </is>
      </c>
      <c r="J1899" t="inlineStr">
        <is>
          <t>0.08</t>
        </is>
      </c>
      <c r="K1899" t="inlineStr">
        <is>
          <t>🔥低粉爆款</t>
        </is>
      </c>
      <c r="L1899" t="inlineStr">
        <is>
          <t>烛也Nature的店</t>
        </is>
      </c>
      <c r="M1899">
        <v>796</v>
      </c>
      <c r="N1899">
        <v>4.63</v>
      </c>
      <c r="O1899">
        <v>3917</v>
      </c>
      <c r="P1899" t="inlineStr">
        <is>
          <t>692fd84314b5260001daf192</t>
        </is>
      </c>
      <c r="Q1899"/>
      <c r="R1899" t="inlineStr">
        <is>
          <t>14周</t>
        </is>
      </c>
      <c r="S1899" t="inlineStr">
        <is>
          <t>3.06</t>
        </is>
      </c>
      <c r="T1899" t="inlineStr">
        <is>
          <t>家居生活</t>
        </is>
      </c>
      <c r="U1899" t="inlineStr">
        <is>
          <t>家居日用</t>
        </is>
      </c>
      <c r="V1899" s="3">
        <v>46116.835335648146</v>
      </c>
      <c r="W1899" t="inlineStr">
        <is>
          <t>2026-Q2</t>
        </is>
      </c>
    </row>
    <row r="1900" ht="25.5" customHeight="1">
      <c r="A1900" t="inlineStr">
        <is>
          <t>铭创优趣长脖子动物毛绒玩具邪恶挂件可爱治愈挂饰装饰玩偶送礼物</t>
        </is>
      </c>
      <c r="B1900" t="inlineStr">
        <is>
          <t>recvfP5nJfY6OK.jpg</t>
        </is>
      </c>
      <c r="C1900" s="2" t="str">
        <f>=HYPERLINK("https://xhslink.com/m/4vKfSpLRpbr", "https://xhslink.com/m/4vKfSpLRpbr")</f>
        <v>https://xhslink.com/m/4vKfSpLRpbr</v>
      </c>
      <c r="D1900"/>
      <c r="E1900">
        <v>3068</v>
      </c>
      <c r="F1900">
        <v>19.8</v>
      </c>
      <c r="G1900"/>
      <c r="H1900">
        <v>200</v>
      </c>
      <c r="I1900" t="inlineStr">
        <is>
          <t>毛线玩偶</t>
        </is>
      </c>
      <c r="J1900" t="inlineStr">
        <is>
          <t>0.07</t>
        </is>
      </c>
      <c r="K1900"/>
      <c r="L1900" t="inlineStr">
        <is>
          <t>铭创优趣的店</t>
        </is>
      </c>
      <c r="M1900">
        <v>123000</v>
      </c>
      <c r="N1900">
        <v>4.51</v>
      </c>
      <c r="O1900">
        <v>113000</v>
      </c>
      <c r="P1900" t="inlineStr">
        <is>
          <t>69ae96231166fe0001e1b870</t>
        </is>
      </c>
      <c r="Q1900" t="inlineStr">
        <is>
          <t>🚫重复</t>
        </is>
      </c>
      <c r="R1900" t="inlineStr">
        <is>
          <t>14周</t>
        </is>
      </c>
      <c r="S1900" t="inlineStr">
        <is>
          <t>0.02</t>
        </is>
      </c>
      <c r="T1900" t="inlineStr">
        <is>
          <t>母婴亲子</t>
        </is>
      </c>
      <c r="U1900" t="inlineStr">
        <is>
          <t>玩具早教</t>
        </is>
      </c>
      <c r="V1900" s="3">
        <v>46116.835335648146</v>
      </c>
      <c r="W1900" t="inlineStr">
        <is>
          <t>2026-Q2</t>
        </is>
      </c>
    </row>
    <row r="1901" ht="25.5" customHeight="1">
      <c r="A1901" t="inlineStr">
        <is>
          <t>超迷你小鼠｜超可爱市场</t>
        </is>
      </c>
      <c r="B1901" t="inlineStr">
        <is>
          <t>recvfP5nJfukCU.jpg</t>
        </is>
      </c>
      <c r="C1901" s="2" t="str">
        <f>=HYPERLINK("https://xhslink.com/m/AketYv4xeT1", "https://xhslink.com/m/AketYv4xeT1")</f>
        <v>https://xhslink.com/m/AketYv4xeT1</v>
      </c>
      <c r="D1901"/>
      <c r="E1901">
        <v>3279</v>
      </c>
      <c r="F1901">
        <v>16</v>
      </c>
      <c r="G1901">
        <v>13</v>
      </c>
      <c r="H1901">
        <v>200</v>
      </c>
      <c r="I1901" t="inlineStr">
        <is>
          <t>小物件</t>
        </is>
      </c>
      <c r="J1901" t="inlineStr">
        <is>
          <t>0.06</t>
        </is>
      </c>
      <c r="K1901"/>
      <c r="L1901" t="inlineStr">
        <is>
          <t>超可爱市场的店</t>
        </is>
      </c>
      <c r="M1901">
        <v>7133</v>
      </c>
      <c r="N1901">
        <v>4.73</v>
      </c>
      <c r="O1901">
        <v>15000</v>
      </c>
      <c r="P1901" t="inlineStr">
        <is>
          <t>680b6e8aa295170001a63dd0</t>
        </is>
      </c>
      <c r="Q1901" t="inlineStr">
        <is>
          <t>🚫重复</t>
        </is>
      </c>
      <c r="R1901" t="inlineStr">
        <is>
          <t>14周</t>
        </is>
      </c>
      <c r="S1901" t="inlineStr">
        <is>
          <t>0.46</t>
        </is>
      </c>
      <c r="T1901" t="inlineStr">
        <is>
          <t>家居生活</t>
        </is>
      </c>
      <c r="U1901" t="inlineStr">
        <is>
          <t>家居日用</t>
        </is>
      </c>
      <c r="V1901" s="3">
        <v>46116.835335648146</v>
      </c>
      <c r="W1901" t="inlineStr">
        <is>
          <t>2026-Q2</t>
        </is>
      </c>
    </row>
    <row r="1902" ht="25.5" customHeight="1">
      <c r="A1902" t="inlineStr">
        <is>
          <t>Potdemiel · 海绵宝宝比奇堡路人鱼毛绒公仔创意玩偶搞怪有趣送女生日圣诞礼物</t>
        </is>
      </c>
      <c r="B1902" t="inlineStr">
        <is>
          <t>recvfP5nJf1o9Q.jpg</t>
        </is>
      </c>
      <c r="C1902" s="2" t="str">
        <f>=HYPERLINK("https://xhslink.com/m/8EfdwoEeU01", "https://xhslink.com/m/8EfdwoEeU01")</f>
        <v>https://xhslink.com/m/8EfdwoEeU01</v>
      </c>
      <c r="D1902"/>
      <c r="E1902">
        <v>5282</v>
      </c>
      <c r="F1902">
        <v>79</v>
      </c>
      <c r="G1902">
        <v>49.9</v>
      </c>
      <c r="H1902">
        <v>200</v>
      </c>
      <c r="I1902" t="inlineStr">
        <is>
          <t>小物件</t>
        </is>
      </c>
      <c r="J1902" t="inlineStr">
        <is>
          <t>0.04</t>
        </is>
      </c>
      <c r="K1902"/>
      <c r="L1902" t="inlineStr">
        <is>
          <t>Potdemiel蜂蜜罐旗舰店</t>
        </is>
      </c>
      <c r="M1902">
        <v>170000</v>
      </c>
      <c r="N1902">
        <v>4.64</v>
      </c>
      <c r="O1902">
        <v>167000</v>
      </c>
      <c r="P1902" t="inlineStr">
        <is>
          <t>691fdd96ccb9e00001dd84f5</t>
        </is>
      </c>
      <c r="Q1902" t="inlineStr">
        <is>
          <t>🚫重复</t>
        </is>
      </c>
      <c r="R1902" t="inlineStr">
        <is>
          <t>14周</t>
        </is>
      </c>
      <c r="S1902" t="inlineStr">
        <is>
          <t>0.03</t>
        </is>
      </c>
      <c r="T1902" t="inlineStr">
        <is>
          <t>家居生活</t>
        </is>
      </c>
      <c r="U1902" t="inlineStr">
        <is>
          <t>家居日用</t>
        </is>
      </c>
      <c r="V1902" s="3">
        <v>46116.835335648146</v>
      </c>
      <c r="W1902" t="inlineStr">
        <is>
          <t>2026-Q2</t>
        </is>
      </c>
    </row>
    <row r="1903" ht="25.5" customHeight="1">
      <c r="A1903" t="inlineStr">
        <is>
          <t>【开学季】双位无痕防滑衣架防肩角家用宿舍无痕塑料防滑不鼓包</t>
        </is>
      </c>
      <c r="B1903" t="inlineStr">
        <is>
          <t>recvfP5nJfQZdG.jpg</t>
        </is>
      </c>
      <c r="C1903" s="2" t="str">
        <f>=HYPERLINK("https://xhslink.com/m/31GuieyrTLm", "https://xhslink.com/m/31GuieyrTLm")</f>
        <v>https://xhslink.com/m/31GuieyrTLm</v>
      </c>
      <c r="D1903"/>
      <c r="E1903">
        <v>76000</v>
      </c>
      <c r="F1903">
        <v>44.8</v>
      </c>
      <c r="G1903">
        <v>24.8</v>
      </c>
      <c r="H1903">
        <v>200</v>
      </c>
      <c r="I1903" t="inlineStr">
        <is>
          <t>小物件</t>
        </is>
      </c>
      <c r="J1903" t="inlineStr">
        <is>
          <t>0.00</t>
        </is>
      </c>
      <c r="K1903" t="inlineStr">
        <is>
          <t>🔥低粉爆款</t>
        </is>
      </c>
      <c r="L1903" t="inlineStr">
        <is>
          <t>大胖小白的店</t>
        </is>
      </c>
      <c r="M1903">
        <v>710</v>
      </c>
      <c r="N1903">
        <v>4.54</v>
      </c>
      <c r="O1903">
        <v>139000</v>
      </c>
      <c r="P1903" t="inlineStr">
        <is>
          <t>6889dd219e83740001880b95</t>
        </is>
      </c>
      <c r="Q1903" t="inlineStr">
        <is>
          <t>🚫重复</t>
        </is>
      </c>
      <c r="R1903" t="inlineStr">
        <is>
          <t>14周</t>
        </is>
      </c>
      <c r="S1903" t="inlineStr">
        <is>
          <t>107.04</t>
        </is>
      </c>
      <c r="T1903" t="inlineStr">
        <is>
          <t>家居生活</t>
        </is>
      </c>
      <c r="U1903" t="inlineStr">
        <is>
          <t>家居日用</t>
        </is>
      </c>
      <c r="V1903" s="3">
        <v>46116.835335648146</v>
      </c>
      <c r="W1903" t="inlineStr">
        <is>
          <t>2026-Q2</t>
        </is>
      </c>
    </row>
    <row r="1904" ht="25.5" customHeight="1">
      <c r="A1904" t="inlineStr">
        <is>
          <t>婚礼抛洒娃娃毕业礼物学生礼物活动小礼品挂件套餐（普通版）</t>
        </is>
      </c>
      <c r="B1904" t="inlineStr">
        <is>
          <t>recvfP5nJfxFRp.jpg</t>
        </is>
      </c>
      <c r="C1904" s="2" t="str">
        <f>=HYPERLINK("https://xhslink.com/m/8GfCDjttkP", "https://xhslink.com/m/8GfCDjttkP")</f>
        <v>https://xhslink.com/m/8GfCDjttkP</v>
      </c>
      <c r="D1904"/>
      <c r="E1904">
        <v>11000</v>
      </c>
      <c r="F1904">
        <v>398</v>
      </c>
      <c r="G1904"/>
      <c r="H1904">
        <v>200</v>
      </c>
      <c r="I1904" t="inlineStr">
        <is>
          <t>小物件</t>
        </is>
      </c>
      <c r="J1904" t="inlineStr">
        <is>
          <t>0.02</t>
        </is>
      </c>
      <c r="K1904"/>
      <c r="L1904" t="inlineStr">
        <is>
          <t>Sumgift拾礼集的店</t>
        </is>
      </c>
      <c r="M1904">
        <v>12000</v>
      </c>
      <c r="N1904">
        <v>4.74</v>
      </c>
      <c r="O1904">
        <v>12000</v>
      </c>
      <c r="P1904" t="inlineStr">
        <is>
          <t>688b8cf199631f0001be75e4</t>
        </is>
      </c>
      <c r="Q1904" t="inlineStr">
        <is>
          <t>🚫重复</t>
        </is>
      </c>
      <c r="R1904" t="inlineStr">
        <is>
          <t>14周</t>
        </is>
      </c>
      <c r="S1904" t="inlineStr">
        <is>
          <t>0.92</t>
        </is>
      </c>
      <c r="T1904" t="inlineStr">
        <is>
          <t>家居生活</t>
        </is>
      </c>
      <c r="U1904" t="inlineStr">
        <is>
          <t>家居日用</t>
        </is>
      </c>
      <c r="V1904" s="3">
        <v>46116.835335648146</v>
      </c>
      <c r="W1904" t="inlineStr">
        <is>
          <t>2026-Q2</t>
        </is>
      </c>
    </row>
    <row r="1905" ht="25.5" customHeight="1">
      <c r="A1905" t="inlineStr">
        <is>
          <t>西域伯爵 · 【需要催熟/也可以生吃】海南金煌芒纸核芒新鲜应季核薄无丝</t>
        </is>
      </c>
      <c r="B1905" t="inlineStr">
        <is>
          <t>recvfVt9jWF4wj.jpg</t>
        </is>
      </c>
      <c r="C1905" s="2" t="str">
        <f>=HYPERLINK("https://xhslink.com/m/2iuJL0sjYq", "https://xhslink.com/m/2iuJL0sjYq")</f>
        <v>https://xhslink.com/m/2iuJL0sjYq</v>
      </c>
      <c r="D1905"/>
      <c r="E1905">
        <v>517000</v>
      </c>
      <c r="F1905">
        <v>31.9</v>
      </c>
      <c r="G1905"/>
      <c r="H1905">
        <v>200</v>
      </c>
      <c r="I1905" t="inlineStr">
        <is>
          <t>水果</t>
        </is>
      </c>
      <c r="J1905" t="inlineStr">
        <is>
          <t>0.00</t>
        </is>
      </c>
      <c r="K1905" t="inlineStr">
        <is>
          <t>🔥低粉爆款</t>
        </is>
      </c>
      <c r="L1905" t="inlineStr">
        <is>
          <t>西域伯爵旗舰店</t>
        </is>
      </c>
      <c r="M1905">
        <v>2156</v>
      </c>
      <c r="N1905">
        <v>4.4</v>
      </c>
      <c r="O1905">
        <v>142000</v>
      </c>
      <c r="P1905" t="inlineStr">
        <is>
          <t>682aac8880956a0001526b0b</t>
        </is>
      </c>
      <c r="Q1905" t="inlineStr">
        <is>
          <t>🚫重复</t>
        </is>
      </c>
      <c r="R1905" t="inlineStr">
        <is>
          <t>14周</t>
        </is>
      </c>
      <c r="S1905" t="inlineStr">
        <is>
          <t>239.80</t>
        </is>
      </c>
      <c r="T1905" t="inlineStr">
        <is>
          <t>美食滋补</t>
        </is>
      </c>
      <c r="U1905" t="inlineStr">
        <is>
          <t>生鲜特产</t>
        </is>
      </c>
      <c r="V1905" s="3">
        <v>46117.927083333336</v>
      </c>
      <c r="W1905" t="inlineStr">
        <is>
          <t>2026-Q2</t>
        </is>
      </c>
    </row>
    <row r="1906" ht="25.5" customHeight="1">
      <c r="A1906" t="inlineStr">
        <is>
          <t>【红心牛奶木瓜】当季新鲜冰糖心自然熟现摘现发甜度软糯香甜</t>
        </is>
      </c>
      <c r="B1906" t="inlineStr">
        <is>
          <t>recvfVt9jWSpgi.jpg</t>
        </is>
      </c>
      <c r="C1906" s="2" t="str">
        <f>=HYPERLINK("https://xhslink.com/m/czCjyM4a1G", "https://xhslink.com/m/czCjyM4a1G")</f>
        <v>https://xhslink.com/m/czCjyM4a1G</v>
      </c>
      <c r="D1906"/>
      <c r="E1906">
        <v>44000</v>
      </c>
      <c r="F1906">
        <v>34.6</v>
      </c>
      <c r="G1906">
        <v>14.6</v>
      </c>
      <c r="H1906">
        <v>200</v>
      </c>
      <c r="I1906" t="inlineStr">
        <is>
          <t>水果</t>
        </is>
      </c>
      <c r="J1906" t="inlineStr">
        <is>
          <t>0.00</t>
        </is>
      </c>
      <c r="K1906" t="inlineStr">
        <is>
          <t>🔥低粉爆款</t>
        </is>
      </c>
      <c r="L1906" t="inlineStr">
        <is>
          <t>甜果小集的店</t>
        </is>
      </c>
      <c r="M1906">
        <v>89</v>
      </c>
      <c r="N1906">
        <v>4.55</v>
      </c>
      <c r="O1906">
        <v>9008</v>
      </c>
      <c r="P1906" t="inlineStr">
        <is>
          <t>69b8d3ca916f6b0001b8a549</t>
        </is>
      </c>
      <c r="Q1906"/>
      <c r="R1906" t="inlineStr">
        <is>
          <t>14周</t>
        </is>
      </c>
      <c r="S1906" t="inlineStr">
        <is>
          <t>494.38</t>
        </is>
      </c>
      <c r="T1906" t="inlineStr">
        <is>
          <t>美食滋补</t>
        </is>
      </c>
      <c r="U1906" t="inlineStr">
        <is>
          <t>酒水冲饮</t>
        </is>
      </c>
      <c r="V1906" s="3">
        <v>46117.927083333336</v>
      </c>
      <c r="W1906" t="inlineStr">
        <is>
          <t>2026-Q2</t>
        </is>
      </c>
    </row>
    <row r="1907" ht="25.5" customHeight="1">
      <c r="A1907" t="inlineStr">
        <is>
          <t>CUBO Fresh · 挪威进口冰鲜三文鱼刺身新鲜鱼块鱼立方 现切现发</t>
        </is>
      </c>
      <c r="B1907" t="inlineStr">
        <is>
          <t>recvfVt9jWoLfK.jpg</t>
        </is>
      </c>
      <c r="C1907" s="2" t="str">
        <f>=HYPERLINK("https://xhslink.com/m/6G1ttxwQwgd", "https://xhslink.com/m/6G1ttxwQwgd")</f>
        <v>https://xhslink.com/m/6G1ttxwQwgd</v>
      </c>
      <c r="D1907"/>
      <c r="E1907">
        <v>26000</v>
      </c>
      <c r="F1907">
        <v>99.9</v>
      </c>
      <c r="G1907">
        <v>69.9</v>
      </c>
      <c r="H1907">
        <v>200</v>
      </c>
      <c r="I1907" t="inlineStr">
        <is>
          <t>海鲜</t>
        </is>
      </c>
      <c r="J1907" t="inlineStr">
        <is>
          <t>0.01</t>
        </is>
      </c>
      <c r="K1907"/>
      <c r="L1907" t="inlineStr">
        <is>
          <t>CUBO Fresh三文鱼旗舰店</t>
        </is>
      </c>
      <c r="M1907">
        <v>8728</v>
      </c>
      <c r="N1907">
        <v>4.77</v>
      </c>
      <c r="O1907">
        <v>35000</v>
      </c>
      <c r="P1907" t="inlineStr">
        <is>
          <t>6925c40d2aa9d00001d30aae</t>
        </is>
      </c>
      <c r="Q1907"/>
      <c r="R1907" t="inlineStr">
        <is>
          <t>14周</t>
        </is>
      </c>
      <c r="S1907" t="inlineStr">
        <is>
          <t>2.98</t>
        </is>
      </c>
      <c r="T1907" t="inlineStr">
        <is>
          <t>美食滋补</t>
        </is>
      </c>
      <c r="U1907" t="inlineStr">
        <is>
          <t>生鲜特产</t>
        </is>
      </c>
      <c r="V1907" s="3">
        <v>46117.927083333336</v>
      </c>
      <c r="W1907" t="inlineStr">
        <is>
          <t>2026-Q2</t>
        </is>
      </c>
    </row>
    <row r="1908" ht="25.5" customHeight="1">
      <c r="A1908" t="inlineStr">
        <is>
          <t>挪威三文鱼碎肉2斤装新日期生产成都本地每日新鲜配送</t>
        </is>
      </c>
      <c r="B1908" t="inlineStr">
        <is>
          <t>recvfVt9jWBBsj.jpg</t>
        </is>
      </c>
      <c r="C1908" s="2" t="str">
        <f>=HYPERLINK("https://xhslink.com/m/9s6bbwBSQga", "https://xhslink.com/m/9s6bbwBSQga")</f>
        <v>https://xhslink.com/m/9s6bbwBSQga</v>
      </c>
      <c r="D1908"/>
      <c r="E1908">
        <v>7763</v>
      </c>
      <c r="F1908">
        <v>90</v>
      </c>
      <c r="G1908"/>
      <c r="H1908">
        <v>200</v>
      </c>
      <c r="I1908" t="inlineStr">
        <is>
          <t>海鲜</t>
        </is>
      </c>
      <c r="J1908" t="inlineStr">
        <is>
          <t>0.03</t>
        </is>
      </c>
      <c r="K1908"/>
      <c r="L1908" t="inlineStr">
        <is>
          <t>成都餐饮食材供应链的店</t>
        </is>
      </c>
      <c r="M1908">
        <v>5142</v>
      </c>
      <c r="N1908">
        <v>4.01</v>
      </c>
      <c r="O1908">
        <v>10000</v>
      </c>
      <c r="P1908" t="inlineStr">
        <is>
          <t>69c8e45be6196b000180c6d8</t>
        </is>
      </c>
      <c r="Q1908"/>
      <c r="R1908" t="inlineStr">
        <is>
          <t>14周</t>
        </is>
      </c>
      <c r="S1908" t="inlineStr">
        <is>
          <t>1.51</t>
        </is>
      </c>
      <c r="T1908" t="inlineStr">
        <is>
          <t>美食滋补</t>
        </is>
      </c>
      <c r="U1908" t="inlineStr">
        <is>
          <t>生鲜特产</t>
        </is>
      </c>
      <c r="V1908" s="3">
        <v>46117.927083333336</v>
      </c>
      <c r="W1908" t="inlineStr">
        <is>
          <t>2026-Q2</t>
        </is>
      </c>
    </row>
    <row r="1909" ht="25.5" customHeight="1">
      <c r="A1909" t="inlineStr">
        <is>
          <t>空山新雨 · 踏歌115坡型腮红膏刷 粉底刷沧州面部修容膏状液体定妆刷</t>
        </is>
      </c>
      <c r="B1909" t="inlineStr">
        <is>
          <t>recvfVt9jWURJP.jpg</t>
        </is>
      </c>
      <c r="C1909" s="2" t="str">
        <f>=HYPERLINK("https://xhslink.com/m/4JH576M6D9n", "https://xhslink.com/m/4JH576M6D9n")</f>
        <v>https://xhslink.com/m/4JH576M6D9n</v>
      </c>
      <c r="D1909"/>
      <c r="E1909">
        <v>44000</v>
      </c>
      <c r="F1909">
        <v>29</v>
      </c>
      <c r="G1909">
        <v>25.52</v>
      </c>
      <c r="H1909">
        <v>200</v>
      </c>
      <c r="I1909" t="inlineStr">
        <is>
          <t>化妆刷</t>
        </is>
      </c>
      <c r="J1909" t="inlineStr">
        <is>
          <t>0.00</t>
        </is>
      </c>
      <c r="K1909"/>
      <c r="L1909" t="inlineStr">
        <is>
          <t>空山新雨旗舰店</t>
        </is>
      </c>
      <c r="M1909">
        <v>85000</v>
      </c>
      <c r="N1909">
        <v>4.59</v>
      </c>
      <c r="O1909">
        <v>882000</v>
      </c>
      <c r="P1909" t="inlineStr">
        <is>
          <t>66a710b27deca70001470d75</t>
        </is>
      </c>
      <c r="Q1909"/>
      <c r="R1909" t="inlineStr">
        <is>
          <t>14周</t>
        </is>
      </c>
      <c r="S1909" t="inlineStr">
        <is>
          <t>0.52</t>
        </is>
      </c>
      <c r="T1909" t="inlineStr">
        <is>
          <t>美妆个护</t>
        </is>
      </c>
      <c r="U1909" t="inlineStr">
        <is>
          <t>护肤彩妆</t>
        </is>
      </c>
      <c r="V1909" s="3">
        <v>46117.927083333336</v>
      </c>
      <c r="W1909" t="inlineStr">
        <is>
          <t>2026-Q2</t>
        </is>
      </c>
    </row>
    <row r="1910" ht="25.5" customHeight="1">
      <c r="A1910" t="inlineStr">
        <is>
          <t>OUOY · 偶语学生党平价懒人隔离脸部遮瑕提亮干皮素颜霜推荐</t>
        </is>
      </c>
      <c r="B1910" t="inlineStr">
        <is>
          <t>recvfVt9jWE4Fg.jpg</t>
        </is>
      </c>
      <c r="C1910" s="2" t="str">
        <f>=HYPERLINK("https://xhslink.com/m/3K5Dfx57s1G", "https://xhslink.com/m/3K5Dfx57s1G")</f>
        <v>https://xhslink.com/m/3K5Dfx57s1G</v>
      </c>
      <c r="D1910"/>
      <c r="E1910">
        <v>84000</v>
      </c>
      <c r="F1910">
        <v>98.9</v>
      </c>
      <c r="G1910">
        <v>69.9</v>
      </c>
      <c r="H1910">
        <v>200</v>
      </c>
      <c r="I1910" t="inlineStr">
        <is>
          <t>彩妆</t>
        </is>
      </c>
      <c r="J1910" t="inlineStr">
        <is>
          <t>0.00</t>
        </is>
      </c>
      <c r="K1910" t="inlineStr">
        <is>
          <t>🔥低粉爆款</t>
        </is>
      </c>
      <c r="L1910" t="inlineStr">
        <is>
          <t>OUOY旗舰店</t>
        </is>
      </c>
      <c r="M1910">
        <v>18000</v>
      </c>
      <c r="N1910">
        <v>4.51</v>
      </c>
      <c r="O1910">
        <v>1310000</v>
      </c>
      <c r="P1910" t="inlineStr">
        <is>
          <t>693fddbb51b8c00001a3a9bb</t>
        </is>
      </c>
      <c r="Q1910" t="inlineStr">
        <is>
          <t>🚫重复</t>
        </is>
      </c>
      <c r="R1910" t="inlineStr">
        <is>
          <t>14周</t>
        </is>
      </c>
      <c r="S1910" t="inlineStr">
        <is>
          <t>4.67</t>
        </is>
      </c>
      <c r="T1910" t="inlineStr">
        <is>
          <t>美妆个护</t>
        </is>
      </c>
      <c r="U1910" t="inlineStr">
        <is>
          <t>护肤彩妆</t>
        </is>
      </c>
      <c r="V1910" s="3">
        <v>46117.927083333336</v>
      </c>
      <c r="W1910" t="inlineStr">
        <is>
          <t>2026-Q2</t>
        </is>
      </c>
    </row>
    <row r="1911" ht="25.5" customHeight="1">
      <c r="A1911" t="inlineStr">
        <is>
          <t>PULJIM²宝玑米 · 【防晒款上新】身体素颜霜柔雾紫色提亮防汗防蹭不假白面身通用</t>
        </is>
      </c>
      <c r="B1911" t="inlineStr">
        <is>
          <t>recvfVt9jWjeGy.jpg</t>
        </is>
      </c>
      <c r="C1911" s="2" t="str">
        <f>=HYPERLINK("https://xhslink.com/m/5Q3kymAgJv6", "https://xhslink.com/m/5Q3kymAgJv6")</f>
        <v>https://xhslink.com/m/5Q3kymAgJv6</v>
      </c>
      <c r="D1911"/>
      <c r="E1911">
        <v>36000</v>
      </c>
      <c r="F1911">
        <v>79</v>
      </c>
      <c r="G1911">
        <v>23.9</v>
      </c>
      <c r="H1911">
        <v>200</v>
      </c>
      <c r="I1911" t="inlineStr">
        <is>
          <t>防晒</t>
        </is>
      </c>
      <c r="J1911" t="inlineStr">
        <is>
          <t>0.01</t>
        </is>
      </c>
      <c r="K1911"/>
      <c r="L1911" t="inlineStr">
        <is>
          <t>PULJIM² 宝玑米旗舰店</t>
        </is>
      </c>
      <c r="M1911">
        <v>77000</v>
      </c>
      <c r="N1911">
        <v>4.66</v>
      </c>
      <c r="O1911">
        <v>443000</v>
      </c>
      <c r="P1911" t="inlineStr">
        <is>
          <t>67d1264229b9f7000153dfc9</t>
        </is>
      </c>
      <c r="Q1911" t="inlineStr">
        <is>
          <t>🚫重复</t>
        </is>
      </c>
      <c r="R1911" t="inlineStr">
        <is>
          <t>14周</t>
        </is>
      </c>
      <c r="S1911" t="inlineStr">
        <is>
          <t>0.47</t>
        </is>
      </c>
      <c r="T1911" t="inlineStr">
        <is>
          <t>美妆个护</t>
        </is>
      </c>
      <c r="U1911" t="inlineStr">
        <is>
          <t>护肤彩妆</t>
        </is>
      </c>
      <c r="V1911" s="3">
        <v>46117.927083333336</v>
      </c>
      <c r="W1911" t="inlineStr">
        <is>
          <t>2026-Q2</t>
        </is>
      </c>
    </row>
    <row r="1912" ht="25.5" customHeight="1">
      <c r="A1912" t="inlineStr">
        <is>
          <t>Damita•【雾山海棠】穿戴甲蜜桃渐变猫眼气质高级百搭温柔10片</t>
        </is>
      </c>
      <c r="B1912" t="inlineStr">
        <is>
          <t>recvfVt9jWpB9y.jpg</t>
        </is>
      </c>
      <c r="C1912" s="2" t="str">
        <f>=HYPERLINK("https://xhslink.com/m/6IvjMbu2u0D", "https://xhslink.com/m/6IvjMbu2u0D")</f>
        <v>https://xhslink.com/m/6IvjMbu2u0D</v>
      </c>
      <c r="D1912"/>
      <c r="E1912">
        <v>29000</v>
      </c>
      <c r="F1912">
        <v>39.9</v>
      </c>
      <c r="G1912">
        <v>8.8</v>
      </c>
      <c r="H1912">
        <v>200</v>
      </c>
      <c r="I1912" t="inlineStr">
        <is>
          <t>穿戴甲</t>
        </is>
      </c>
      <c r="J1912" t="inlineStr">
        <is>
          <t>0.01</t>
        </is>
      </c>
      <c r="K1912"/>
      <c r="L1912" t="inlineStr">
        <is>
          <t>DAMITA米塔穿戴甲的店</t>
        </is>
      </c>
      <c r="M1912">
        <v>24000</v>
      </c>
      <c r="N1912">
        <v>4.21</v>
      </c>
      <c r="O1912">
        <v>141000</v>
      </c>
      <c r="P1912" t="inlineStr">
        <is>
          <t>693aa0364f2ba20001b49b0e</t>
        </is>
      </c>
      <c r="Q1912"/>
      <c r="R1912" t="inlineStr">
        <is>
          <t>14周</t>
        </is>
      </c>
      <c r="S1912" t="inlineStr">
        <is>
          <t>1.21</t>
        </is>
      </c>
      <c r="T1912" t="inlineStr">
        <is>
          <t>美妆个护</t>
        </is>
      </c>
      <c r="U1912" t="inlineStr">
        <is>
          <t>护肤彩妆</t>
        </is>
      </c>
      <c r="V1912" s="3">
        <v>46117.927083333336</v>
      </c>
      <c r="W1912" t="inlineStr">
        <is>
          <t>2026-Q2</t>
        </is>
      </c>
    </row>
    <row r="1913" ht="25.5" customHeight="1">
      <c r="A1913" t="inlineStr">
        <is>
          <t>爆款高级猫眼半手工美甲蝴蝶结粉色法式穿戴显白指甲气质甜心穿戴</t>
        </is>
      </c>
      <c r="B1913" t="inlineStr">
        <is>
          <t>recvfVt9jWOxwn.jpg</t>
        </is>
      </c>
      <c r="C1913" s="2" t="str">
        <f>=HYPERLINK("https://xhslink.com/m/2GQxROvKhMq", "https://xhslink.com/m/2GQxROvKhMq")</f>
        <v>https://xhslink.com/m/2GQxROvKhMq</v>
      </c>
      <c r="D1913"/>
      <c r="E1913">
        <v>22000</v>
      </c>
      <c r="F1913">
        <v>19.8</v>
      </c>
      <c r="G1913">
        <v>6.89</v>
      </c>
      <c r="H1913">
        <v>200</v>
      </c>
      <c r="I1913" t="inlineStr">
        <is>
          <t>穿戴甲</t>
        </is>
      </c>
      <c r="J1913" t="inlineStr">
        <is>
          <t>0.01</t>
        </is>
      </c>
      <c r="K1913" t="inlineStr">
        <is>
          <t>🔥低粉爆款</t>
        </is>
      </c>
      <c r="L1913" t="inlineStr">
        <is>
          <t>LLLuky always的店</t>
        </is>
      </c>
      <c r="M1913">
        <v>2734</v>
      </c>
      <c r="N1913">
        <v>4.23</v>
      </c>
      <c r="O1913">
        <v>34000</v>
      </c>
      <c r="P1913" t="inlineStr">
        <is>
          <t>68f48656f5d0480001f1cdc3</t>
        </is>
      </c>
      <c r="Q1913"/>
      <c r="R1913" t="inlineStr">
        <is>
          <t>14周</t>
        </is>
      </c>
      <c r="S1913" t="inlineStr">
        <is>
          <t>8.05</t>
        </is>
      </c>
      <c r="T1913" t="inlineStr">
        <is>
          <t>美妆个护</t>
        </is>
      </c>
      <c r="U1913" t="inlineStr">
        <is>
          <t>护肤彩妆</t>
        </is>
      </c>
      <c r="V1913" s="3">
        <v>46117.927083333336</v>
      </c>
      <c r="W1913" t="inlineStr">
        <is>
          <t>2026-Q2</t>
        </is>
      </c>
    </row>
    <row r="1914" ht="25.5" customHeight="1">
      <c r="A1914" t="inlineStr">
        <is>
          <t>Haa · 护发精油椰子油干枯烫染受损防毛躁分叉清爽柔顺茉莉留香平价</t>
        </is>
      </c>
      <c r="B1914" t="inlineStr">
        <is>
          <t>recvfVt9jWCzuJ.jpg</t>
        </is>
      </c>
      <c r="C1914" s="2" t="str">
        <f>=HYPERLINK("https://xhslink.com/m/6cmCiKcMdMM", "https://xhslink.com/m/6cmCiKcMdMM")</f>
        <v>https://xhslink.com/m/6cmCiKcMdMM</v>
      </c>
      <c r="D1914"/>
      <c r="E1914">
        <v>56000</v>
      </c>
      <c r="F1914">
        <v>29.9</v>
      </c>
      <c r="G1914"/>
      <c r="H1914">
        <v>200</v>
      </c>
      <c r="I1914" t="inlineStr">
        <is>
          <t>美发养发</t>
        </is>
      </c>
      <c r="J1914" t="inlineStr">
        <is>
          <t>0.00</t>
        </is>
      </c>
      <c r="K1914"/>
      <c r="L1914" t="inlineStr">
        <is>
          <t>Haa旗舰店</t>
        </is>
      </c>
      <c r="M1914">
        <v>435000</v>
      </c>
      <c r="N1914">
        <v>4.61</v>
      </c>
      <c r="O1914">
        <v>1913000</v>
      </c>
      <c r="P1914" t="inlineStr">
        <is>
          <t>6846b5f16d19100001718196</t>
        </is>
      </c>
      <c r="Q1914" t="inlineStr">
        <is>
          <t>🚫重复</t>
        </is>
      </c>
      <c r="R1914" t="inlineStr">
        <is>
          <t>14周</t>
        </is>
      </c>
      <c r="S1914" t="inlineStr">
        <is>
          <t>0.13</t>
        </is>
      </c>
      <c r="T1914" t="inlineStr">
        <is>
          <t>美妆个护</t>
        </is>
      </c>
      <c r="U1914" t="inlineStr">
        <is>
          <t>个人护理</t>
        </is>
      </c>
      <c r="V1914" s="3">
        <v>46117.927083333336</v>
      </c>
      <c r="W1914" t="inlineStr">
        <is>
          <t>2026-Q2</t>
        </is>
      </c>
    </row>
    <row r="1915" ht="25.5" customHeight="1">
      <c r="A1915" t="inlineStr">
        <is>
          <t>柠言集 · 侧柏浸泡液草本植物养发液</t>
        </is>
      </c>
      <c r="B1915" t="inlineStr">
        <is>
          <t>recvfVt9jWVseH.jpg</t>
        </is>
      </c>
      <c r="C1915" s="2" t="str">
        <f>=HYPERLINK("https://xhslink.com/m/84Rxy4JBI23", "https://xhslink.com/m/84Rxy4JBI23")</f>
        <v>https://xhslink.com/m/84Rxy4JBI23</v>
      </c>
      <c r="D1915"/>
      <c r="E1915">
        <v>73000</v>
      </c>
      <c r="F1915">
        <v>49.8</v>
      </c>
      <c r="G1915"/>
      <c r="H1915">
        <v>200</v>
      </c>
      <c r="I1915" t="inlineStr">
        <is>
          <t>美发养发</t>
        </is>
      </c>
      <c r="J1915" t="inlineStr">
        <is>
          <t>0.00</t>
        </is>
      </c>
      <c r="K1915" t="inlineStr">
        <is>
          <t>🔥低粉爆款</t>
        </is>
      </c>
      <c r="L1915" t="inlineStr">
        <is>
          <t>柠檬家lucky的店</t>
        </is>
      </c>
      <c r="M1915">
        <v>18000</v>
      </c>
      <c r="N1915">
        <v>4.63</v>
      </c>
      <c r="O1915">
        <v>143000</v>
      </c>
      <c r="P1915" t="inlineStr">
        <is>
          <t>689e985888416a0001159a54</t>
        </is>
      </c>
      <c r="Q1915" t="inlineStr">
        <is>
          <t>🚫重复</t>
        </is>
      </c>
      <c r="R1915" t="inlineStr">
        <is>
          <t>14周</t>
        </is>
      </c>
      <c r="S1915" t="inlineStr">
        <is>
          <t>4.06</t>
        </is>
      </c>
      <c r="T1915" t="inlineStr">
        <is>
          <t>美妆个护</t>
        </is>
      </c>
      <c r="U1915" t="inlineStr">
        <is>
          <t>个人护理</t>
        </is>
      </c>
      <c r="V1915" s="3">
        <v>46117.927083333336</v>
      </c>
      <c r="W1915" t="inlineStr">
        <is>
          <t>2026-Q2</t>
        </is>
      </c>
    </row>
    <row r="1916" ht="25.5" customHeight="1">
      <c r="A1916" t="inlineStr">
        <is>
          <t>多巴胺纯棉v领正肩收腰短袖T恤女夏季甜辣妹褶皱短款印花显瘦上衣</t>
        </is>
      </c>
      <c r="B1916" t="inlineStr">
        <is>
          <t>recvfVt9jWBxAW.jpg</t>
        </is>
      </c>
      <c r="C1916" s="2" t="str">
        <f>=HYPERLINK("https://xhslink.com/m/2RziWkNnGjU", "https://xhslink.com/m/2RziWkNnGjU")</f>
        <v>https://xhslink.com/m/2RziWkNnGjU</v>
      </c>
      <c r="D1916"/>
      <c r="E1916">
        <v>932</v>
      </c>
      <c r="F1916">
        <v>69.8</v>
      </c>
      <c r="G1916">
        <v>39.8</v>
      </c>
      <c r="H1916">
        <v>200</v>
      </c>
      <c r="I1916" t="inlineStr">
        <is>
          <t>短袖</t>
        </is>
      </c>
      <c r="J1916" t="inlineStr">
        <is>
          <t>0.21</t>
        </is>
      </c>
      <c r="K1916"/>
      <c r="L1916" t="inlineStr">
        <is>
          <t>xiao轩工作室的店</t>
        </is>
      </c>
      <c r="M1916">
        <v>848</v>
      </c>
      <c r="N1916">
        <v>4.45</v>
      </c>
      <c r="O1916">
        <v>17000</v>
      </c>
      <c r="P1916" t="inlineStr">
        <is>
          <t>69b1127710392d000150a1c5</t>
        </is>
      </c>
      <c r="Q1916" t="inlineStr">
        <is>
          <t>🚫重复</t>
        </is>
      </c>
      <c r="R1916" t="inlineStr">
        <is>
          <t>14周</t>
        </is>
      </c>
      <c r="S1916" t="inlineStr">
        <is>
          <t>1.10</t>
        </is>
      </c>
      <c r="T1916" t="inlineStr">
        <is>
          <t>服饰穿搭</t>
        </is>
      </c>
      <c r="U1916" t="inlineStr">
        <is>
          <t>女装</t>
        </is>
      </c>
      <c r="V1916" s="3">
        <v>46117.927083333336</v>
      </c>
      <c r="W1916" t="inlineStr">
        <is>
          <t>2026-Q2</t>
        </is>
      </c>
    </row>
    <row r="1917" ht="25.5" customHeight="1">
      <c r="A1917" t="inlineStr">
        <is>
          <t>Goo大吉·【复古蓝小阔腿】高腰显瘦弹力微喇叭直筒阔腿拖地裤子</t>
        </is>
      </c>
      <c r="B1917" t="inlineStr">
        <is>
          <t>recvfVt9jWCEc4.jpg</t>
        </is>
      </c>
      <c r="C1917" s="2" t="str">
        <f>=HYPERLINK("https://xhslink.com/m/1mEnrhWIDpW", "https://xhslink.com/m/1mEnrhWIDpW")</f>
        <v>https://xhslink.com/m/1mEnrhWIDpW</v>
      </c>
      <c r="D1917"/>
      <c r="E1917">
        <v>52000</v>
      </c>
      <c r="F1917">
        <v>105</v>
      </c>
      <c r="G1917">
        <v>88</v>
      </c>
      <c r="H1917">
        <v>200</v>
      </c>
      <c r="I1917" t="inlineStr">
        <is>
          <t>裤子</t>
        </is>
      </c>
      <c r="J1917" t="inlineStr">
        <is>
          <t>0.00</t>
        </is>
      </c>
      <c r="K1917"/>
      <c r="L1917" t="inlineStr">
        <is>
          <t>Goo大吉的店</t>
        </is>
      </c>
      <c r="M1917">
        <v>60000</v>
      </c>
      <c r="N1917">
        <v>4.55</v>
      </c>
      <c r="O1917">
        <v>257000</v>
      </c>
      <c r="P1917" t="inlineStr">
        <is>
          <t>689db70f4eed2d0001cbbf43</t>
        </is>
      </c>
      <c r="Q1917" t="inlineStr">
        <is>
          <t>🚫重复</t>
        </is>
      </c>
      <c r="R1917" t="inlineStr">
        <is>
          <t>14周</t>
        </is>
      </c>
      <c r="S1917" t="inlineStr">
        <is>
          <t>0.87</t>
        </is>
      </c>
      <c r="T1917" t="inlineStr">
        <is>
          <t>服饰穿搭</t>
        </is>
      </c>
      <c r="U1917" t="inlineStr">
        <is>
          <t>女装</t>
        </is>
      </c>
      <c r="V1917" s="3">
        <v>46117.927083333336</v>
      </c>
      <c r="W1917" t="inlineStr">
        <is>
          <t>2026-Q2</t>
        </is>
      </c>
    </row>
    <row r="1918" ht="25.5" customHeight="1">
      <c r="A1918" t="inlineStr">
        <is>
          <t>美式复古做旧浅蓝色牛仔裤女直筒裤宽松阔腿裤遮肉显瘦显腿直高腰</t>
        </is>
      </c>
      <c r="B1918" t="inlineStr">
        <is>
          <t>recvfVt9jWR3p9.jpg</t>
        </is>
      </c>
      <c r="C1918" s="2" t="str">
        <f>=HYPERLINK("https://xhslink.com/m/5Wc4a8O9AQP", "https://xhslink.com/m/5Wc4a8O9AQP")</f>
        <v>https://xhslink.com/m/5Wc4a8O9AQP</v>
      </c>
      <c r="D1918"/>
      <c r="E1918">
        <v>10000</v>
      </c>
      <c r="F1918">
        <v>129</v>
      </c>
      <c r="G1918">
        <v>89.9</v>
      </c>
      <c r="H1918">
        <v>200</v>
      </c>
      <c r="I1918" t="inlineStr">
        <is>
          <t>裤子</t>
        </is>
      </c>
      <c r="J1918" t="inlineStr">
        <is>
          <t>0.02</t>
        </is>
      </c>
      <c r="K1918"/>
      <c r="L1918" t="inlineStr">
        <is>
          <t>SOOEPUT的店</t>
        </is>
      </c>
      <c r="M1918">
        <v>6501</v>
      </c>
      <c r="N1918">
        <v>4.64</v>
      </c>
      <c r="O1918">
        <v>55000</v>
      </c>
      <c r="P1918" t="inlineStr">
        <is>
          <t>67fb542bec13740001466009</t>
        </is>
      </c>
      <c r="Q1918" t="inlineStr">
        <is>
          <t>🚫重复</t>
        </is>
      </c>
      <c r="R1918" t="inlineStr">
        <is>
          <t>14周</t>
        </is>
      </c>
      <c r="S1918" t="inlineStr">
        <is>
          <t>1.54</t>
        </is>
      </c>
      <c r="T1918" t="inlineStr">
        <is>
          <t>服饰穿搭</t>
        </is>
      </c>
      <c r="U1918" t="inlineStr">
        <is>
          <t>女装</t>
        </is>
      </c>
      <c r="V1918" s="3">
        <v>46117.927083333336</v>
      </c>
      <c r="W1918" t="inlineStr">
        <is>
          <t>2026-Q2</t>
        </is>
      </c>
    </row>
    <row r="1919" ht="25.5" customHeight="1">
      <c r="A1919" t="inlineStr">
        <is>
          <t>【显瘦百搭】窄版直筒牛仔裤YKK拉链阔腿裤宽松休闲通勤百搭长裤</t>
        </is>
      </c>
      <c r="B1919" t="inlineStr">
        <is>
          <t>recvfVt9jWxg4R.jpg</t>
        </is>
      </c>
      <c r="C1919" s="2" t="str">
        <f>=HYPERLINK("https://xhslink.com/m/61ETbnA0Bdu", "https://xhslink.com/m/61ETbnA0Bdu")</f>
        <v>https://xhslink.com/m/61ETbnA0Bdu</v>
      </c>
      <c r="D1919"/>
      <c r="E1919">
        <v>34000</v>
      </c>
      <c r="F1919">
        <v>109.99</v>
      </c>
      <c r="G1919">
        <v>89.99</v>
      </c>
      <c r="H1919">
        <v>200</v>
      </c>
      <c r="I1919" t="inlineStr">
        <is>
          <t>裤子</t>
        </is>
      </c>
      <c r="J1919" t="inlineStr">
        <is>
          <t>0.01</t>
        </is>
      </c>
      <c r="K1919" t="inlineStr">
        <is>
          <t>🔥低粉爆款</t>
        </is>
      </c>
      <c r="L1919" t="inlineStr">
        <is>
          <t>小晴天1的店</t>
        </is>
      </c>
      <c r="M1919">
        <v>4413</v>
      </c>
      <c r="N1919">
        <v>4.4</v>
      </c>
      <c r="O1919">
        <v>69000</v>
      </c>
      <c r="P1919" t="inlineStr">
        <is>
          <t>67380c54064fc50001bca430</t>
        </is>
      </c>
      <c r="Q1919" t="inlineStr">
        <is>
          <t>🚫重复</t>
        </is>
      </c>
      <c r="R1919" t="inlineStr">
        <is>
          <t>14周</t>
        </is>
      </c>
      <c r="S1919" t="inlineStr">
        <is>
          <t>7.70</t>
        </is>
      </c>
      <c r="T1919" t="inlineStr">
        <is>
          <t>服饰穿搭</t>
        </is>
      </c>
      <c r="U1919" t="inlineStr">
        <is>
          <t>女装</t>
        </is>
      </c>
      <c r="V1919" s="3">
        <v>46117.927083333336</v>
      </c>
      <c r="W1919" t="inlineStr">
        <is>
          <t>2026-Q2</t>
        </is>
      </c>
    </row>
    <row r="1920" ht="25.5" customHeight="1">
      <c r="A1920" t="inlineStr">
        <is>
          <t>不皱黑科技面料春夏新款窄版阔腿喇叭牛仔裤女宽松直筒垂感显瘦裤</t>
        </is>
      </c>
      <c r="B1920" t="inlineStr">
        <is>
          <t>recvfVt9jW32IN.jpg</t>
        </is>
      </c>
      <c r="C1920" s="2" t="str">
        <f>=HYPERLINK("https://xhslink.com/m/bzf1OsosYp", "https://xhslink.com/m/bzf1OsosYp")</f>
        <v>https://xhslink.com/m/bzf1OsosYp</v>
      </c>
      <c r="D1920"/>
      <c r="E1920">
        <v>51000</v>
      </c>
      <c r="F1920">
        <v>129.9</v>
      </c>
      <c r="G1920">
        <v>99.9</v>
      </c>
      <c r="H1920">
        <v>200</v>
      </c>
      <c r="I1920" t="inlineStr">
        <is>
          <t>裤子</t>
        </is>
      </c>
      <c r="J1920" t="inlineStr">
        <is>
          <t>0.00</t>
        </is>
      </c>
      <c r="K1920"/>
      <c r="L1920" t="inlineStr">
        <is>
          <t>财气紫阿的店</t>
        </is>
      </c>
      <c r="M1920">
        <v>21000</v>
      </c>
      <c r="N1920">
        <v>4.54</v>
      </c>
      <c r="O1920">
        <v>117000</v>
      </c>
      <c r="P1920" t="inlineStr">
        <is>
          <t>67fa4f91b2c30c00018ce915</t>
        </is>
      </c>
      <c r="Q1920" t="inlineStr">
        <is>
          <t>🚫重复</t>
        </is>
      </c>
      <c r="R1920" t="inlineStr">
        <is>
          <t>14周</t>
        </is>
      </c>
      <c r="S1920" t="inlineStr">
        <is>
          <t>2.43</t>
        </is>
      </c>
      <c r="T1920" t="inlineStr">
        <is>
          <t>服饰穿搭</t>
        </is>
      </c>
      <c r="U1920" t="inlineStr">
        <is>
          <t>女装</t>
        </is>
      </c>
      <c r="V1920" s="3">
        <v>46117.927083333336</v>
      </c>
      <c r="W1920" t="inlineStr">
        <is>
          <t>2026-Q2</t>
        </is>
      </c>
    </row>
    <row r="1921" ht="25.5" customHeight="1">
      <c r="A1921" t="inlineStr">
        <is>
          <t>thatskyshop · 叠叠蟹毛绒钥匙扣 - 光·遇周边</t>
        </is>
      </c>
      <c r="B1921" t="inlineStr">
        <is>
          <t>recvfVt9jWP3g9.jpg</t>
        </is>
      </c>
      <c r="C1921" s="2" t="str">
        <f>=HYPERLINK("https://xhslink.com/m/AGayUeQfycz", "https://xhslink.com/m/AGayUeQfycz")</f>
        <v>https://xhslink.com/m/AGayUeQfycz</v>
      </c>
      <c r="D1921"/>
      <c r="E1921">
        <v>6077</v>
      </c>
      <c r="F1921">
        <v>209</v>
      </c>
      <c r="G1921">
        <v>204</v>
      </c>
      <c r="H1921">
        <v>200</v>
      </c>
      <c r="I1921" t="inlineStr">
        <is>
          <t>钥匙扣挂件</t>
        </is>
      </c>
      <c r="J1921" t="inlineStr">
        <is>
          <t>0.03</t>
        </is>
      </c>
      <c r="K1921"/>
      <c r="L1921" t="inlineStr">
        <is>
          <t>thatskyshop旗舰店</t>
        </is>
      </c>
      <c r="M1921">
        <v>231000</v>
      </c>
      <c r="N1921">
        <v>4.6</v>
      </c>
      <c r="O1921">
        <v>86000</v>
      </c>
      <c r="P1921" t="inlineStr">
        <is>
          <t>66d2d61b0cfd4b000131764a</t>
        </is>
      </c>
      <c r="Q1921"/>
      <c r="R1921" t="inlineStr">
        <is>
          <t>14周</t>
        </is>
      </c>
      <c r="S1921" t="inlineStr">
        <is>
          <t>0.03</t>
        </is>
      </c>
      <c r="T1921" t="inlineStr">
        <is>
          <t>服饰穿搭</t>
        </is>
      </c>
      <c r="U1921" t="inlineStr">
        <is>
          <t>配饰</t>
        </is>
      </c>
      <c r="V1921" s="3">
        <v>46117.927083333336</v>
      </c>
      <c r="W1921" t="inlineStr">
        <is>
          <t>2026-Q2</t>
        </is>
      </c>
    </row>
    <row r="1922" ht="25.5" customHeight="1">
      <c r="A1922" t="inlineStr">
        <is>
          <t>猫咪木雕可爱挂饰手工编织包挂手机链木质原创挂件生日礼物推荐</t>
        </is>
      </c>
      <c r="B1922" t="inlineStr">
        <is>
          <t>recvfVt9jWqQxF.jpg</t>
        </is>
      </c>
      <c r="C1922" s="2" t="str">
        <f>=HYPERLINK("https://xhslink.com/m/2HercRlHz2U", "https://xhslink.com/m/2HercRlHz2U")</f>
        <v>https://xhslink.com/m/2HercRlHz2U</v>
      </c>
      <c r="D1922"/>
      <c r="E1922">
        <v>2048</v>
      </c>
      <c r="F1922">
        <v>50.9</v>
      </c>
      <c r="G1922">
        <v>29</v>
      </c>
      <c r="H1922">
        <v>200</v>
      </c>
      <c r="I1922" t="inlineStr">
        <is>
          <t>钥匙扣挂件</t>
        </is>
      </c>
      <c r="J1922" t="inlineStr">
        <is>
          <t>0.10</t>
        </is>
      </c>
      <c r="K1922"/>
      <c r="L1922" t="inlineStr">
        <is>
          <t>南枝東棠手作的店</t>
        </is>
      </c>
      <c r="M1922">
        <v>925</v>
      </c>
      <c r="N1922">
        <v>4.42</v>
      </c>
      <c r="O1922">
        <v>2417</v>
      </c>
      <c r="P1922" t="inlineStr">
        <is>
          <t>6964d2d5110a7f0001318af2</t>
        </is>
      </c>
      <c r="Q1922" t="inlineStr">
        <is>
          <t>🚫重复</t>
        </is>
      </c>
      <c r="R1922" t="inlineStr">
        <is>
          <t>14周</t>
        </is>
      </c>
      <c r="S1922" t="inlineStr">
        <is>
          <t>2.21</t>
        </is>
      </c>
      <c r="T1922" t="inlineStr">
        <is>
          <t>服饰穿搭</t>
        </is>
      </c>
      <c r="U1922" t="inlineStr">
        <is>
          <t>配饰</t>
        </is>
      </c>
      <c r="V1922" s="3">
        <v>46117.927083333336</v>
      </c>
      <c r="W1922" t="inlineStr">
        <is>
          <t>2026-Q2</t>
        </is>
      </c>
    </row>
    <row r="1923" ht="25.5" customHeight="1">
      <c r="A1923" t="inlineStr">
        <is>
          <t>预售正版SANX轻松熊黑白系列毛绒挂件玩偶公仔周边</t>
        </is>
      </c>
      <c r="B1923" t="inlineStr">
        <is>
          <t>recvfVt9jWRflz.jpg</t>
        </is>
      </c>
      <c r="C1923" s="2" t="str">
        <f>=HYPERLINK("https://xhslink.com/m/3kaO2zwYxfK", "https://xhslink.com/m/3kaO2zwYxfK")</f>
        <v>https://xhslink.com/m/3kaO2zwYxfK</v>
      </c>
      <c r="D1923"/>
      <c r="E1923">
        <v>1181</v>
      </c>
      <c r="F1923">
        <v>105</v>
      </c>
      <c r="G1923"/>
      <c r="H1923">
        <v>200</v>
      </c>
      <c r="I1923" t="inlineStr">
        <is>
          <t>挂件公仔</t>
        </is>
      </c>
      <c r="J1923" t="inlineStr">
        <is>
          <t>0.17</t>
        </is>
      </c>
      <c r="K1923"/>
      <c r="L1923" t="inlineStr">
        <is>
          <t>不能再喝奶茶啦啦的店</t>
        </is>
      </c>
      <c r="M1923">
        <v>5471</v>
      </c>
      <c r="N1923">
        <v>4.62</v>
      </c>
      <c r="O1923">
        <v>18000</v>
      </c>
      <c r="P1923" t="inlineStr">
        <is>
          <t>69b43e43166bc600016d4799</t>
        </is>
      </c>
      <c r="Q1923" t="inlineStr">
        <is>
          <t>🚫重复</t>
        </is>
      </c>
      <c r="R1923" t="inlineStr">
        <is>
          <t>14周</t>
        </is>
      </c>
      <c r="S1923" t="inlineStr">
        <is>
          <t>0.22</t>
        </is>
      </c>
      <c r="T1923" t="inlineStr">
        <is>
          <t>母婴亲子</t>
        </is>
      </c>
      <c r="U1923" t="inlineStr">
        <is>
          <t>玩具早教</t>
        </is>
      </c>
      <c r="V1923" s="3">
        <v>46117.927083333336</v>
      </c>
      <c r="W1923" t="inlineStr">
        <is>
          <t>2026-Q2</t>
        </is>
      </c>
    </row>
    <row r="1924" ht="25.5" customHeight="1">
      <c r="A1924" t="inlineStr">
        <is>
          <t>运动内衣美背女交叉防震宽肩带固定加压收腹透气健身文胸背心87</t>
        </is>
      </c>
      <c r="B1924" t="inlineStr">
        <is>
          <t>recvfVt9jW2nXD.jpg</t>
        </is>
      </c>
      <c r="C1924" s="2" t="str">
        <f>=HYPERLINK("https://xhslink.com/m/5Zqi9Hu451h", "https://xhslink.com/m/5Zqi9Hu451h")</f>
        <v>https://xhslink.com/m/5Zqi9Hu451h</v>
      </c>
      <c r="D1924"/>
      <c r="E1924">
        <v>539</v>
      </c>
      <c r="F1924">
        <v>79.99</v>
      </c>
      <c r="G1924">
        <v>59.99</v>
      </c>
      <c r="H1924">
        <v>200</v>
      </c>
      <c r="I1924" t="inlineStr">
        <is>
          <t>运动内衣</t>
        </is>
      </c>
      <c r="J1924" t="inlineStr">
        <is>
          <t>0.37</t>
        </is>
      </c>
      <c r="K1924"/>
      <c r="L1924" t="inlineStr">
        <is>
          <t>小杨yoga的店</t>
        </is>
      </c>
      <c r="M1924">
        <v>158000</v>
      </c>
      <c r="N1924">
        <v>4.54</v>
      </c>
      <c r="O1924">
        <v>630000</v>
      </c>
      <c r="P1924" t="inlineStr">
        <is>
          <t>69a817a2f209ba00014b9640</t>
        </is>
      </c>
      <c r="Q1924" t="inlineStr">
        <is>
          <t>🚫重复</t>
        </is>
      </c>
      <c r="R1924" t="inlineStr">
        <is>
          <t>14周</t>
        </is>
      </c>
      <c r="S1924" t="inlineStr">
        <is>
          <t>0.00</t>
        </is>
      </c>
      <c r="T1924" t="inlineStr">
        <is>
          <t>服饰穿搭</t>
        </is>
      </c>
      <c r="U1924" t="inlineStr">
        <is>
          <t>女装</t>
        </is>
      </c>
      <c r="V1924" s="3">
        <v>46117.927083333336</v>
      </c>
      <c r="W1924" t="inlineStr">
        <is>
          <t>2026-Q2</t>
        </is>
      </c>
    </row>
    <row r="1925" ht="25.5" customHeight="1">
      <c r="A1925" t="inlineStr">
        <is>
          <t>南瓜巧饼手工现做低脂健康即食早餐糕点饱腹感强的代餐速食小袋装</t>
        </is>
      </c>
      <c r="B1925" t="inlineStr">
        <is>
          <t>recvfVt9jWaQfW.jpg</t>
        </is>
      </c>
      <c r="C1925" s="2" t="str">
        <f>=HYPERLINK("https://xhslink.com/m/7TgkIFGRom0", "https://xhslink.com/m/7TgkIFGRom0")</f>
        <v>https://xhslink.com/m/7TgkIFGRom0</v>
      </c>
      <c r="D1925"/>
      <c r="E1925">
        <v>102000</v>
      </c>
      <c r="F1925">
        <v>24.9</v>
      </c>
      <c r="G1925">
        <v>17.9</v>
      </c>
      <c r="H1925">
        <v>200</v>
      </c>
      <c r="I1925" t="inlineStr">
        <is>
          <t>低卡食物</t>
        </is>
      </c>
      <c r="J1925" t="inlineStr">
        <is>
          <t>0.00</t>
        </is>
      </c>
      <c r="K1925" t="inlineStr">
        <is>
          <t>🔥低粉爆款</t>
        </is>
      </c>
      <c r="L1925" t="inlineStr">
        <is>
          <t>嗦吧轻食荟的店</t>
        </is>
      </c>
      <c r="M1925">
        <v>7820</v>
      </c>
      <c r="N1925">
        <v>4.61</v>
      </c>
      <c r="O1925">
        <v>158000</v>
      </c>
      <c r="P1925" t="inlineStr">
        <is>
          <t>65ce1082a16e600001f61bea</t>
        </is>
      </c>
      <c r="Q1925" t="inlineStr">
        <is>
          <t>🚫重复</t>
        </is>
      </c>
      <c r="R1925" t="inlineStr">
        <is>
          <t>14周</t>
        </is>
      </c>
      <c r="S1925" t="inlineStr">
        <is>
          <t>13.04</t>
        </is>
      </c>
      <c r="T1925" t="inlineStr">
        <is>
          <t>美食滋补</t>
        </is>
      </c>
      <c r="U1925" t="inlineStr">
        <is>
          <t>休闲零食</t>
        </is>
      </c>
      <c r="V1925" s="3">
        <v>46117.927083333336</v>
      </c>
      <c r="W1925" t="inlineStr">
        <is>
          <t>2026-Q2</t>
        </is>
      </c>
    </row>
    <row r="1926" ht="25.5" customHeight="1">
      <c r="A1926" t="inlineStr">
        <is>
          <t>下厨房 · 【低脂】松叶蟹味柳阿拉斯加鳕鱼肉轻食火锅蟹棒寿司沙拉蟹柳早餐</t>
        </is>
      </c>
      <c r="B1926" t="inlineStr">
        <is>
          <t>recvfVt9jWtCTP.jpg</t>
        </is>
      </c>
      <c r="C1926" s="2" t="str">
        <f>=HYPERLINK("https://xhslink.com/m/36QDmRPHGZ9", "https://xhslink.com/m/36QDmRPHGZ9")</f>
        <v>https://xhslink.com/m/36QDmRPHGZ9</v>
      </c>
      <c r="D1926"/>
      <c r="E1926">
        <v>66000</v>
      </c>
      <c r="F1926">
        <v>79.9</v>
      </c>
      <c r="G1926">
        <v>69.9</v>
      </c>
      <c r="H1926">
        <v>200</v>
      </c>
      <c r="I1926" t="inlineStr">
        <is>
          <t>低卡食物</t>
        </is>
      </c>
      <c r="J1926" t="inlineStr">
        <is>
          <t>0.00</t>
        </is>
      </c>
      <c r="K1926"/>
      <c r="L1926" t="inlineStr">
        <is>
          <t>下厨房旗舰店</t>
        </is>
      </c>
      <c r="M1926">
        <v>117000</v>
      </c>
      <c r="N1926">
        <v>4.76</v>
      </c>
      <c r="O1926">
        <v>769000</v>
      </c>
      <c r="P1926" t="inlineStr">
        <is>
          <t>6464845cae95b40001703eb0</t>
        </is>
      </c>
      <c r="Q1926" t="inlineStr">
        <is>
          <t>🚫重复</t>
        </is>
      </c>
      <c r="R1926" t="inlineStr">
        <is>
          <t>14周</t>
        </is>
      </c>
      <c r="S1926" t="inlineStr">
        <is>
          <t>0.56</t>
        </is>
      </c>
      <c r="T1926" t="inlineStr">
        <is>
          <t>美食滋补</t>
        </is>
      </c>
      <c r="U1926" t="inlineStr">
        <is>
          <t>休闲零食</t>
        </is>
      </c>
      <c r="V1926" s="3">
        <v>46117.927083333336</v>
      </c>
      <c r="W1926" t="inlineStr">
        <is>
          <t>2026-Q2</t>
        </is>
      </c>
    </row>
    <row r="1927" ht="25.5" customHeight="1">
      <c r="A1927" t="inlineStr">
        <is>
          <t>红瑶蜜薯干无添加软糯烤地瓜干原味低脂代餐零食倒蒸红薯干带皮</t>
        </is>
      </c>
      <c r="B1927" t="inlineStr">
        <is>
          <t>recvfVt9jWiyeE.jpg</t>
        </is>
      </c>
      <c r="C1927" s="2" t="str">
        <f>=HYPERLINK("https://xhslink.com/m/2brDOkMTLYK", "https://xhslink.com/m/2brDOkMTLYK")</f>
        <v>https://xhslink.com/m/2brDOkMTLYK</v>
      </c>
      <c r="D1927"/>
      <c r="E1927">
        <v>50000</v>
      </c>
      <c r="F1927">
        <v>72.9</v>
      </c>
      <c r="G1927">
        <v>59.9</v>
      </c>
      <c r="H1927">
        <v>200</v>
      </c>
      <c r="I1927" t="inlineStr">
        <is>
          <t>低卡食物</t>
        </is>
      </c>
      <c r="J1927" t="inlineStr">
        <is>
          <t>0.00</t>
        </is>
      </c>
      <c r="K1927" t="inlineStr">
        <is>
          <t>🔥低粉爆款</t>
        </is>
      </c>
      <c r="L1927" t="inlineStr">
        <is>
          <t>兴胜新农人的店</t>
        </is>
      </c>
      <c r="M1927">
        <v>1854</v>
      </c>
      <c r="N1927">
        <v>4.66</v>
      </c>
      <c r="O1927">
        <v>110000</v>
      </c>
      <c r="P1927" t="inlineStr">
        <is>
          <t>67dd1ec121ffb300012d7b96</t>
        </is>
      </c>
      <c r="Q1927" t="inlineStr">
        <is>
          <t>🚫重复</t>
        </is>
      </c>
      <c r="R1927" t="inlineStr">
        <is>
          <t>14周</t>
        </is>
      </c>
      <c r="S1927" t="inlineStr">
        <is>
          <t>26.97</t>
        </is>
      </c>
      <c r="T1927" t="inlineStr">
        <is>
          <t>美食滋补</t>
        </is>
      </c>
      <c r="U1927" t="inlineStr">
        <is>
          <t>休闲零食</t>
        </is>
      </c>
      <c r="V1927" s="3">
        <v>46117.927083333336</v>
      </c>
      <c r="W1927" t="inlineStr">
        <is>
          <t>2026-Q2</t>
        </is>
      </c>
    </row>
    <row r="1928" ht="25.5" customHeight="1">
      <c r="A1928" t="inlineStr">
        <is>
          <t>【600g】量贩装品质恰巴塔600克 9-10枚面包无蔗糖健康健身代餐</t>
        </is>
      </c>
      <c r="B1928" t="inlineStr">
        <is>
          <t>recvfVt9jWhWPR.jpg</t>
        </is>
      </c>
      <c r="C1928" s="2" t="str">
        <f>=HYPERLINK("https://xhslink.com/m/3yyHv99qnz9", "https://xhslink.com/m/3yyHv99qnz9")</f>
        <v>https://xhslink.com/m/3yyHv99qnz9</v>
      </c>
      <c r="D1928"/>
      <c r="E1928">
        <v>42000</v>
      </c>
      <c r="F1928">
        <v>29.9</v>
      </c>
      <c r="G1928"/>
      <c r="H1928">
        <v>200</v>
      </c>
      <c r="I1928" t="inlineStr">
        <is>
          <t>低卡食物</t>
        </is>
      </c>
      <c r="J1928" t="inlineStr">
        <is>
          <t>0.00</t>
        </is>
      </c>
      <c r="K1928" t="inlineStr">
        <is>
          <t>🔥低粉爆款</t>
        </is>
      </c>
      <c r="L1928" t="inlineStr">
        <is>
          <t>美糖手工烘焙工坊的店</t>
        </is>
      </c>
      <c r="M1928">
        <v>9081</v>
      </c>
      <c r="N1928">
        <v>4.66</v>
      </c>
      <c r="O1928">
        <v>63000</v>
      </c>
      <c r="P1928" t="inlineStr">
        <is>
          <t>6870c2701cfd980001c713ed</t>
        </is>
      </c>
      <c r="Q1928" t="inlineStr">
        <is>
          <t>🚫重复</t>
        </is>
      </c>
      <c r="R1928" t="inlineStr">
        <is>
          <t>14周</t>
        </is>
      </c>
      <c r="S1928" t="inlineStr">
        <is>
          <t>4.63</t>
        </is>
      </c>
      <c r="T1928" t="inlineStr">
        <is>
          <t>美食滋补</t>
        </is>
      </c>
      <c r="U1928" t="inlineStr">
        <is>
          <t>休闲零食</t>
        </is>
      </c>
      <c r="V1928" s="3">
        <v>46117.927083333336</v>
      </c>
      <c r="W1928" t="inlineStr">
        <is>
          <t>2026-Q2</t>
        </is>
      </c>
    </row>
    <row r="1929" ht="25.5" customHeight="1">
      <c r="A1929" t="inlineStr">
        <is>
          <t>温柔气质感醋酸窄版无痕刘海夹头饰发饰女前额侧边夹韩系碎发夹</t>
        </is>
      </c>
      <c r="B1929" t="inlineStr">
        <is>
          <t>recvfVt9jW6kSC.jpg</t>
        </is>
      </c>
      <c r="C1929" s="2" t="str">
        <f>=HYPERLINK("https://xhslink.com/m/3FJnHscWhCQ", "https://xhslink.com/m/3FJnHscWhCQ")</f>
        <v>https://xhslink.com/m/3FJnHscWhCQ</v>
      </c>
      <c r="D1929"/>
      <c r="E1929">
        <v>1644</v>
      </c>
      <c r="F1929">
        <v>22.9</v>
      </c>
      <c r="G1929">
        <v>9.9</v>
      </c>
      <c r="H1929">
        <v>200</v>
      </c>
      <c r="I1929" t="inlineStr">
        <is>
          <t>配饰</t>
        </is>
      </c>
      <c r="J1929" t="inlineStr">
        <is>
          <t>0.12</t>
        </is>
      </c>
      <c r="K1929"/>
      <c r="L1929" t="inlineStr">
        <is>
          <t>十一_Eleven的店</t>
        </is>
      </c>
      <c r="M1929">
        <v>47000</v>
      </c>
      <c r="N1929">
        <v>4.3</v>
      </c>
      <c r="O1929">
        <v>424000</v>
      </c>
      <c r="P1929" t="inlineStr">
        <is>
          <t>69b8d714ca64b30001cbbdf6</t>
        </is>
      </c>
      <c r="Q1929" t="inlineStr">
        <is>
          <t>🚫重复</t>
        </is>
      </c>
      <c r="R1929" t="inlineStr">
        <is>
          <t>14周</t>
        </is>
      </c>
      <c r="S1929" t="inlineStr">
        <is>
          <t>0.03</t>
        </is>
      </c>
      <c r="T1929" t="inlineStr">
        <is>
          <t>服饰穿搭</t>
        </is>
      </c>
      <c r="U1929" t="inlineStr">
        <is>
          <t>配饰</t>
        </is>
      </c>
      <c r="V1929" s="3">
        <v>46117.927083333336</v>
      </c>
      <c r="W1929" t="inlineStr">
        <is>
          <t>2026-Q2</t>
        </is>
      </c>
    </row>
    <row r="1930" ht="25.5" customHeight="1">
      <c r="A1930" t="inlineStr">
        <is>
          <t>Potdemiel · 海绵宝宝比奇堡路人鱼毛绒公仔创意玩偶搞怪有趣送女生日圣诞礼物</t>
        </is>
      </c>
      <c r="B1930" t="inlineStr">
        <is>
          <t>recvfVt9jWcpDE.jpg</t>
        </is>
      </c>
      <c r="C1930" s="2" t="str">
        <f>=HYPERLINK("https://xhslink.com/m/3XqPQcg08aU", "https://xhslink.com/m/3XqPQcg08aU")</f>
        <v>https://xhslink.com/m/3XqPQcg08aU</v>
      </c>
      <c r="D1930"/>
      <c r="E1930">
        <v>5345</v>
      </c>
      <c r="F1930">
        <v>69</v>
      </c>
      <c r="G1930">
        <v>39.9</v>
      </c>
      <c r="H1930">
        <v>200</v>
      </c>
      <c r="I1930" t="inlineStr">
        <is>
          <t>小玩偶</t>
        </is>
      </c>
      <c r="J1930" t="inlineStr">
        <is>
          <t>0.04</t>
        </is>
      </c>
      <c r="K1930"/>
      <c r="L1930" t="inlineStr">
        <is>
          <t>Potdemiel蜂蜜罐旗舰店</t>
        </is>
      </c>
      <c r="M1930">
        <v>170000</v>
      </c>
      <c r="N1930">
        <v>4.63</v>
      </c>
      <c r="O1930">
        <v>167000</v>
      </c>
      <c r="P1930" t="inlineStr">
        <is>
          <t>697373bd1cd3a60001e25517</t>
        </is>
      </c>
      <c r="Q1930" t="inlineStr">
        <is>
          <t>🚫重复</t>
        </is>
      </c>
      <c r="R1930" t="inlineStr">
        <is>
          <t>14周</t>
        </is>
      </c>
      <c r="S1930" t="inlineStr">
        <is>
          <t>0.03</t>
        </is>
      </c>
      <c r="T1930" t="inlineStr">
        <is>
          <t>家居生活</t>
        </is>
      </c>
      <c r="U1930" t="inlineStr">
        <is>
          <t>家居日用</t>
        </is>
      </c>
      <c r="V1930" s="3">
        <v>46117.927083333336</v>
      </c>
      <c r="W1930" t="inlineStr">
        <is>
          <t>2026-Q2</t>
        </is>
      </c>
    </row>
    <row r="1931" ht="25.5" customHeight="1">
      <c r="A1931" t="inlineStr">
        <is>
          <t>预售正版SANX轻松熊黑白系列毛绒挂件玩偶公仔周边</t>
        </is>
      </c>
      <c r="B1931" t="inlineStr">
        <is>
          <t>recvfVt9jWnpVM.jpg</t>
        </is>
      </c>
      <c r="C1931" s="2" t="str">
        <f>=HYPERLINK("https://xhslink.com/m/9JW43GiPQ2W", "https://xhslink.com/m/9JW43GiPQ2W")</f>
        <v>https://xhslink.com/m/9JW43GiPQ2W</v>
      </c>
      <c r="D1931"/>
      <c r="E1931">
        <v>1199</v>
      </c>
      <c r="F1931">
        <v>78</v>
      </c>
      <c r="G1931"/>
      <c r="H1931">
        <v>200</v>
      </c>
      <c r="I1931" t="inlineStr">
        <is>
          <t>小玩偶</t>
        </is>
      </c>
      <c r="J1931" t="inlineStr">
        <is>
          <t>0.17</t>
        </is>
      </c>
      <c r="K1931"/>
      <c r="L1931" t="inlineStr">
        <is>
          <t>不能再喝奶茶啦啦的店</t>
        </is>
      </c>
      <c r="M1931">
        <v>5471</v>
      </c>
      <c r="N1931">
        <v>4.62</v>
      </c>
      <c r="O1931">
        <v>18000</v>
      </c>
      <c r="P1931" t="inlineStr">
        <is>
          <t>69b50ea7cdd36c00011b80b3</t>
        </is>
      </c>
      <c r="Q1931" t="inlineStr">
        <is>
          <t>🚫重复</t>
        </is>
      </c>
      <c r="R1931" t="inlineStr">
        <is>
          <t>14周</t>
        </is>
      </c>
      <c r="S1931" t="inlineStr">
        <is>
          <t>0.22</t>
        </is>
      </c>
      <c r="T1931" t="inlineStr">
        <is>
          <t>母婴亲子</t>
        </is>
      </c>
      <c r="U1931" t="inlineStr">
        <is>
          <t>玩具早教</t>
        </is>
      </c>
      <c r="V1931" s="3">
        <v>46117.927083333336</v>
      </c>
      <c r="W1931" t="inlineStr">
        <is>
          <t>2026-Q2</t>
        </is>
      </c>
    </row>
    <row r="1932" ht="25.5" customHeight="1">
      <c r="A1932" t="inlineStr">
        <is>
          <t>铭创优趣长脖子动物毛绒玩具邪恶挂件可爱治愈挂饰装饰玩偶送礼物</t>
        </is>
      </c>
      <c r="B1932" t="inlineStr">
        <is>
          <t>recvfVt9jWVrk8.jpg</t>
        </is>
      </c>
      <c r="C1932" s="2" t="str">
        <f>=HYPERLINK("https://xhslink.com/m/164Ahp5fb4j", "https://xhslink.com/m/164Ahp5fb4j")</f>
        <v>https://xhslink.com/m/164Ahp5fb4j</v>
      </c>
      <c r="D1932"/>
      <c r="E1932">
        <v>3129</v>
      </c>
      <c r="F1932">
        <v>19.8</v>
      </c>
      <c r="G1932"/>
      <c r="H1932">
        <v>200</v>
      </c>
      <c r="I1932" t="inlineStr">
        <is>
          <t>小玩偶</t>
        </is>
      </c>
      <c r="J1932" t="inlineStr">
        <is>
          <t>0.06</t>
        </is>
      </c>
      <c r="K1932"/>
      <c r="L1932" t="inlineStr">
        <is>
          <t>铭创优趣的店</t>
        </is>
      </c>
      <c r="M1932">
        <v>123000</v>
      </c>
      <c r="N1932">
        <v>4.52</v>
      </c>
      <c r="O1932">
        <v>113000</v>
      </c>
      <c r="P1932" t="inlineStr">
        <is>
          <t>69ac0d2af1fe0f0015694ea1</t>
        </is>
      </c>
      <c r="Q1932" t="inlineStr">
        <is>
          <t>🚫重复</t>
        </is>
      </c>
      <c r="R1932" t="inlineStr">
        <is>
          <t>14周</t>
        </is>
      </c>
      <c r="S1932" t="inlineStr">
        <is>
          <t>0.03</t>
        </is>
      </c>
      <c r="T1932" t="inlineStr">
        <is>
          <t>母婴亲子</t>
        </is>
      </c>
      <c r="U1932" t="inlineStr">
        <is>
          <t>玩具早教</t>
        </is>
      </c>
      <c r="V1932" s="3">
        <v>46117.927083333336</v>
      </c>
      <c r="W1932" t="inlineStr">
        <is>
          <t>2026-Q2</t>
        </is>
      </c>
    </row>
    <row r="1933" ht="25.5" customHeight="1">
      <c r="A1933" t="inlineStr">
        <is>
          <t>【绑带款】韩式设计款绑腰收腰短袖T恤设计感蝙蝠袖上衣罩衫棉质</t>
        </is>
      </c>
      <c r="B1933" t="inlineStr">
        <is>
          <t>recvg1BDH5TfYk.jpg</t>
        </is>
      </c>
      <c r="C1933" s="2" t="str">
        <f>=HYPERLINK("https://xhslink.com/m/9JmWwOSlT74", "https://xhslink.com/m/9JmWwOSlT74")</f>
        <v>https://xhslink.com/m/9JmWwOSlT74</v>
      </c>
      <c r="D1933"/>
      <c r="E1933">
        <v>30000</v>
      </c>
      <c r="F1933">
        <v>47.9</v>
      </c>
      <c r="G1933"/>
      <c r="H1933">
        <v>200</v>
      </c>
      <c r="I1933" t="inlineStr">
        <is>
          <t>T恤</t>
        </is>
      </c>
      <c r="J1933" t="inlineStr">
        <is>
          <t>0.01</t>
        </is>
      </c>
      <c r="K1933" t="inlineStr">
        <is>
          <t>🔥低粉爆款</t>
        </is>
      </c>
      <c r="L1933" t="inlineStr">
        <is>
          <t>小阿猫呀的店</t>
        </is>
      </c>
      <c r="M1933">
        <v>3688</v>
      </c>
      <c r="N1933">
        <v>4.62</v>
      </c>
      <c r="O1933">
        <v>62000</v>
      </c>
      <c r="P1933" t="inlineStr">
        <is>
          <t>686e79d5afc5ca00011efd37</t>
        </is>
      </c>
      <c r="Q1933" t="inlineStr">
        <is>
          <t>🚫重复</t>
        </is>
      </c>
      <c r="R1933" t="inlineStr">
        <is>
          <t>15周</t>
        </is>
      </c>
      <c r="S1933" t="inlineStr">
        <is>
          <t>8.13</t>
        </is>
      </c>
      <c r="T1933" t="inlineStr">
        <is>
          <t>服饰穿搭</t>
        </is>
      </c>
      <c r="U1933" t="inlineStr">
        <is>
          <t>女装</t>
        </is>
      </c>
      <c r="V1933" s="3">
        <v>46118.97659722222</v>
      </c>
      <c r="W1933" t="inlineStr">
        <is>
          <t>2026-Q2</t>
        </is>
      </c>
    </row>
    <row r="1934" ht="25.5" customHeight="1">
      <c r="A1934" t="inlineStr">
        <is>
          <t>v领正肩短袖t恤女白色纯棉百搭纯色显瘦紧身收腰上衣</t>
        </is>
      </c>
      <c r="B1934" t="inlineStr">
        <is>
          <t>recvg1BDH5QXnP.jpg</t>
        </is>
      </c>
      <c r="C1934" s="2" t="str">
        <f>=HYPERLINK("https://xhslink.com/m/6T1Ye3TPtMd", "https://xhslink.com/m/6T1Ye3TPtMd")</f>
        <v>https://xhslink.com/m/6T1Ye3TPtMd</v>
      </c>
      <c r="D1934"/>
      <c r="E1934">
        <v>4155</v>
      </c>
      <c r="F1934">
        <v>39</v>
      </c>
      <c r="G1934">
        <v>36</v>
      </c>
      <c r="H1934">
        <v>200</v>
      </c>
      <c r="I1934" t="inlineStr">
        <is>
          <t>T恤</t>
        </is>
      </c>
      <c r="J1934" t="inlineStr">
        <is>
          <t>0.05</t>
        </is>
      </c>
      <c r="K1934"/>
      <c r="L1934" t="inlineStr">
        <is>
          <t>爆甜家的店</t>
        </is>
      </c>
      <c r="M1934">
        <v>2515</v>
      </c>
      <c r="N1934">
        <v>4.69</v>
      </c>
      <c r="O1934">
        <v>16000</v>
      </c>
      <c r="P1934" t="inlineStr">
        <is>
          <t>67c483e1f2389c0001e5578f</t>
        </is>
      </c>
      <c r="Q1934" t="inlineStr">
        <is>
          <t>🚫重复</t>
        </is>
      </c>
      <c r="R1934" t="inlineStr">
        <is>
          <t>15周</t>
        </is>
      </c>
      <c r="S1934" t="inlineStr">
        <is>
          <t>1.65</t>
        </is>
      </c>
      <c r="T1934" t="inlineStr">
        <is>
          <t>服饰穿搭</t>
        </is>
      </c>
      <c r="U1934" t="inlineStr">
        <is>
          <t>女装</t>
        </is>
      </c>
      <c r="V1934" s="3">
        <v>46118.97659722222</v>
      </c>
      <c r="W1934" t="inlineStr">
        <is>
          <t>2026-Q2</t>
        </is>
      </c>
    </row>
    <row r="1935" ht="25.5" customHeight="1">
      <c r="A1935" t="inlineStr">
        <is>
          <t>显白夏季宽松竹节棉圆领短袖T恤女夏柔软亲肤轻薄上衣</t>
        </is>
      </c>
      <c r="B1935" t="inlineStr">
        <is>
          <t>recvg1BDH5Tzin.jpg</t>
        </is>
      </c>
      <c r="C1935" s="2" t="str">
        <f>=HYPERLINK("https://xhslink.com/m/8pzQLcFjiP0", "https://xhslink.com/m/8pzQLcFjiP0")</f>
        <v>https://xhslink.com/m/8pzQLcFjiP0</v>
      </c>
      <c r="D1935"/>
      <c r="E1935">
        <v>15000</v>
      </c>
      <c r="F1935">
        <v>79.9</v>
      </c>
      <c r="G1935">
        <v>49.9</v>
      </c>
      <c r="H1935">
        <v>200</v>
      </c>
      <c r="I1935" t="inlineStr">
        <is>
          <t>T恤</t>
        </is>
      </c>
      <c r="J1935" t="inlineStr">
        <is>
          <t>0.01</t>
        </is>
      </c>
      <c r="K1935"/>
      <c r="L1935" t="inlineStr">
        <is>
          <t>略甜的店</t>
        </is>
      </c>
      <c r="M1935">
        <v>12000</v>
      </c>
      <c r="N1935">
        <v>4.58</v>
      </c>
      <c r="O1935">
        <v>44000</v>
      </c>
      <c r="P1935" t="inlineStr">
        <is>
          <t>68597f2f75907700018ef6a9</t>
        </is>
      </c>
      <c r="Q1935" t="inlineStr">
        <is>
          <t>🚫重复</t>
        </is>
      </c>
      <c r="R1935" t="inlineStr">
        <is>
          <t>15周</t>
        </is>
      </c>
      <c r="S1935" t="inlineStr">
        <is>
          <t>1.25</t>
        </is>
      </c>
      <c r="T1935" t="inlineStr">
        <is>
          <t>服饰穿搭</t>
        </is>
      </c>
      <c r="U1935" t="inlineStr">
        <is>
          <t>女装</t>
        </is>
      </c>
      <c r="V1935" s="3">
        <v>46118.97659722222</v>
      </c>
      <c r="W1935" t="inlineStr">
        <is>
          <t>2026-Q2</t>
        </is>
      </c>
    </row>
    <row r="1936" ht="25.5" customHeight="1">
      <c r="A1936" t="inlineStr">
        <is>
          <t>超弹巨好穿百搭极简T恤 百搭上衣 女</t>
        </is>
      </c>
      <c r="B1936" t="inlineStr">
        <is>
          <t>recvg1BDH5osri.jpg</t>
        </is>
      </c>
      <c r="C1936" s="2" t="str">
        <f>=HYPERLINK("https://xhslink.com/m/5xSDJFOdj29", "https://xhslink.com/m/5xSDJFOdj29")</f>
        <v>https://xhslink.com/m/5xSDJFOdj29</v>
      </c>
      <c r="D1936"/>
      <c r="E1936">
        <v>9779</v>
      </c>
      <c r="F1936">
        <v>299</v>
      </c>
      <c r="G1936">
        <v>199</v>
      </c>
      <c r="H1936">
        <v>200</v>
      </c>
      <c r="I1936" t="inlineStr">
        <is>
          <t>T恤</t>
        </is>
      </c>
      <c r="J1936" t="inlineStr">
        <is>
          <t>0.02</t>
        </is>
      </c>
      <c r="K1936"/>
      <c r="L1936" t="inlineStr">
        <is>
          <t>姝瑶的店</t>
        </is>
      </c>
      <c r="M1936">
        <v>34000</v>
      </c>
      <c r="N1936">
        <v>4.7</v>
      </c>
      <c r="O1936">
        <v>36000</v>
      </c>
      <c r="P1936" t="inlineStr">
        <is>
          <t>67d8d7bd0144270001f0c0c2</t>
        </is>
      </c>
      <c r="Q1936" t="inlineStr">
        <is>
          <t>🚫重复</t>
        </is>
      </c>
      <c r="R1936" t="inlineStr">
        <is>
          <t>15周</t>
        </is>
      </c>
      <c r="S1936" t="inlineStr">
        <is>
          <t>0.29</t>
        </is>
      </c>
      <c r="T1936" t="inlineStr">
        <is>
          <t>服饰穿搭</t>
        </is>
      </c>
      <c r="U1936" t="inlineStr">
        <is>
          <t>女装</t>
        </is>
      </c>
      <c r="V1936" s="3">
        <v>46118.97659722222</v>
      </c>
      <c r="W1936" t="inlineStr">
        <is>
          <t>2026-Q2</t>
        </is>
      </c>
    </row>
    <row r="1937" ht="25.5" customHeight="1">
      <c r="A1937" t="inlineStr">
        <is>
          <t>美式复古字母印花假两件长袖T恤女春新款显瘦宽松设计感小众上衣</t>
        </is>
      </c>
      <c r="B1937" t="inlineStr">
        <is>
          <t>recvg1BDH5oTZl.jpg</t>
        </is>
      </c>
      <c r="C1937" s="2" t="str">
        <f>=HYPERLINK("https://xhslink.com/m/4r7akE3052e", "https://xhslink.com/m/4r7akE3052e")</f>
        <v>https://xhslink.com/m/4r7akE3052e</v>
      </c>
      <c r="D1937"/>
      <c r="E1937">
        <v>2790</v>
      </c>
      <c r="F1937">
        <v>69.9</v>
      </c>
      <c r="G1937"/>
      <c r="H1937">
        <v>200</v>
      </c>
      <c r="I1937" t="inlineStr">
        <is>
          <t>T恤</t>
        </is>
      </c>
      <c r="J1937" t="inlineStr">
        <is>
          <t>0.07</t>
        </is>
      </c>
      <c r="K1937"/>
      <c r="L1937" t="inlineStr">
        <is>
          <t>宁澄服装的店</t>
        </is>
      </c>
      <c r="M1937">
        <v>5923</v>
      </c>
      <c r="N1937">
        <v>4.7</v>
      </c>
      <c r="O1937">
        <v>42000</v>
      </c>
      <c r="P1937" t="inlineStr">
        <is>
          <t>696611be1d3786000145c804</t>
        </is>
      </c>
      <c r="Q1937" t="inlineStr">
        <is>
          <t>🚫重复</t>
        </is>
      </c>
      <c r="R1937" t="inlineStr">
        <is>
          <t>15周</t>
        </is>
      </c>
      <c r="S1937" t="inlineStr">
        <is>
          <t>0.47</t>
        </is>
      </c>
      <c r="T1937" t="inlineStr">
        <is>
          <t>服饰穿搭</t>
        </is>
      </c>
      <c r="U1937" t="inlineStr">
        <is>
          <t>女装</t>
        </is>
      </c>
      <c r="V1937" s="3">
        <v>46118.97659722222</v>
      </c>
      <c r="W1937" t="inlineStr">
        <is>
          <t>2026-Q2</t>
        </is>
      </c>
    </row>
    <row r="1938" ht="25.5" customHeight="1">
      <c r="A1938" t="inlineStr">
        <is>
          <t>夏季美式100%纯棉潮牌短袖宽松圆领百搭印花学生小众高级上衣T恤</t>
        </is>
      </c>
      <c r="B1938" t="inlineStr">
        <is>
          <t>recvg1BDH59Mt5.jpg</t>
        </is>
      </c>
      <c r="C1938" s="2" t="str">
        <f>=HYPERLINK("https://xhslink.com/m/AyS0v5UWMAK", "https://xhslink.com/m/AyS0v5UWMAK")</f>
        <v>https://xhslink.com/m/AyS0v5UWMAK</v>
      </c>
      <c r="D1938"/>
      <c r="E1938">
        <v>1821</v>
      </c>
      <c r="F1938">
        <v>49.99</v>
      </c>
      <c r="G1938">
        <v>39.99</v>
      </c>
      <c r="H1938">
        <v>200</v>
      </c>
      <c r="I1938" t="inlineStr">
        <is>
          <t>T恤</t>
        </is>
      </c>
      <c r="J1938" t="inlineStr">
        <is>
          <t>0.11</t>
        </is>
      </c>
      <c r="K1938"/>
      <c r="L1938" t="inlineStr">
        <is>
          <t>梨享服装的店</t>
        </is>
      </c>
      <c r="M1938">
        <v>2335</v>
      </c>
      <c r="N1938">
        <v>4.47</v>
      </c>
      <c r="O1938">
        <v>24000</v>
      </c>
      <c r="P1938" t="inlineStr">
        <is>
          <t>6833cb680bed5600012372ab</t>
        </is>
      </c>
      <c r="Q1938"/>
      <c r="R1938" t="inlineStr">
        <is>
          <t>15周</t>
        </is>
      </c>
      <c r="S1938" t="inlineStr">
        <is>
          <t>0.78</t>
        </is>
      </c>
      <c r="T1938" t="inlineStr">
        <is>
          <t>服饰穿搭</t>
        </is>
      </c>
      <c r="U1938" t="inlineStr">
        <is>
          <t>女装</t>
        </is>
      </c>
      <c r="V1938" s="3">
        <v>46118.97659722222</v>
      </c>
      <c r="W1938" t="inlineStr">
        <is>
          <t>2026-Q2</t>
        </is>
      </c>
    </row>
    <row r="1939" ht="25.5" customHeight="1">
      <c r="A1939" t="inlineStr">
        <is>
          <t>24h现货 增高5cm·秋冬款厨师鞋可拆卸棉拖鞋厚底拖鞋可外穿暴走</t>
        </is>
      </c>
      <c r="B1939" t="inlineStr">
        <is>
          <t>recvg1BDH5FHEk.jpg</t>
        </is>
      </c>
      <c r="C1939" s="2" t="str">
        <f>=HYPERLINK("https://xhslink.com/m/8SQTsQILhnQ", "https://xhslink.com/m/8SQTsQILhnQ")</f>
        <v>https://xhslink.com/m/8SQTsQILhnQ</v>
      </c>
      <c r="D1939"/>
      <c r="E1939">
        <v>9668</v>
      </c>
      <c r="F1939">
        <v>82.7</v>
      </c>
      <c r="G1939">
        <v>55.8</v>
      </c>
      <c r="H1939">
        <v>200</v>
      </c>
      <c r="I1939" t="inlineStr">
        <is>
          <t>鞋</t>
        </is>
      </c>
      <c r="J1939" t="inlineStr">
        <is>
          <t>0.02</t>
        </is>
      </c>
      <c r="K1939"/>
      <c r="L1939" t="inlineStr">
        <is>
          <t>金喜拖Room的店</t>
        </is>
      </c>
      <c r="M1939">
        <v>7865</v>
      </c>
      <c r="N1939">
        <v>4.69</v>
      </c>
      <c r="O1939">
        <v>28000</v>
      </c>
      <c r="P1939" t="inlineStr">
        <is>
          <t>68c9233630aed40001b3797e</t>
        </is>
      </c>
      <c r="Q1939"/>
      <c r="R1939" t="inlineStr">
        <is>
          <t>15周</t>
        </is>
      </c>
      <c r="S1939" t="inlineStr">
        <is>
          <t>1.23</t>
        </is>
      </c>
      <c r="T1939" t="inlineStr">
        <is>
          <t>服饰穿搭</t>
        </is>
      </c>
      <c r="U1939" t="inlineStr">
        <is>
          <t>鞋靴箱包</t>
        </is>
      </c>
      <c r="V1939" s="3">
        <v>46118.97659722222</v>
      </c>
      <c r="W1939" t="inlineStr">
        <is>
          <t>2026-Q2</t>
        </is>
      </c>
    </row>
    <row r="1940" ht="25.5" customHeight="1">
      <c r="A1940" t="inlineStr">
        <is>
          <t>爆火星星人转转摆件 景德镇陶瓷ins风桌面治愈装饰</t>
        </is>
      </c>
      <c r="B1940" t="inlineStr">
        <is>
          <t>recvg1BDH5sKvE.jpg</t>
        </is>
      </c>
      <c r="C1940" s="2" t="str">
        <f>=HYPERLINK("https://xhslink.com/m/9Y6s29TNZla", "https://xhslink.com/m/9Y6s29TNZla")</f>
        <v>https://xhslink.com/m/9Y6s29TNZla</v>
      </c>
      <c r="D1940"/>
      <c r="E1940">
        <v>457</v>
      </c>
      <c r="F1940">
        <v>26.8</v>
      </c>
      <c r="G1940">
        <v>19.8</v>
      </c>
      <c r="H1940">
        <v>200</v>
      </c>
      <c r="I1940" t="inlineStr">
        <is>
          <t>摆件</t>
        </is>
      </c>
      <c r="J1940" t="inlineStr">
        <is>
          <t>0.44</t>
        </is>
      </c>
      <c r="K1940"/>
      <c r="L1940" t="inlineStr">
        <is>
          <t>粥粥陶瓷手作的店</t>
        </is>
      </c>
      <c r="M1940">
        <v>754</v>
      </c>
      <c r="N1940">
        <v>4.56</v>
      </c>
      <c r="O1940">
        <v>12000</v>
      </c>
      <c r="P1940" t="inlineStr">
        <is>
          <t>69ab8f1eb8f9830001678796</t>
        </is>
      </c>
      <c r="Q1940" t="inlineStr">
        <is>
          <t>🚫重复</t>
        </is>
      </c>
      <c r="R1940" t="inlineStr">
        <is>
          <t>15周</t>
        </is>
      </c>
      <c r="S1940" t="inlineStr">
        <is>
          <t>0.61</t>
        </is>
      </c>
      <c r="T1940" t="inlineStr">
        <is>
          <t>家居生活</t>
        </is>
      </c>
      <c r="U1940" t="inlineStr">
        <is>
          <t>家具家装</t>
        </is>
      </c>
      <c r="V1940" s="3">
        <v>46118.97659722222</v>
      </c>
      <c r="W1940" t="inlineStr">
        <is>
          <t>2026-Q2</t>
        </is>
      </c>
    </row>
    <row r="1941" ht="25.5" customHeight="1">
      <c r="A1941" t="inlineStr">
        <is>
          <t>【15磅-90磅】6档力度可拆卸拉力器开肩美背瑜伽结实耐用拉力</t>
        </is>
      </c>
      <c r="B1941" t="inlineStr">
        <is>
          <t>recvg1BDH5FBHy.jpg</t>
        </is>
      </c>
      <c r="C1941" s="2" t="str">
        <f>=HYPERLINK("https://xhslink.com/m/7KY0Nuyp2XX", "https://xhslink.com/m/7KY0Nuyp2XX")</f>
        <v>https://xhslink.com/m/7KY0Nuyp2XX</v>
      </c>
      <c r="D1941"/>
      <c r="E1941">
        <v>21000</v>
      </c>
      <c r="F1941">
        <v>25.8</v>
      </c>
      <c r="G1941">
        <v>16.8</v>
      </c>
      <c r="H1941">
        <v>200</v>
      </c>
      <c r="I1941" t="inlineStr">
        <is>
          <t>健身</t>
        </is>
      </c>
      <c r="J1941" t="inlineStr">
        <is>
          <t>0.01</t>
        </is>
      </c>
      <c r="K1941" t="inlineStr">
        <is>
          <t>🔥低粉爆款</t>
        </is>
      </c>
      <c r="L1941" t="inlineStr">
        <is>
          <t>两只的大当家的店</t>
        </is>
      </c>
      <c r="M1941">
        <v>670</v>
      </c>
      <c r="N1941">
        <v>4.71</v>
      </c>
      <c r="O1941">
        <v>21000</v>
      </c>
      <c r="P1941" t="inlineStr">
        <is>
          <t>687ddf34fa30600015ab7455</t>
        </is>
      </c>
      <c r="Q1941"/>
      <c r="R1941" t="inlineStr">
        <is>
          <t>15周</t>
        </is>
      </c>
      <c r="S1941" t="inlineStr">
        <is>
          <t>31.34</t>
        </is>
      </c>
      <c r="T1941" t="inlineStr">
        <is>
          <t>运动潮玩</t>
        </is>
      </c>
      <c r="U1941" t="inlineStr">
        <is>
          <t>运动户外装备</t>
        </is>
      </c>
      <c r="V1941" s="3">
        <v>46118.97659722222</v>
      </c>
      <c r="W1941" t="inlineStr">
        <is>
          <t>2026-Q2</t>
        </is>
      </c>
    </row>
    <row r="1942" ht="25.5" customHeight="1">
      <c r="A1942" t="inlineStr">
        <is>
          <t>CrzYoga · 中强度运动背心 挂脖瑜伽内衣健身训练 | Butterluxe黄油</t>
        </is>
      </c>
      <c r="B1942" t="inlineStr">
        <is>
          <t>recvg1BDH5HXi5.jpg</t>
        </is>
      </c>
      <c r="C1942" s="2" t="str">
        <f>=HYPERLINK("https://xhslink.com/m/1LQItSjzqiB", "https://xhslink.com/m/1LQItSjzqiB")</f>
        <v>https://xhslink.com/m/1LQItSjzqiB</v>
      </c>
      <c r="D1942"/>
      <c r="E1942">
        <v>5601</v>
      </c>
      <c r="F1942">
        <v>159</v>
      </c>
      <c r="G1942"/>
      <c r="H1942">
        <v>200</v>
      </c>
      <c r="I1942" t="inlineStr">
        <is>
          <t>健身</t>
        </is>
      </c>
      <c r="J1942" t="inlineStr">
        <is>
          <t>0.04</t>
        </is>
      </c>
      <c r="K1942"/>
      <c r="L1942" t="inlineStr">
        <is>
          <t>CrzYoga旗舰店</t>
        </is>
      </c>
      <c r="M1942">
        <v>23000</v>
      </c>
      <c r="N1942">
        <v>4.68</v>
      </c>
      <c r="O1942">
        <v>108000</v>
      </c>
      <c r="P1942" t="inlineStr">
        <is>
          <t>676cc4d180b1540001f82735</t>
        </is>
      </c>
      <c r="Q1942" t="inlineStr">
        <is>
          <t>🚫重复</t>
        </is>
      </c>
      <c r="R1942" t="inlineStr">
        <is>
          <t>15周</t>
        </is>
      </c>
      <c r="S1942" t="inlineStr">
        <is>
          <t>0.24</t>
        </is>
      </c>
      <c r="T1942" t="inlineStr">
        <is>
          <t>运动潮玩</t>
        </is>
      </c>
      <c r="U1942" t="inlineStr">
        <is>
          <t>运动户外装备</t>
        </is>
      </c>
      <c r="V1942" s="3">
        <v>46118.97659722222</v>
      </c>
      <c r="W1942" t="inlineStr">
        <is>
          <t>2026-Q2</t>
        </is>
      </c>
    </row>
    <row r="1943" ht="25.5" customHeight="1">
      <c r="A1943" t="inlineStr">
        <is>
          <t>3.5cm复古风运动鞋夏秋季透气网面德训鞋百搭休闲健身鞋爬坡女鞋</t>
        </is>
      </c>
      <c r="B1943" t="inlineStr">
        <is>
          <t>recvg1BDH5wJVL.jpg</t>
        </is>
      </c>
      <c r="C1943" s="2" t="str">
        <f>=HYPERLINK("https://xhslink.com/m/SmMleN4PIM", "https://xhslink.com/m/SmMleN4PIM")</f>
        <v>https://xhslink.com/m/SmMleN4PIM</v>
      </c>
      <c r="D1943"/>
      <c r="E1943">
        <v>5284</v>
      </c>
      <c r="F1943">
        <v>91</v>
      </c>
      <c r="G1943">
        <v>76.88</v>
      </c>
      <c r="H1943">
        <v>200</v>
      </c>
      <c r="I1943" t="inlineStr">
        <is>
          <t>健身</t>
        </is>
      </c>
      <c r="J1943" t="inlineStr">
        <is>
          <t>0.04</t>
        </is>
      </c>
      <c r="K1943"/>
      <c r="L1943" t="inlineStr">
        <is>
          <t>晴天女鞋的店</t>
        </is>
      </c>
      <c r="M1943">
        <v>1780</v>
      </c>
      <c r="N1943">
        <v>4.65</v>
      </c>
      <c r="O1943">
        <v>11000</v>
      </c>
      <c r="P1943" t="inlineStr">
        <is>
          <t>6892cfbebc668f0015b963fb</t>
        </is>
      </c>
      <c r="Q1943" t="inlineStr">
        <is>
          <t>🚫重复</t>
        </is>
      </c>
      <c r="R1943" t="inlineStr">
        <is>
          <t>15周</t>
        </is>
      </c>
      <c r="S1943" t="inlineStr">
        <is>
          <t>2.97</t>
        </is>
      </c>
      <c r="T1943" t="inlineStr">
        <is>
          <t>服饰穿搭</t>
        </is>
      </c>
      <c r="U1943" t="inlineStr">
        <is>
          <t>鞋靴箱包</t>
        </is>
      </c>
      <c r="V1943" s="3">
        <v>46118.97659722222</v>
      </c>
      <c r="W1943" t="inlineStr">
        <is>
          <t>2026-Q2</t>
        </is>
      </c>
    </row>
    <row r="1944" ht="25.5" customHeight="1">
      <c r="A1944" t="inlineStr">
        <is>
          <t>休闲外穿轻薄瑜伽T恤时尚百搭通勤运动短袖修身骑行健身衣女</t>
        </is>
      </c>
      <c r="B1944" t="inlineStr">
        <is>
          <t>recvg1BDH5zNeG.jpg</t>
        </is>
      </c>
      <c r="C1944" s="2" t="str">
        <f>=HYPERLINK("https://xhslink.com/m/51p3DwCYZAx", "https://xhslink.com/m/51p3DwCYZAx")</f>
        <v>https://xhslink.com/m/51p3DwCYZAx</v>
      </c>
      <c r="D1944"/>
      <c r="E1944">
        <v>748</v>
      </c>
      <c r="F1944">
        <v>39.9</v>
      </c>
      <c r="G1944"/>
      <c r="H1944">
        <v>200</v>
      </c>
      <c r="I1944" t="inlineStr">
        <is>
          <t>健身</t>
        </is>
      </c>
      <c r="J1944" t="inlineStr">
        <is>
          <t>0.27</t>
        </is>
      </c>
      <c r="K1944"/>
      <c r="L1944" t="inlineStr">
        <is>
          <t>Ruru的肌动日常的店</t>
        </is>
      </c>
      <c r="M1944">
        <v>547</v>
      </c>
      <c r="N1944">
        <v>4.65</v>
      </c>
      <c r="O1944">
        <v>3634</v>
      </c>
      <c r="P1944" t="inlineStr">
        <is>
          <t>69ae41b116b37a0015b22049</t>
        </is>
      </c>
      <c r="Q1944" t="inlineStr">
        <is>
          <t>🚫重复</t>
        </is>
      </c>
      <c r="R1944" t="inlineStr">
        <is>
          <t>15周</t>
        </is>
      </c>
      <c r="S1944" t="inlineStr">
        <is>
          <t>1.37</t>
        </is>
      </c>
      <c r="T1944" t="inlineStr">
        <is>
          <t>运动潮玩</t>
        </is>
      </c>
      <c r="U1944" t="inlineStr">
        <is>
          <t>运动户外装备</t>
        </is>
      </c>
      <c r="V1944" s="3">
        <v>46118.97659722222</v>
      </c>
      <c r="W1944" t="inlineStr">
        <is>
          <t>2026-Q2</t>
        </is>
      </c>
    </row>
    <row r="1945" ht="25.5" customHeight="1">
      <c r="A1945" t="inlineStr">
        <is>
          <t>【小月龄嫩牛牛排】澳大利亚进口雪花板腱牛排牡蛎羽毛肉低脂健身</t>
        </is>
      </c>
      <c r="B1945" t="inlineStr">
        <is>
          <t>recvg1BDH525Wf.jpg</t>
        </is>
      </c>
      <c r="C1945" s="2" t="str">
        <f>=HYPERLINK("https://xhslink.com/m/AEg2ACPbCOh", "https://xhslink.com/m/AEg2ACPbCOh")</f>
        <v>https://xhslink.com/m/AEg2ACPbCOh</v>
      </c>
      <c r="D1945"/>
      <c r="E1945">
        <v>38000</v>
      </c>
      <c r="F1945">
        <v>319</v>
      </c>
      <c r="G1945">
        <v>269</v>
      </c>
      <c r="H1945">
        <v>200</v>
      </c>
      <c r="I1945" t="inlineStr">
        <is>
          <t>健身</t>
        </is>
      </c>
      <c r="J1945" t="inlineStr">
        <is>
          <t>0.01</t>
        </is>
      </c>
      <c r="K1945"/>
      <c r="L1945" t="inlineStr">
        <is>
          <t>三金牛犇鑫的店</t>
        </is>
      </c>
      <c r="M1945">
        <v>18000</v>
      </c>
      <c r="N1945">
        <v>4.87</v>
      </c>
      <c r="O1945">
        <v>82000</v>
      </c>
      <c r="P1945" t="inlineStr">
        <is>
          <t>69bb5e4223faf800015ef455</t>
        </is>
      </c>
      <c r="Q1945"/>
      <c r="R1945" t="inlineStr">
        <is>
          <t>15周</t>
        </is>
      </c>
      <c r="S1945" t="inlineStr">
        <is>
          <t>2.11</t>
        </is>
      </c>
      <c r="T1945" t="inlineStr">
        <is>
          <t>美食滋补</t>
        </is>
      </c>
      <c r="U1945" t="inlineStr">
        <is>
          <t>休闲零食</t>
        </is>
      </c>
      <c r="V1945" s="3">
        <v>46118.97659722222</v>
      </c>
      <c r="W1945" t="inlineStr">
        <is>
          <t>2026-Q2</t>
        </is>
      </c>
    </row>
    <row r="1946" ht="25.5" customHeight="1">
      <c r="A1946" t="inlineStr">
        <is>
          <t>Sea’da【蓝绯平角】新款后背绑带平角可拆卸胸垫竞速泳衣</t>
        </is>
      </c>
      <c r="B1946" t="inlineStr">
        <is>
          <t>recvg1BDH5tX3K.jpg</t>
        </is>
      </c>
      <c r="C1946" s="2" t="str">
        <f>=HYPERLINK("https://xhslink.com/m/6nVwMgzLYqi", "https://xhslink.com/m/6nVwMgzLYqi")</f>
        <v>https://xhslink.com/m/6nVwMgzLYqi</v>
      </c>
      <c r="D1946"/>
      <c r="E1946">
        <v>1267</v>
      </c>
      <c r="F1946">
        <v>129</v>
      </c>
      <c r="G1946">
        <v>86.9</v>
      </c>
      <c r="H1946">
        <v>200</v>
      </c>
      <c r="I1946" t="inlineStr">
        <is>
          <t>泳衣</t>
        </is>
      </c>
      <c r="J1946" t="inlineStr">
        <is>
          <t>0.16</t>
        </is>
      </c>
      <c r="K1946"/>
      <c r="L1946" t="inlineStr">
        <is>
          <t>Sea'da的店</t>
        </is>
      </c>
      <c r="M1946">
        <v>20000</v>
      </c>
      <c r="N1946">
        <v>4.63</v>
      </c>
      <c r="O1946">
        <v>25000</v>
      </c>
      <c r="P1946" t="inlineStr">
        <is>
          <t>69b8fc391ea1a8000103912d</t>
        </is>
      </c>
      <c r="Q1946" t="inlineStr">
        <is>
          <t>🚫重复</t>
        </is>
      </c>
      <c r="R1946" t="inlineStr">
        <is>
          <t>15周</t>
        </is>
      </c>
      <c r="S1946" t="inlineStr">
        <is>
          <t>0.06</t>
        </is>
      </c>
      <c r="T1946" t="inlineStr">
        <is>
          <t>运动潮玩</t>
        </is>
      </c>
      <c r="U1946" t="inlineStr">
        <is>
          <t>运动户外装备</t>
        </is>
      </c>
      <c r="V1946" s="3">
        <v>46118.97659722222</v>
      </c>
      <c r="W1946" t="inlineStr">
        <is>
          <t>2026-Q2</t>
        </is>
      </c>
    </row>
    <row r="1947" ht="25.5" customHeight="1">
      <c r="A1947" t="inlineStr">
        <is>
          <t>定制加大头围57-65cm夏季渔夫帽女可当包包防紫外线遮脸户外透气</t>
        </is>
      </c>
      <c r="B1947" t="inlineStr">
        <is>
          <t>recvg1BDH5HH4z.jpg</t>
        </is>
      </c>
      <c r="C1947" s="2" t="str">
        <f>=HYPERLINK("https://xhslink.com/m/2oUm6gVCI1L", "https://xhslink.com/m/2oUm6gVCI1L")</f>
        <v>https://xhslink.com/m/2oUm6gVCI1L</v>
      </c>
      <c r="D1947"/>
      <c r="E1947">
        <v>21000</v>
      </c>
      <c r="F1947">
        <v>35.8</v>
      </c>
      <c r="G1947"/>
      <c r="H1947">
        <v>200</v>
      </c>
      <c r="I1947" t="inlineStr">
        <is>
          <t>防晒帽</t>
        </is>
      </c>
      <c r="J1947" t="inlineStr">
        <is>
          <t>0.01</t>
        </is>
      </c>
      <c r="K1947"/>
      <c r="L1947" t="inlineStr">
        <is>
          <t>大头大脸倩倩家的店</t>
        </is>
      </c>
      <c r="M1947">
        <v>45000</v>
      </c>
      <c r="N1947">
        <v>4.47</v>
      </c>
      <c r="O1947">
        <v>337000</v>
      </c>
      <c r="P1947" t="inlineStr">
        <is>
          <t>69c952bb5dab9a00015f2630</t>
        </is>
      </c>
      <c r="Q1947" t="inlineStr">
        <is>
          <t>🚫重复</t>
        </is>
      </c>
      <c r="R1947" t="inlineStr">
        <is>
          <t>15周</t>
        </is>
      </c>
      <c r="S1947" t="inlineStr">
        <is>
          <t>0.47</t>
        </is>
      </c>
      <c r="T1947" t="inlineStr">
        <is>
          <t>服饰穿搭</t>
        </is>
      </c>
      <c r="U1947" t="inlineStr">
        <is>
          <t>鞋靴箱包</t>
        </is>
      </c>
      <c r="V1947" s="3">
        <v>46118.97659722222</v>
      </c>
      <c r="W1947" t="inlineStr">
        <is>
          <t>2026-Q2</t>
        </is>
      </c>
    </row>
    <row r="1948" ht="25.5" customHeight="1">
      <c r="A1948" t="inlineStr">
        <is>
          <t>春夏轻薄百搭遮阳渔夫帽子女韩版百搭休闲帽明星同款鸭舌盆帽</t>
        </is>
      </c>
      <c r="B1948" t="inlineStr">
        <is>
          <t>recvg1BDH5aZuJ.jpg</t>
        </is>
      </c>
      <c r="C1948" s="2" t="str">
        <f>=HYPERLINK("https://xhslink.com/m/8aCFAPMKGeB", "https://xhslink.com/m/8aCFAPMKGeB")</f>
        <v>https://xhslink.com/m/8aCFAPMKGeB</v>
      </c>
      <c r="D1948"/>
      <c r="E1948">
        <v>13000</v>
      </c>
      <c r="F1948">
        <v>36</v>
      </c>
      <c r="G1948"/>
      <c r="H1948">
        <v>200</v>
      </c>
      <c r="I1948" t="inlineStr">
        <is>
          <t>防晒帽</t>
        </is>
      </c>
      <c r="J1948" t="inlineStr">
        <is>
          <t>0.02</t>
        </is>
      </c>
      <c r="K1948" t="inlineStr">
        <is>
          <t>🔥低粉爆款</t>
        </is>
      </c>
      <c r="L1948" t="inlineStr">
        <is>
          <t>神秘帽号的店</t>
        </is>
      </c>
      <c r="M1948">
        <v>2391</v>
      </c>
      <c r="N1948">
        <v>4.56</v>
      </c>
      <c r="O1948">
        <v>18000</v>
      </c>
      <c r="P1948" t="inlineStr">
        <is>
          <t>65fada1c3403350001f849a2</t>
        </is>
      </c>
      <c r="Q1948" t="inlineStr">
        <is>
          <t>🚫重复</t>
        </is>
      </c>
      <c r="R1948" t="inlineStr">
        <is>
          <t>15周</t>
        </is>
      </c>
      <c r="S1948" t="inlineStr">
        <is>
          <t>5.44</t>
        </is>
      </c>
      <c r="T1948" t="inlineStr">
        <is>
          <t>服饰穿搭</t>
        </is>
      </c>
      <c r="U1948" t="inlineStr">
        <is>
          <t>配饰</t>
        </is>
      </c>
      <c r="V1948" s="3">
        <v>46118.97659722222</v>
      </c>
      <c r="W1948" t="inlineStr">
        <is>
          <t>2026-Q2</t>
        </is>
      </c>
    </row>
    <row r="1949" ht="25.5" customHeight="1">
      <c r="A1949" t="inlineStr">
        <is>
          <t>种菜专用箱塑料阳台种菜盆长方形塑料花盆家庭蔬菜种植盆种菜神器</t>
        </is>
      </c>
      <c r="B1949" t="inlineStr">
        <is>
          <t>recvg1BDH5Jdxs.jpg</t>
        </is>
      </c>
      <c r="C1949" s="2" t="str">
        <f>=HYPERLINK("https://xhslink.com/m/5YwIX3anT8r", "https://xhslink.com/m/5YwIX3anT8r")</f>
        <v>https://xhslink.com/m/5YwIX3anT8r</v>
      </c>
      <c r="D1949"/>
      <c r="E1949">
        <v>9917</v>
      </c>
      <c r="F1949">
        <v>7.9</v>
      </c>
      <c r="G1949">
        <v>6.9</v>
      </c>
      <c r="H1949">
        <v>200</v>
      </c>
      <c r="I1949" t="inlineStr">
        <is>
          <t>卧室</t>
        </is>
      </c>
      <c r="J1949" t="inlineStr">
        <is>
          <t>0.02</t>
        </is>
      </c>
      <c r="K1949" t="inlineStr">
        <is>
          <t>🔥低粉爆款</t>
        </is>
      </c>
      <c r="L1949" t="inlineStr">
        <is>
          <t>90后大学生的店</t>
        </is>
      </c>
      <c r="M1949">
        <v>2125</v>
      </c>
      <c r="N1949">
        <v>4.4</v>
      </c>
      <c r="O1949">
        <v>29000</v>
      </c>
      <c r="P1949" t="inlineStr">
        <is>
          <t>689742a7f9d7c80001c5bf5c</t>
        </is>
      </c>
      <c r="Q1949" t="inlineStr">
        <is>
          <t>🚫重复</t>
        </is>
      </c>
      <c r="R1949" t="inlineStr">
        <is>
          <t>15周</t>
        </is>
      </c>
      <c r="S1949" t="inlineStr">
        <is>
          <t>4.67</t>
        </is>
      </c>
      <c r="T1949" t="inlineStr">
        <is>
          <t>家居生活</t>
        </is>
      </c>
      <c r="U1949" t="inlineStr">
        <is>
          <t>家具家装</t>
        </is>
      </c>
      <c r="V1949" s="3">
        <v>46118.97659722222</v>
      </c>
      <c r="W1949" t="inlineStr">
        <is>
          <t>2026-Q2</t>
        </is>
      </c>
    </row>
    <row r="1950" ht="25.5" customHeight="1">
      <c r="A1950" t="inlineStr">
        <is>
          <t>尚梦坊 · 纯棉四件套学生洛丽塔卡通卧室宿舍全棉四件套三件套</t>
        </is>
      </c>
      <c r="B1950" t="inlineStr">
        <is>
          <t>recvg1BDH5TXpX.jpg</t>
        </is>
      </c>
      <c r="C1950" s="2" t="str">
        <f>=HYPERLINK("https://xhslink.com/m/Arc7M42LBQe", "https://xhslink.com/m/Arc7M42LBQe")</f>
        <v>https://xhslink.com/m/Arc7M42LBQe</v>
      </c>
      <c r="D1950"/>
      <c r="E1950">
        <v>2347</v>
      </c>
      <c r="F1950">
        <v>179</v>
      </c>
      <c r="G1950">
        <v>119</v>
      </c>
      <c r="H1950">
        <v>200</v>
      </c>
      <c r="I1950" t="inlineStr">
        <is>
          <t>卧室</t>
        </is>
      </c>
      <c r="J1950" t="inlineStr">
        <is>
          <t>0.09</t>
        </is>
      </c>
      <c r="K1950"/>
      <c r="L1950" t="inlineStr">
        <is>
          <t>卖四件套的小Q的店</t>
        </is>
      </c>
      <c r="M1950">
        <v>3154</v>
      </c>
      <c r="N1950">
        <v>4.61</v>
      </c>
      <c r="O1950">
        <v>7638</v>
      </c>
      <c r="P1950" t="inlineStr">
        <is>
          <t>6873ab349c0b440001bc79d3</t>
        </is>
      </c>
      <c r="Q1950" t="inlineStr">
        <is>
          <t>🚫重复</t>
        </is>
      </c>
      <c r="R1950" t="inlineStr">
        <is>
          <t>15周</t>
        </is>
      </c>
      <c r="S1950" t="inlineStr">
        <is>
          <t>0.74</t>
        </is>
      </c>
      <c r="T1950" t="inlineStr">
        <is>
          <t>家居生活</t>
        </is>
      </c>
      <c r="U1950" t="inlineStr">
        <is>
          <t>家具家装</t>
        </is>
      </c>
      <c r="V1950" s="3">
        <v>46118.97659722222</v>
      </c>
      <c r="W1950" t="inlineStr">
        <is>
          <t>2026-Q2</t>
        </is>
      </c>
    </row>
    <row r="1951" ht="25.5" customHeight="1">
      <c r="A1951" t="inlineStr">
        <is>
          <t>趴趴猫系列毛绒抱枕桌伴原创正版</t>
        </is>
      </c>
      <c r="B1951" t="inlineStr">
        <is>
          <t>recvg1BDH56Cbk.jpg</t>
        </is>
      </c>
      <c r="C1951" s="2" t="str">
        <f>=HYPERLINK("https://xhslink.com/m/AErZeFIOTuf", "https://xhslink.com/m/AErZeFIOTuf")</f>
        <v>https://xhslink.com/m/AErZeFIOTuf</v>
      </c>
      <c r="D1951"/>
      <c r="E1951">
        <v>23000</v>
      </c>
      <c r="F1951">
        <v>39.9</v>
      </c>
      <c r="G1951"/>
      <c r="H1951">
        <v>200</v>
      </c>
      <c r="I1951" t="inlineStr">
        <is>
          <t>挂件</t>
        </is>
      </c>
      <c r="J1951" t="inlineStr">
        <is>
          <t>0.01</t>
        </is>
      </c>
      <c r="K1951"/>
      <c r="L1951" t="inlineStr">
        <is>
          <t>抱抱计划的店</t>
        </is>
      </c>
      <c r="M1951">
        <v>100000</v>
      </c>
      <c r="N1951">
        <v>4.59</v>
      </c>
      <c r="O1951">
        <v>30000</v>
      </c>
      <c r="P1951" t="inlineStr">
        <is>
          <t>6965ba1385c6db000121a3e1</t>
        </is>
      </c>
      <c r="Q1951" t="inlineStr">
        <is>
          <t>🚫重复</t>
        </is>
      </c>
      <c r="R1951" t="inlineStr">
        <is>
          <t>15周</t>
        </is>
      </c>
      <c r="S1951" t="inlineStr">
        <is>
          <t>0.23</t>
        </is>
      </c>
      <c r="T1951" t="inlineStr">
        <is>
          <t>服饰穿搭</t>
        </is>
      </c>
      <c r="U1951" t="inlineStr">
        <is>
          <t>配饰</t>
        </is>
      </c>
      <c r="V1951" s="3">
        <v>46118.97659722222</v>
      </c>
      <c r="W1951" t="inlineStr">
        <is>
          <t>2026-Q2</t>
        </is>
      </c>
    </row>
    <row r="1952" ht="25.5" customHeight="1">
      <c r="A1952" t="inlineStr">
        <is>
          <t>【首批穿铝】别动我的齐刘海BJD盲盒特六植发可动人偶潮玩礼物</t>
        </is>
      </c>
      <c r="B1952" t="inlineStr">
        <is>
          <t>recvg1BDH5PMUX.jpg</t>
        </is>
      </c>
      <c r="C1952" s="2" t="str">
        <f>=HYPERLINK("https://xhslink.com/m/9ZokK3GiWgz", "https://xhslink.com/m/9ZokK3GiWgz")</f>
        <v>https://xhslink.com/m/9ZokK3GiWgz</v>
      </c>
      <c r="D1952"/>
      <c r="E1952">
        <v>1107</v>
      </c>
      <c r="F1952">
        <v>105</v>
      </c>
      <c r="G1952"/>
      <c r="H1952">
        <v>200</v>
      </c>
      <c r="I1952" t="inlineStr">
        <is>
          <t>挂件</t>
        </is>
      </c>
      <c r="J1952" t="inlineStr">
        <is>
          <t>0.18</t>
        </is>
      </c>
      <c r="K1952"/>
      <c r="L1952" t="inlineStr">
        <is>
          <t>棋乐潮玩的店</t>
        </is>
      </c>
      <c r="M1952">
        <v>1927</v>
      </c>
      <c r="N1952">
        <v>4.33</v>
      </c>
      <c r="O1952">
        <v>6511</v>
      </c>
      <c r="P1952" t="inlineStr">
        <is>
          <t>69a050b087daa0000187d7aa</t>
        </is>
      </c>
      <c r="Q1952" t="inlineStr">
        <is>
          <t>🚫重复</t>
        </is>
      </c>
      <c r="R1952" t="inlineStr">
        <is>
          <t>15周</t>
        </is>
      </c>
      <c r="S1952" t="inlineStr">
        <is>
          <t>0.57</t>
        </is>
      </c>
      <c r="T1952" t="inlineStr">
        <is>
          <t>运动潮玩</t>
        </is>
      </c>
      <c r="U1952" t="inlineStr">
        <is>
          <t>潮玩手办</t>
        </is>
      </c>
      <c r="V1952" s="3">
        <v>46118.97659722222</v>
      </c>
      <c r="W1952" t="inlineStr">
        <is>
          <t>2026-Q2</t>
        </is>
      </c>
    </row>
    <row r="1953" ht="25.5" customHeight="1">
      <c r="A1953" t="inlineStr">
        <is>
          <t>【小猪咪】原创治愈系桌面解压柔软好rua礼物斑点可爱猪咪</t>
        </is>
      </c>
      <c r="B1953" t="inlineStr">
        <is>
          <t>recvg1BDH52woc.jpg</t>
        </is>
      </c>
      <c r="C1953" s="2" t="str">
        <f>=HYPERLINK("https://xhslink.com/m/AVoJHVRvxz5", "https://xhslink.com/m/AVoJHVRvxz5")</f>
        <v>https://xhslink.com/m/AVoJHVRvxz5</v>
      </c>
      <c r="D1953"/>
      <c r="E1953">
        <v>4968</v>
      </c>
      <c r="F1953">
        <v>33.9</v>
      </c>
      <c r="G1953"/>
      <c r="H1953">
        <v>200</v>
      </c>
      <c r="I1953" t="inlineStr">
        <is>
          <t>挂件</t>
        </is>
      </c>
      <c r="J1953" t="inlineStr">
        <is>
          <t>0.04</t>
        </is>
      </c>
      <c r="K1953"/>
      <c r="L1953" t="inlineStr">
        <is>
          <t>辛安小角落的店</t>
        </is>
      </c>
      <c r="M1953">
        <v>126000</v>
      </c>
      <c r="N1953">
        <v>4.57</v>
      </c>
      <c r="O1953">
        <v>141000</v>
      </c>
      <c r="P1953" t="inlineStr">
        <is>
          <t>697c6470d5afea00012c0777</t>
        </is>
      </c>
      <c r="Q1953" t="inlineStr">
        <is>
          <t>🚫重复</t>
        </is>
      </c>
      <c r="R1953" t="inlineStr">
        <is>
          <t>15周</t>
        </is>
      </c>
      <c r="S1953" t="inlineStr">
        <is>
          <t>0.04</t>
        </is>
      </c>
      <c r="T1953" t="inlineStr">
        <is>
          <t>服饰穿搭</t>
        </is>
      </c>
      <c r="U1953" t="inlineStr">
        <is>
          <t>配饰</t>
        </is>
      </c>
      <c r="V1953" s="3">
        <v>46118.97659722222</v>
      </c>
      <c r="W1953" t="inlineStr">
        <is>
          <t>2026-Q2</t>
        </is>
      </c>
    </row>
    <row r="1954" ht="25.5" customHeight="1">
      <c r="A1954" t="inlineStr">
        <is>
          <t>可爱动物豆袋玩偶安抚陪伴娃娃毛绒玩具小狐狸豆袋公仔圣诞节礼物</t>
        </is>
      </c>
      <c r="B1954" t="inlineStr">
        <is>
          <t>recvg1BDH53WfC.jpg</t>
        </is>
      </c>
      <c r="C1954" s="2" t="str">
        <f>=HYPERLINK("https://xhslink.com/m/8eHvkpkutg2", "https://xhslink.com/m/8eHvkpkutg2")</f>
        <v>https://xhslink.com/m/8eHvkpkutg2</v>
      </c>
      <c r="D1954"/>
      <c r="E1954">
        <v>9853</v>
      </c>
      <c r="F1954">
        <v>35.8</v>
      </c>
      <c r="G1954">
        <v>22.8</v>
      </c>
      <c r="H1954">
        <v>200</v>
      </c>
      <c r="I1954" t="inlineStr">
        <is>
          <t>挂件</t>
        </is>
      </c>
      <c r="J1954" t="inlineStr">
        <is>
          <t>0.02</t>
        </is>
      </c>
      <c r="K1954" t="inlineStr">
        <is>
          <t>🔥低粉爆款</t>
        </is>
      </c>
      <c r="L1954" t="inlineStr">
        <is>
          <t>可爱发射站💓的店</t>
        </is>
      </c>
      <c r="M1954">
        <v>635</v>
      </c>
      <c r="N1954">
        <v>4.61</v>
      </c>
      <c r="O1954">
        <v>10000</v>
      </c>
      <c r="P1954" t="inlineStr">
        <is>
          <t>694d0eac452d9f00155e3766</t>
        </is>
      </c>
      <c r="Q1954"/>
      <c r="R1954" t="inlineStr">
        <is>
          <t>15周</t>
        </is>
      </c>
      <c r="S1954" t="inlineStr">
        <is>
          <t>15.52</t>
        </is>
      </c>
      <c r="T1954" t="inlineStr">
        <is>
          <t>母婴亲子</t>
        </is>
      </c>
      <c r="U1954" t="inlineStr">
        <is>
          <t>玩具早教</t>
        </is>
      </c>
      <c r="V1954" s="3">
        <v>46118.97659722222</v>
      </c>
      <c r="W1954" t="inlineStr">
        <is>
          <t>2026-Q2</t>
        </is>
      </c>
    </row>
    <row r="1955" ht="25.5" customHeight="1">
      <c r="A1955" t="inlineStr">
        <is>
          <t>虫虫战队 · 【40%呋虫胺】专业灭蟑螂药跳蚤药 家用客卧厨房卫生间窝端杀虫剂</t>
        </is>
      </c>
      <c r="B1955" t="inlineStr">
        <is>
          <t>recvg1BDH5VyCL.jpg</t>
        </is>
      </c>
      <c r="C1955" s="2" t="str">
        <f>=HYPERLINK("https://xhslink.com/m/3ns85pveyZP", "https://xhslink.com/m/3ns85pveyZP")</f>
        <v>https://xhslink.com/m/3ns85pveyZP</v>
      </c>
      <c r="D1955"/>
      <c r="E1955">
        <v>85000</v>
      </c>
      <c r="F1955">
        <v>39.5</v>
      </c>
      <c r="G1955"/>
      <c r="H1955">
        <v>200</v>
      </c>
      <c r="I1955" t="inlineStr">
        <is>
          <t>浴室用品</t>
        </is>
      </c>
      <c r="J1955" t="inlineStr">
        <is>
          <t>0.00</t>
        </is>
      </c>
      <c r="K1955" t="inlineStr">
        <is>
          <t>🔥低粉爆款</t>
        </is>
      </c>
      <c r="L1955" t="inlineStr">
        <is>
          <t>虫虫战队旗舰店</t>
        </is>
      </c>
      <c r="M1955">
        <v>13000</v>
      </c>
      <c r="N1955">
        <v>4.69</v>
      </c>
      <c r="O1955">
        <v>350000</v>
      </c>
      <c r="P1955" t="inlineStr">
        <is>
          <t>6886d8a74daa710001d267dd</t>
        </is>
      </c>
      <c r="Q1955" t="inlineStr">
        <is>
          <t>🚫重复</t>
        </is>
      </c>
      <c r="R1955" t="inlineStr">
        <is>
          <t>15周</t>
        </is>
      </c>
      <c r="S1955" t="inlineStr">
        <is>
          <t>6.54</t>
        </is>
      </c>
      <c r="T1955" t="inlineStr">
        <is>
          <t>家居生活</t>
        </is>
      </c>
      <c r="U1955" t="inlineStr">
        <is>
          <t>厨房餐饮</t>
        </is>
      </c>
      <c r="V1955" s="3">
        <v>46118.97659722222</v>
      </c>
      <c r="W1955" t="inlineStr">
        <is>
          <t>2026-Q2</t>
        </is>
      </c>
    </row>
    <row r="1956" ht="25.5" customHeight="1">
      <c r="A1956" t="inlineStr">
        <is>
          <t>【小众情侣睡衣】100%棉早春纯棉磨毛睡衣家居服</t>
        </is>
      </c>
      <c r="B1956" t="inlineStr">
        <is>
          <t>recvg1BDH5XOnO.jpg</t>
        </is>
      </c>
      <c r="C1956" s="2" t="str">
        <f>=HYPERLINK("https://xhslink.com/m/2DFj7J5LcBf", "https://xhslink.com/m/2DFj7J5LcBf")</f>
        <v>https://xhslink.com/m/2DFj7J5LcBf</v>
      </c>
      <c r="D1956"/>
      <c r="E1956">
        <v>112000</v>
      </c>
      <c r="F1956">
        <v>99</v>
      </c>
      <c r="G1956"/>
      <c r="H1956">
        <v>200</v>
      </c>
      <c r="I1956" t="inlineStr">
        <is>
          <t>浴室用品</t>
        </is>
      </c>
      <c r="J1956" t="inlineStr">
        <is>
          <t>0.00</t>
        </is>
      </c>
      <c r="K1956"/>
      <c r="L1956" t="inlineStr">
        <is>
          <t>八月雨的店</t>
        </is>
      </c>
      <c r="M1956">
        <v>125000</v>
      </c>
      <c r="N1956">
        <v>4.55</v>
      </c>
      <c r="O1956">
        <v>158000</v>
      </c>
      <c r="P1956" t="inlineStr">
        <is>
          <t>66cedcc787b9bc00010f07ea</t>
        </is>
      </c>
      <c r="Q1956" t="inlineStr">
        <is>
          <t>🚫重复</t>
        </is>
      </c>
      <c r="R1956" t="inlineStr">
        <is>
          <t>15周</t>
        </is>
      </c>
      <c r="S1956" t="inlineStr">
        <is>
          <t>0.90</t>
        </is>
      </c>
      <c r="T1956" t="inlineStr">
        <is>
          <t>家居生活</t>
        </is>
      </c>
      <c r="U1956" t="inlineStr">
        <is>
          <t>家居日用</t>
        </is>
      </c>
      <c r="V1956" s="3">
        <v>46118.97659722222</v>
      </c>
      <c r="W1956" t="inlineStr">
        <is>
          <t>2026-Q2</t>
        </is>
      </c>
    </row>
    <row r="1957" ht="25.5" customHeight="1">
      <c r="A1957" t="inlineStr">
        <is>
          <t>INNER YES · 年度挚爱大睡裙/睡觉穿的睡衣T恤家居服/弹力超大2025新</t>
        </is>
      </c>
      <c r="B1957" t="inlineStr">
        <is>
          <t>recvg1BDH5BXiL.jpg</t>
        </is>
      </c>
      <c r="C1957" s="2" t="str">
        <f>=HYPERLINK("https://xhslink.com/m/6pYqDikLrhl", "https://xhslink.com/m/6pYqDikLrhl")</f>
        <v>https://xhslink.com/m/6pYqDikLrhl</v>
      </c>
      <c r="D1957"/>
      <c r="E1957">
        <v>14000</v>
      </c>
      <c r="F1957">
        <v>119</v>
      </c>
      <c r="G1957">
        <v>99</v>
      </c>
      <c r="H1957">
        <v>200</v>
      </c>
      <c r="I1957" t="inlineStr">
        <is>
          <t>浴室用品</t>
        </is>
      </c>
      <c r="J1957" t="inlineStr">
        <is>
          <t>0.01</t>
        </is>
      </c>
      <c r="K1957"/>
      <c r="L1957" t="inlineStr">
        <is>
          <t>INNER YES旗舰店</t>
        </is>
      </c>
      <c r="M1957">
        <v>52000</v>
      </c>
      <c r="N1957">
        <v>4.8</v>
      </c>
      <c r="O1957">
        <v>272000</v>
      </c>
      <c r="P1957" t="inlineStr">
        <is>
          <t>699fad396b5a8300014f5cab</t>
        </is>
      </c>
      <c r="Q1957"/>
      <c r="R1957" t="inlineStr">
        <is>
          <t>15周</t>
        </is>
      </c>
      <c r="S1957" t="inlineStr">
        <is>
          <t>0.27</t>
        </is>
      </c>
      <c r="T1957" t="inlineStr">
        <is>
          <t>服饰穿搭</t>
        </is>
      </c>
      <c r="U1957" t="inlineStr">
        <is>
          <t>女装</t>
        </is>
      </c>
      <c r="V1957" s="3">
        <v>46118.97659722222</v>
      </c>
      <c r="W1957" t="inlineStr">
        <is>
          <t>2026-Q2</t>
        </is>
      </c>
    </row>
    <row r="1958" ht="25.5" customHeight="1">
      <c r="A1958" t="inlineStr">
        <is>
          <t>花花调香室香氛喷雾茉野絮语+冷杉守夜人+沉檀叠隐</t>
        </is>
      </c>
      <c r="B1958" t="inlineStr">
        <is>
          <t>recvg1BDH5YFMe.jpg</t>
        </is>
      </c>
      <c r="C1958" s="2" t="str">
        <f>=HYPERLINK("https://xhslink.com/m/qru4Y3AzLO", "https://xhslink.com/m/qru4Y3AzLO")</f>
        <v>https://xhslink.com/m/qru4Y3AzLO</v>
      </c>
      <c r="D1958"/>
      <c r="E1958">
        <v>87000</v>
      </c>
      <c r="F1958">
        <v>46.8</v>
      </c>
      <c r="G1958">
        <v>28.6</v>
      </c>
      <c r="H1958">
        <v>200</v>
      </c>
      <c r="I1958" t="inlineStr">
        <is>
          <t>浴室用品</t>
        </is>
      </c>
      <c r="J1958" t="inlineStr">
        <is>
          <t>0.00</t>
        </is>
      </c>
      <c r="K1958"/>
      <c r="L1958" t="inlineStr">
        <is>
          <t>会调香的花花的店</t>
        </is>
      </c>
      <c r="M1958">
        <v>132000</v>
      </c>
      <c r="N1958">
        <v>4.6</v>
      </c>
      <c r="O1958">
        <v>527000</v>
      </c>
      <c r="P1958" t="inlineStr">
        <is>
          <t>6860ee5856ddbd0001156612</t>
        </is>
      </c>
      <c r="Q1958" t="inlineStr">
        <is>
          <t>🚫重复</t>
        </is>
      </c>
      <c r="R1958" t="inlineStr">
        <is>
          <t>15周</t>
        </is>
      </c>
      <c r="S1958" t="inlineStr">
        <is>
          <t>0.66</t>
        </is>
      </c>
      <c r="T1958" t="inlineStr">
        <is>
          <t>美妆个护</t>
        </is>
      </c>
      <c r="U1958" t="inlineStr">
        <is>
          <t>个人护理</t>
        </is>
      </c>
      <c r="V1958" s="3">
        <v>46118.97659722222</v>
      </c>
      <c r="W1958" t="inlineStr">
        <is>
          <t>2026-Q2</t>
        </is>
      </c>
    </row>
    <row r="1959" ht="25.5" customHeight="1">
      <c r="A1959" t="inlineStr">
        <is>
          <t>熊宝贝 · 韩国snuggle小熊喷雾衣服增香去味皂香清新温暖花香小熊香氛喷雾</t>
        </is>
      </c>
      <c r="B1959" t="inlineStr">
        <is>
          <t>recvg1BDH5br2G.jpg</t>
        </is>
      </c>
      <c r="C1959" s="2" t="str">
        <f>=HYPERLINK("https://xhslink.com/m/AVOqEKtS8EG", "https://xhslink.com/m/AVOqEKtS8EG")</f>
        <v>https://xhslink.com/m/AVOqEKtS8EG</v>
      </c>
      <c r="D1959"/>
      <c r="E1959">
        <v>43000</v>
      </c>
      <c r="F1959">
        <v>40</v>
      </c>
      <c r="G1959">
        <v>19.5</v>
      </c>
      <c r="H1959">
        <v>200</v>
      </c>
      <c r="I1959" t="inlineStr">
        <is>
          <t>浴室用品</t>
        </is>
      </c>
      <c r="J1959" t="inlineStr">
        <is>
          <t>0.00</t>
        </is>
      </c>
      <c r="K1959" t="inlineStr">
        <is>
          <t>🔥低粉爆款</t>
        </is>
      </c>
      <c r="L1959" t="inlineStr">
        <is>
          <t>Roseanne韩国购💖的店</t>
        </is>
      </c>
      <c r="M1959">
        <v>5965</v>
      </c>
      <c r="N1959">
        <v>4.66</v>
      </c>
      <c r="O1959">
        <v>50000</v>
      </c>
      <c r="P1959" t="inlineStr">
        <is>
          <t>684d7bb7ea2a81000161add7</t>
        </is>
      </c>
      <c r="Q1959"/>
      <c r="R1959" t="inlineStr">
        <is>
          <t>15周</t>
        </is>
      </c>
      <c r="S1959" t="inlineStr">
        <is>
          <t>7.21</t>
        </is>
      </c>
      <c r="T1959" t="inlineStr">
        <is>
          <t>美妆个护</t>
        </is>
      </c>
      <c r="U1959" t="inlineStr">
        <is>
          <t>个人护理</t>
        </is>
      </c>
      <c r="V1959" s="3">
        <v>46118.97659722222</v>
      </c>
      <c r="W1959" t="inlineStr">
        <is>
          <t>2026-Q2</t>
        </is>
      </c>
    </row>
    <row r="1960" ht="25.5" customHeight="1">
      <c r="A1960" t="inlineStr">
        <is>
          <t>潮汕手工墨鱼丸0糖1%淀粉无添加猪油低卡减脂低碳水 顺丰包邮</t>
        </is>
      </c>
      <c r="B1960" t="inlineStr">
        <is>
          <t>recvg1BDH5bFAc.jpg</t>
        </is>
      </c>
      <c r="C1960" s="2" t="str">
        <f>=HYPERLINK("https://xhslink.com/m/AMtaSsulWPh", "https://xhslink.com/m/AMtaSsulWPh")</f>
        <v>https://xhslink.com/m/AMtaSsulWPh</v>
      </c>
      <c r="D1960"/>
      <c r="E1960">
        <v>13000</v>
      </c>
      <c r="F1960">
        <v>46</v>
      </c>
      <c r="G1960">
        <v>39</v>
      </c>
      <c r="H1960">
        <v>200</v>
      </c>
      <c r="I1960" t="inlineStr">
        <is>
          <t>低脂餐</t>
        </is>
      </c>
      <c r="J1960" t="inlineStr">
        <is>
          <t>0.02</t>
        </is>
      </c>
      <c r="K1960" t="inlineStr">
        <is>
          <t>🔥低粉爆款</t>
        </is>
      </c>
      <c r="L1960" t="inlineStr">
        <is>
          <t>姚记优选潮汕正宗墨鱼丸的店</t>
        </is>
      </c>
      <c r="M1960">
        <v>563</v>
      </c>
      <c r="N1960">
        <v>4.79</v>
      </c>
      <c r="O1960">
        <v>13000</v>
      </c>
      <c r="P1960" t="inlineStr">
        <is>
          <t>68f044fa2990490001263be0</t>
        </is>
      </c>
      <c r="Q1960" t="inlineStr">
        <is>
          <t>🚫重复</t>
        </is>
      </c>
      <c r="R1960" t="inlineStr">
        <is>
          <t>15周</t>
        </is>
      </c>
      <c r="S1960" t="inlineStr">
        <is>
          <t>23.09</t>
        </is>
      </c>
      <c r="T1960" t="inlineStr">
        <is>
          <t>美食滋补</t>
        </is>
      </c>
      <c r="U1960" t="inlineStr">
        <is>
          <t>休闲零食</t>
        </is>
      </c>
      <c r="V1960" s="3">
        <v>46118.97659722222</v>
      </c>
      <c r="W1960" t="inlineStr">
        <is>
          <t>2026-Q2</t>
        </is>
      </c>
    </row>
    <row r="1961" ht="25.5" customHeight="1">
      <c r="A1961" t="inlineStr">
        <is>
          <t>北夕 · 天然高抛库克和田玉双圈文玩手串（自带天然棕眼和棕线并非瑕疵）</t>
        </is>
      </c>
      <c r="B1961" t="inlineStr">
        <is>
          <t>recvg7vyEbANzB.jpg</t>
        </is>
      </c>
      <c r="C1961" s="2" t="str">
        <f>=HYPERLINK("https://xhslink.com/m/1PL5PvSL8CU", "https://xhslink.com/m/1PL5PvSL8CU")</f>
        <v>https://xhslink.com/m/1PL5PvSL8CU</v>
      </c>
      <c r="D1961"/>
      <c r="E1961">
        <v>18000</v>
      </c>
      <c r="F1961">
        <v>155</v>
      </c>
      <c r="G1961">
        <v>88</v>
      </c>
      <c r="H1961">
        <v>200</v>
      </c>
      <c r="I1961" t="inlineStr">
        <is>
          <t>减糖甜品</t>
        </is>
      </c>
      <c r="J1961" t="inlineStr">
        <is>
          <t>0.01</t>
        </is>
      </c>
      <c r="K1961" t="inlineStr">
        <is>
          <t>🔥低粉爆款</t>
        </is>
      </c>
      <c r="L1961" t="inlineStr">
        <is>
          <t>坊巷文创的店</t>
        </is>
      </c>
      <c r="M1961">
        <v>1799</v>
      </c>
      <c r="N1961">
        <v>4.67</v>
      </c>
      <c r="O1961">
        <v>20000</v>
      </c>
      <c r="P1961" t="inlineStr">
        <is>
          <t>683535794577ad00016b1f9a</t>
        </is>
      </c>
      <c r="Q1961"/>
      <c r="R1961" t="inlineStr">
        <is>
          <t>15周</t>
        </is>
      </c>
      <c r="S1961" t="inlineStr">
        <is>
          <t>10.01</t>
        </is>
      </c>
      <c r="T1961" t="inlineStr">
        <is>
          <t>美食滋补</t>
        </is>
      </c>
      <c r="U1961" t="inlineStr">
        <is>
          <t>休闲零食</t>
        </is>
      </c>
      <c r="V1961" s="3">
        <v>46119.985972222225</v>
      </c>
      <c r="W1961" t="inlineStr">
        <is>
          <t>2026-Q2</t>
        </is>
      </c>
    </row>
    <row r="1962" ht="25.5" customHeight="1">
      <c r="A1962" t="inlineStr">
        <is>
          <t>QSSD【自选3个】魔芋蛋糕无面粉无蔗糖燕麦奶酱伪酱多多控糖</t>
        </is>
      </c>
      <c r="B1962" t="inlineStr">
        <is>
          <t>recvg7vyEbQEIy.jpg</t>
        </is>
      </c>
      <c r="C1962" s="2" t="str">
        <f>=HYPERLINK("https://xhslink.com/m/4yA5zadiUG0", "https://xhslink.com/m/4yA5zadiUG0")</f>
        <v>https://xhslink.com/m/4yA5zadiUG0</v>
      </c>
      <c r="D1962"/>
      <c r="E1962">
        <v>18000</v>
      </c>
      <c r="F1962">
        <v>30</v>
      </c>
      <c r="G1962">
        <v>24.95</v>
      </c>
      <c r="H1962">
        <v>200</v>
      </c>
      <c r="I1962" t="inlineStr">
        <is>
          <t>减糖甜品</t>
        </is>
      </c>
      <c r="J1962" t="inlineStr">
        <is>
          <t>0.01</t>
        </is>
      </c>
      <c r="K1962"/>
      <c r="L1962" t="inlineStr">
        <is>
          <t>QSSD烘焙的店</t>
        </is>
      </c>
      <c r="M1962">
        <v>53000</v>
      </c>
      <c r="N1962">
        <v>4.74</v>
      </c>
      <c r="O1962">
        <v>197000</v>
      </c>
      <c r="P1962" t="inlineStr">
        <is>
          <t>6969f74a85c6db00017b042c</t>
        </is>
      </c>
      <c r="Q1962" t="inlineStr">
        <is>
          <t>🚫重复</t>
        </is>
      </c>
      <c r="R1962" t="inlineStr">
        <is>
          <t>15周</t>
        </is>
      </c>
      <c r="S1962" t="inlineStr">
        <is>
          <t>0.34</t>
        </is>
      </c>
      <c r="T1962" t="inlineStr">
        <is>
          <t>美食滋补</t>
        </is>
      </c>
      <c r="U1962" t="inlineStr">
        <is>
          <t>休闲零食</t>
        </is>
      </c>
      <c r="V1962" s="3">
        <v>46119.985972222225</v>
      </c>
      <c r="W1962" t="inlineStr">
        <is>
          <t>2026-Q2</t>
        </is>
      </c>
    </row>
    <row r="1963" ht="25.5" customHeight="1">
      <c r="A1963" t="inlineStr">
        <is>
          <t>无火香薰晶石扩香石精油卧室持久精油家用摆件房间小众助眠香薰</t>
        </is>
      </c>
      <c r="B1963" t="inlineStr">
        <is>
          <t>recvg7vyEbMKIS.jpg</t>
        </is>
      </c>
      <c r="C1963" s="2" t="str">
        <f>=HYPERLINK("https://xhslink.com/m/4ehkFEDrRHW", "https://xhslink.com/m/4ehkFEDrRHW")</f>
        <v>https://xhslink.com/m/4ehkFEDrRHW</v>
      </c>
      <c r="D1963"/>
      <c r="E1963">
        <v>9596</v>
      </c>
      <c r="F1963">
        <v>19</v>
      </c>
      <c r="G1963">
        <v>7.9</v>
      </c>
      <c r="H1963">
        <v>200</v>
      </c>
      <c r="I1963" t="inlineStr">
        <is>
          <t>香薰</t>
        </is>
      </c>
      <c r="J1963" t="inlineStr">
        <is>
          <t>0.02</t>
        </is>
      </c>
      <c r="K1963" t="inlineStr">
        <is>
          <t>🔥低粉爆款</t>
        </is>
      </c>
      <c r="L1963" t="inlineStr">
        <is>
          <t>叶楠盈香的店</t>
        </is>
      </c>
      <c r="M1963">
        <v>732</v>
      </c>
      <c r="N1963">
        <v>4.71</v>
      </c>
      <c r="O1963">
        <v>11000</v>
      </c>
      <c r="P1963" t="inlineStr">
        <is>
          <t>68b4228d26d3a40015262e28</t>
        </is>
      </c>
      <c r="Q1963" t="inlineStr">
        <is>
          <t>🚫重复</t>
        </is>
      </c>
      <c r="R1963" t="inlineStr">
        <is>
          <t>15周</t>
        </is>
      </c>
      <c r="S1963" t="inlineStr">
        <is>
          <t>13.11</t>
        </is>
      </c>
      <c r="T1963" t="inlineStr">
        <is>
          <t>家居生活</t>
        </is>
      </c>
      <c r="U1963" t="inlineStr">
        <is>
          <t>家居日用</t>
        </is>
      </c>
      <c r="V1963" s="3">
        <v>46119.985972222225</v>
      </c>
      <c r="W1963" t="inlineStr">
        <is>
          <t>2026-Q2</t>
        </is>
      </c>
    </row>
    <row r="1964" ht="25.5" customHeight="1">
      <c r="A1964" t="inlineStr">
        <is>
          <t>原味红薯干不加糖地瓜干软糯香甜番薯干孕妇零食宝宝磨牙棒</t>
        </is>
      </c>
      <c r="B1964" t="inlineStr">
        <is>
          <t>recvg7vyEbJeFM.jpg</t>
        </is>
      </c>
      <c r="C1964" s="2" t="str">
        <f>=HYPERLINK("https://xhslink.com/m/8ubMBnysN5R", "https://xhslink.com/m/8ubMBnysN5R")</f>
        <v>https://xhslink.com/m/8ubMBnysN5R</v>
      </c>
      <c r="D1964"/>
      <c r="E1964">
        <v>140000</v>
      </c>
      <c r="F1964">
        <v>39.9</v>
      </c>
      <c r="G1964">
        <v>32.9</v>
      </c>
      <c r="H1964">
        <v>200</v>
      </c>
      <c r="I1964" t="inlineStr">
        <is>
          <t>坚果零食</t>
        </is>
      </c>
      <c r="J1964" t="inlineStr">
        <is>
          <t>0.00</t>
        </is>
      </c>
      <c r="K1964" t="inlineStr">
        <is>
          <t>🔥低粉爆款</t>
        </is>
      </c>
      <c r="L1964" t="inlineStr">
        <is>
          <t>小新糯叽叽的店</t>
        </is>
      </c>
      <c r="M1964">
        <v>28000</v>
      </c>
      <c r="N1964">
        <v>4.57</v>
      </c>
      <c r="O1964">
        <v>711000</v>
      </c>
      <c r="P1964" t="inlineStr">
        <is>
          <t>65ec6b7e70fc9b0001ae5a33</t>
        </is>
      </c>
      <c r="Q1964" t="inlineStr">
        <is>
          <t>🚫重复</t>
        </is>
      </c>
      <c r="R1964" t="inlineStr">
        <is>
          <t>15周</t>
        </is>
      </c>
      <c r="S1964" t="inlineStr">
        <is>
          <t>5.00</t>
        </is>
      </c>
      <c r="T1964" t="inlineStr">
        <is>
          <t>美食滋补</t>
        </is>
      </c>
      <c r="U1964" t="inlineStr">
        <is>
          <t>休闲零食</t>
        </is>
      </c>
      <c r="V1964" s="3">
        <v>46119.985972222225</v>
      </c>
      <c r="W1964" t="inlineStr">
        <is>
          <t>2026-Q2</t>
        </is>
      </c>
    </row>
    <row r="1965" ht="25.5" customHeight="1">
      <c r="A1965" t="inlineStr">
        <is>
          <t>蟹黄酱正宗纯蟹黄蟹肉·秃黄油手工熬制·拌面·即食</t>
        </is>
      </c>
      <c r="B1965" t="inlineStr">
        <is>
          <t>recvg7vyEbrzEJ.jpg</t>
        </is>
      </c>
      <c r="C1965" s="2" t="str">
        <f>=HYPERLINK("https://xhslink.com/m/CTYokTsBto", "https://xhslink.com/m/CTYokTsBto")</f>
        <v>https://xhslink.com/m/CTYokTsBto</v>
      </c>
      <c r="D1965"/>
      <c r="E1965">
        <v>45000</v>
      </c>
      <c r="F1965">
        <v>108</v>
      </c>
      <c r="G1965">
        <v>88</v>
      </c>
      <c r="H1965">
        <v>200</v>
      </c>
      <c r="I1965" t="inlineStr">
        <is>
          <t>蟹黄</t>
        </is>
      </c>
      <c r="J1965" t="inlineStr">
        <is>
          <t>0.00</t>
        </is>
      </c>
      <c r="K1965"/>
      <c r="L1965" t="inlineStr">
        <is>
          <t>魏建伟卖大闸蟹的店</t>
        </is>
      </c>
      <c r="M1965">
        <v>122000</v>
      </c>
      <c r="N1965">
        <v>4.77</v>
      </c>
      <c r="O1965">
        <v>233000</v>
      </c>
      <c r="P1965" t="inlineStr">
        <is>
          <t>68a5c2074e6ac7000125879a</t>
        </is>
      </c>
      <c r="Q1965" t="inlineStr">
        <is>
          <t>🚫重复</t>
        </is>
      </c>
      <c r="R1965" t="inlineStr">
        <is>
          <t>15周</t>
        </is>
      </c>
      <c r="S1965" t="inlineStr">
        <is>
          <t>0.37</t>
        </is>
      </c>
      <c r="T1965" t="inlineStr">
        <is>
          <t>美食滋补</t>
        </is>
      </c>
      <c r="U1965" t="inlineStr">
        <is>
          <t>生鲜特产</t>
        </is>
      </c>
      <c r="V1965" s="3">
        <v>46119.985972222225</v>
      </c>
      <c r="W1965" t="inlineStr">
        <is>
          <t>2026-Q2</t>
        </is>
      </c>
    </row>
    <row r="1966" ht="25.5" customHeight="1">
      <c r="A1966" t="inlineStr">
        <is>
          <t>【不近视款】复古大框户外骑行登山滑雪防风护目镜墨镜防晒太阳镜</t>
        </is>
      </c>
      <c r="B1966" t="inlineStr">
        <is>
          <t>recvg7vyEbvzwk.jpg</t>
        </is>
      </c>
      <c r="C1966" s="2" t="str">
        <f>=HYPERLINK("https://xhslink.com/m/16C8Q0sQ2vI", "https://xhslink.com/m/16C8Q0sQ2vI")</f>
        <v>https://xhslink.com/m/16C8Q0sQ2vI</v>
      </c>
      <c r="D1966"/>
      <c r="E1966">
        <v>29000</v>
      </c>
      <c r="F1966">
        <v>56.9</v>
      </c>
      <c r="G1966">
        <v>16.9</v>
      </c>
      <c r="H1966">
        <v>200</v>
      </c>
      <c r="I1966" t="inlineStr">
        <is>
          <t>包包装饰</t>
        </is>
      </c>
      <c r="J1966" t="inlineStr">
        <is>
          <t>0.01</t>
        </is>
      </c>
      <c r="K1966" t="inlineStr">
        <is>
          <t>🔥低粉爆款</t>
        </is>
      </c>
      <c r="L1966" t="inlineStr">
        <is>
          <t>小野女士眼镜的店</t>
        </is>
      </c>
      <c r="M1966">
        <v>6263</v>
      </c>
      <c r="N1966">
        <v>4.63</v>
      </c>
      <c r="O1966">
        <v>378000</v>
      </c>
      <c r="P1966" t="inlineStr">
        <is>
          <t>68c3f90dc33f6100013e8637</t>
        </is>
      </c>
      <c r="Q1966" t="inlineStr">
        <is>
          <t>🚫重复</t>
        </is>
      </c>
      <c r="R1966" t="inlineStr">
        <is>
          <t>15周</t>
        </is>
      </c>
      <c r="S1966" t="inlineStr">
        <is>
          <t>4.63</t>
        </is>
      </c>
      <c r="T1966" t="inlineStr">
        <is>
          <t>运动潮玩</t>
        </is>
      </c>
      <c r="U1966" t="inlineStr">
        <is>
          <t>运动户外装备</t>
        </is>
      </c>
      <c r="V1966" s="3">
        <v>46119.985972222225</v>
      </c>
      <c r="W1966" t="inlineStr">
        <is>
          <t>2026-Q2</t>
        </is>
      </c>
    </row>
    <row r="1967" ht="25.5" customHeight="1">
      <c r="A1967" t="inlineStr">
        <is>
          <t>骷髅小手｜亡灵腐核 哥特亚比挂件 配饰可拆 改耳饰/发夹备注即可</t>
        </is>
      </c>
      <c r="B1967" t="inlineStr">
        <is>
          <t>recvgd5oYIyS4A.jpg</t>
        </is>
      </c>
      <c r="C1967" s="2" t="str">
        <f>=HYPERLINK("https://xhslink.com/m/Ab6BiCvsjdT", "https://xhslink.com/m/Ab6BiCvsjdT")</f>
        <v>https://xhslink.com/m/Ab6BiCvsjdT</v>
      </c>
      <c r="D1967"/>
      <c r="E1967">
        <v>2586</v>
      </c>
      <c r="F1967">
        <v>33.8</v>
      </c>
      <c r="G1967">
        <v>19.8</v>
      </c>
      <c r="H1967">
        <v>200</v>
      </c>
      <c r="I1967" t="inlineStr">
        <is>
          <t>配饰</t>
        </is>
      </c>
      <c r="J1967" t="inlineStr">
        <is>
          <t>0.08</t>
        </is>
      </c>
      <c r="K1967"/>
      <c r="L1967" t="inlineStr">
        <is>
          <t>VORN的店</t>
        </is>
      </c>
      <c r="M1967">
        <v>2434</v>
      </c>
      <c r="N1967">
        <v>4.45</v>
      </c>
      <c r="O1967">
        <v>11000</v>
      </c>
      <c r="P1967" t="inlineStr">
        <is>
          <t>68f5cdcf7d3b3f0001500bfe</t>
        </is>
      </c>
      <c r="Q1967" t="inlineStr">
        <is>
          <t>🚫重复</t>
        </is>
      </c>
      <c r="R1967" t="inlineStr">
        <is>
          <t>15周</t>
        </is>
      </c>
      <c r="S1967" t="inlineStr">
        <is>
          <t>1.06</t>
        </is>
      </c>
      <c r="T1967" t="inlineStr">
        <is>
          <t>服饰穿搭</t>
        </is>
      </c>
      <c r="U1967" t="inlineStr">
        <is>
          <t>配饰</t>
        </is>
      </c>
      <c r="V1967" s="3">
        <v>46120.939930555556</v>
      </c>
      <c r="W1967" t="inlineStr">
        <is>
          <t>2026-Q2</t>
        </is>
      </c>
    </row>
    <row r="1968" ht="25.5" customHeight="1">
      <c r="A1968" t="inlineStr">
        <is>
          <t>U领95棉正肩收腰t恤修身夏季短袖女凉感</t>
        </is>
      </c>
      <c r="B1968" t="inlineStr">
        <is>
          <t>recvgd5oYIj0F1.jpg</t>
        </is>
      </c>
      <c r="C1968" s="2" t="str">
        <f>=HYPERLINK("https://xhslink.com/m/18AEXaM01KH", "https://xhslink.com/m/18AEXaM01KH")</f>
        <v>https://xhslink.com/m/18AEXaM01KH</v>
      </c>
      <c r="D1968"/>
      <c r="E1968">
        <v>10000</v>
      </c>
      <c r="F1968">
        <v>44.9</v>
      </c>
      <c r="G1968"/>
      <c r="H1968">
        <v>200</v>
      </c>
      <c r="I1968" t="inlineStr">
        <is>
          <t>T恤</t>
        </is>
      </c>
      <c r="J1968" t="inlineStr">
        <is>
          <t>0.02</t>
        </is>
      </c>
      <c r="K1968"/>
      <c r="L1968" t="inlineStr">
        <is>
          <t>今天背单词了吗的店</t>
        </is>
      </c>
      <c r="M1968">
        <v>54000</v>
      </c>
      <c r="N1968">
        <v>4.47</v>
      </c>
      <c r="O1968">
        <v>112000</v>
      </c>
      <c r="P1968" t="inlineStr">
        <is>
          <t>663d15c3392bd50001a1716f</t>
        </is>
      </c>
      <c r="Q1968" t="inlineStr">
        <is>
          <t>🚫重复</t>
        </is>
      </c>
      <c r="R1968" t="inlineStr">
        <is>
          <t>15周</t>
        </is>
      </c>
      <c r="S1968" t="inlineStr">
        <is>
          <t>0.19</t>
        </is>
      </c>
      <c r="T1968" t="inlineStr">
        <is>
          <t>服饰穿搭</t>
        </is>
      </c>
      <c r="U1968" t="inlineStr">
        <is>
          <t>女装</t>
        </is>
      </c>
      <c r="V1968" s="3">
        <v>46120.939930555556</v>
      </c>
      <c r="W1968" t="inlineStr">
        <is>
          <t>2026-Q2</t>
        </is>
      </c>
    </row>
    <row r="1969" ht="25.5" customHeight="1">
      <c r="A1969" t="inlineStr">
        <is>
          <t>夏季V领短袖T恤纯色慵懒宽松百搭休闲上衣 260G</t>
        </is>
      </c>
      <c r="B1969" t="inlineStr">
        <is>
          <t>recvgd5oYIzZZE.jpg</t>
        </is>
      </c>
      <c r="C1969" s="2" t="str">
        <f>=HYPERLINK("https://xhslink.com/m/7tkwFx0Z3tq", "https://xhslink.com/m/7tkwFx0Z3tq")</f>
        <v>https://xhslink.com/m/7tkwFx0Z3tq</v>
      </c>
      <c r="D1969"/>
      <c r="E1969">
        <v>136000</v>
      </c>
      <c r="F1969">
        <v>49.8</v>
      </c>
      <c r="G1969">
        <v>39.8</v>
      </c>
      <c r="H1969">
        <v>200</v>
      </c>
      <c r="I1969" t="inlineStr">
        <is>
          <t>T恤</t>
        </is>
      </c>
      <c r="J1969" t="inlineStr">
        <is>
          <t>0.00</t>
        </is>
      </c>
      <c r="K1969"/>
      <c r="L1969" t="inlineStr">
        <is>
          <t>1mo饼的店</t>
        </is>
      </c>
      <c r="M1969">
        <v>95000</v>
      </c>
      <c r="N1969">
        <v>4.68</v>
      </c>
      <c r="O1969">
        <v>468000</v>
      </c>
      <c r="P1969" t="inlineStr">
        <is>
          <t>67ca87c2bffe4d0001bd68a3</t>
        </is>
      </c>
      <c r="Q1969" t="inlineStr">
        <is>
          <t>🚫重复</t>
        </is>
      </c>
      <c r="R1969" t="inlineStr">
        <is>
          <t>15周</t>
        </is>
      </c>
      <c r="S1969" t="inlineStr">
        <is>
          <t>1.43</t>
        </is>
      </c>
      <c r="T1969" t="inlineStr">
        <is>
          <t>服饰穿搭</t>
        </is>
      </c>
      <c r="U1969" t="inlineStr">
        <is>
          <t>女装</t>
        </is>
      </c>
      <c r="V1969" s="3">
        <v>46120.939930555556</v>
      </c>
      <c r="W1969" t="inlineStr">
        <is>
          <t>2026-Q2</t>
        </is>
      </c>
    </row>
    <row r="1970" ht="25.5" customHeight="1">
      <c r="A1970" t="inlineStr">
        <is>
          <t>一只圆目 版型超好！松弛感大V领短袖t恤女慵懒休闲上衣250222</t>
        </is>
      </c>
      <c r="B1970" t="inlineStr">
        <is>
          <t>recvgd5oYIk4Yh.jpg</t>
        </is>
      </c>
      <c r="C1970" s="2" t="str">
        <f>=HYPERLINK("https://xhslink.com/m/3cXDuMKixum", "https://xhslink.com/m/3cXDuMKixum")</f>
        <v>https://xhslink.com/m/3cXDuMKixum</v>
      </c>
      <c r="D1970"/>
      <c r="E1970">
        <v>6892</v>
      </c>
      <c r="F1970">
        <v>59</v>
      </c>
      <c r="G1970"/>
      <c r="H1970">
        <v>200</v>
      </c>
      <c r="I1970" t="inlineStr">
        <is>
          <t>T恤</t>
        </is>
      </c>
      <c r="J1970" t="inlineStr">
        <is>
          <t>0.03</t>
        </is>
      </c>
      <c r="K1970"/>
      <c r="L1970" t="inlineStr">
        <is>
          <t>一只圆目的店</t>
        </is>
      </c>
      <c r="M1970">
        <v>31000</v>
      </c>
      <c r="N1970">
        <v>4.59</v>
      </c>
      <c r="O1970">
        <v>232000</v>
      </c>
      <c r="P1970" t="inlineStr">
        <is>
          <t>6800d5de7107a800010cf384</t>
        </is>
      </c>
      <c r="Q1970" t="inlineStr">
        <is>
          <t>🚫重复</t>
        </is>
      </c>
      <c r="R1970" t="inlineStr">
        <is>
          <t>15周</t>
        </is>
      </c>
      <c r="S1970" t="inlineStr">
        <is>
          <t>0.22</t>
        </is>
      </c>
      <c r="T1970" t="inlineStr">
        <is>
          <t>服饰穿搭</t>
        </is>
      </c>
      <c r="U1970" t="inlineStr">
        <is>
          <t>女装</t>
        </is>
      </c>
      <c r="V1970" s="3">
        <v>46120.939930555556</v>
      </c>
      <c r="W1970" t="inlineStr">
        <is>
          <t>2026-Q2</t>
        </is>
      </c>
    </row>
    <row r="1971" ht="25.5" customHeight="1">
      <c r="A1971" t="inlineStr">
        <is>
          <t>加长款！云朵感！正肩短袖显瘦大领口百搭纯色T恤</t>
        </is>
      </c>
      <c r="B1971" t="inlineStr">
        <is>
          <t>recvgd5oYIQIlx.jpg</t>
        </is>
      </c>
      <c r="C1971" s="2" t="str">
        <f>=HYPERLINK("https://xhslink.com/m/5yo6nj3PdzO", "https://xhslink.com/m/5yo6nj3PdzO")</f>
        <v>https://xhslink.com/m/5yo6nj3PdzO</v>
      </c>
      <c r="D1971"/>
      <c r="E1971">
        <v>3871</v>
      </c>
      <c r="F1971">
        <v>43.8</v>
      </c>
      <c r="G1971"/>
      <c r="H1971">
        <v>200</v>
      </c>
      <c r="I1971" t="inlineStr">
        <is>
          <t>T恤</t>
        </is>
      </c>
      <c r="J1971" t="inlineStr">
        <is>
          <t>0.05</t>
        </is>
      </c>
      <c r="K1971"/>
      <c r="L1971" t="inlineStr">
        <is>
          <t>ootxjsh的店</t>
        </is>
      </c>
      <c r="M1971">
        <v>7704</v>
      </c>
      <c r="N1971">
        <v>4.58</v>
      </c>
      <c r="O1971">
        <v>45000</v>
      </c>
      <c r="P1971" t="inlineStr">
        <is>
          <t>680b965db5ecfc0001718166</t>
        </is>
      </c>
      <c r="Q1971" t="inlineStr">
        <is>
          <t>🚫重复</t>
        </is>
      </c>
      <c r="R1971" t="inlineStr">
        <is>
          <t>15周</t>
        </is>
      </c>
      <c r="S1971" t="inlineStr">
        <is>
          <t>0.50</t>
        </is>
      </c>
      <c r="T1971" t="inlineStr">
        <is>
          <t>服饰穿搭</t>
        </is>
      </c>
      <c r="U1971" t="inlineStr">
        <is>
          <t>女装</t>
        </is>
      </c>
      <c r="V1971" s="3">
        <v>46120.939930555556</v>
      </c>
      <c r="W1971" t="inlineStr">
        <is>
          <t>2026-Q2</t>
        </is>
      </c>
    </row>
    <row r="1972" ht="25.5" customHeight="1">
      <c r="A1972" t="inlineStr">
        <is>
          <t>美式重磅纯棉短袖t恤女夏季新款宽松卡通ins国潮牌小众半袖上衣</t>
        </is>
      </c>
      <c r="B1972" t="inlineStr">
        <is>
          <t>recvgd5oYIBipz.jpg</t>
        </is>
      </c>
      <c r="C1972" s="2" t="str">
        <f>=HYPERLINK("https://xhslink.com/m/38BkZObT6Xa", "https://xhslink.com/m/38BkZObT6Xa")</f>
        <v>https://xhslink.com/m/38BkZObT6Xa</v>
      </c>
      <c r="D1972"/>
      <c r="E1972">
        <v>5074</v>
      </c>
      <c r="F1972">
        <v>30.8</v>
      </c>
      <c r="G1972">
        <v>28.8</v>
      </c>
      <c r="H1972">
        <v>200</v>
      </c>
      <c r="I1972" t="inlineStr">
        <is>
          <t>T恤</t>
        </is>
      </c>
      <c r="J1972" t="inlineStr">
        <is>
          <t>0.04</t>
        </is>
      </c>
      <c r="K1972"/>
      <c r="L1972" t="inlineStr">
        <is>
          <t>XIAO詹原创工作室的店</t>
        </is>
      </c>
      <c r="M1972">
        <v>530000</v>
      </c>
      <c r="N1972">
        <v>4.57</v>
      </c>
      <c r="O1972">
        <v>1841000</v>
      </c>
      <c r="P1972" t="inlineStr">
        <is>
          <t>67c852d297592600010d93f3</t>
        </is>
      </c>
      <c r="Q1972" t="inlineStr">
        <is>
          <t>🚫重复</t>
        </is>
      </c>
      <c r="R1972" t="inlineStr">
        <is>
          <t>15周</t>
        </is>
      </c>
      <c r="S1972" t="inlineStr">
        <is>
          <t>0.01</t>
        </is>
      </c>
      <c r="T1972" t="inlineStr">
        <is>
          <t>服饰穿搭</t>
        </is>
      </c>
      <c r="U1972" t="inlineStr">
        <is>
          <t>女装</t>
        </is>
      </c>
      <c r="V1972" s="3">
        <v>46120.939930555556</v>
      </c>
      <c r="W1972" t="inlineStr">
        <is>
          <t>2026-Q2</t>
        </is>
      </c>
    </row>
    <row r="1973" ht="25.5" customHeight="1">
      <c r="A1973" t="inlineStr">
        <is>
          <t>withtong-六色基础V领修身小飞袖T恤上衣</t>
        </is>
      </c>
      <c r="B1973" t="inlineStr">
        <is>
          <t>recvgd5oYIC1VI.jpg</t>
        </is>
      </c>
      <c r="C1973" s="2" t="str">
        <f>=HYPERLINK("https://xhslink.com/m/4qN47Al57xM", "https://xhslink.com/m/4qN47Al57xM")</f>
        <v>https://xhslink.com/m/4qN47Al57xM</v>
      </c>
      <c r="D1973"/>
      <c r="E1973">
        <v>1925</v>
      </c>
      <c r="F1973">
        <v>109</v>
      </c>
      <c r="G1973">
        <v>59</v>
      </c>
      <c r="H1973">
        <v>200</v>
      </c>
      <c r="I1973" t="inlineStr">
        <is>
          <t>T恤</t>
        </is>
      </c>
      <c r="J1973" t="inlineStr">
        <is>
          <t>0.10</t>
        </is>
      </c>
      <c r="K1973"/>
      <c r="L1973" t="inlineStr">
        <is>
          <t>withtong_的店</t>
        </is>
      </c>
      <c r="M1973">
        <v>19000</v>
      </c>
      <c r="N1973">
        <v>4.51</v>
      </c>
      <c r="O1973">
        <v>118000</v>
      </c>
      <c r="P1973" t="inlineStr">
        <is>
          <t>69a593e01c93e600013685a0</t>
        </is>
      </c>
      <c r="Q1973" t="inlineStr">
        <is>
          <t>🚫重复</t>
        </is>
      </c>
      <c r="R1973" t="inlineStr">
        <is>
          <t>15周</t>
        </is>
      </c>
      <c r="S1973" t="inlineStr">
        <is>
          <t>0.10</t>
        </is>
      </c>
      <c r="T1973" t="inlineStr">
        <is>
          <t>服饰穿搭</t>
        </is>
      </c>
      <c r="U1973" t="inlineStr">
        <is>
          <t>女装</t>
        </is>
      </c>
      <c r="V1973" s="3">
        <v>46120.939930555556</v>
      </c>
      <c r="W1973" t="inlineStr">
        <is>
          <t>2026-Q2</t>
        </is>
      </c>
    </row>
    <row r="1974" ht="25.5" customHeight="1">
      <c r="A1974" t="inlineStr">
        <is>
          <t>她奢 · 券后二十块！高性价比 230g40S棉混纺 收腰抽褶巨显瘦正肩短袖T恤</t>
        </is>
      </c>
      <c r="B1974" t="inlineStr">
        <is>
          <t>recvgd5oYIWfvw.jpg</t>
        </is>
      </c>
      <c r="C1974" s="2" t="str">
        <f>=HYPERLINK("https://xhslink.com/m/3yeL1Sy9eYc", "https://xhslink.com/m/3yeL1Sy9eYc")</f>
        <v>https://xhslink.com/m/3yeL1Sy9eYc</v>
      </c>
      <c r="D1974"/>
      <c r="E1974">
        <v>2539</v>
      </c>
      <c r="F1974">
        <v>20</v>
      </c>
      <c r="G1974"/>
      <c r="H1974">
        <v>200</v>
      </c>
      <c r="I1974" t="inlineStr">
        <is>
          <t>T恤</t>
        </is>
      </c>
      <c r="J1974" t="inlineStr">
        <is>
          <t>0.08</t>
        </is>
      </c>
      <c r="K1974"/>
      <c r="L1974" t="inlineStr">
        <is>
          <t>她奢的店</t>
        </is>
      </c>
      <c r="M1974">
        <v>532000</v>
      </c>
      <c r="N1974">
        <v>4.55</v>
      </c>
      <c r="O1974">
        <v>4369000</v>
      </c>
      <c r="P1974" t="inlineStr">
        <is>
          <t>69c8df69c675dc0001ea5b93</t>
        </is>
      </c>
      <c r="Q1974" t="inlineStr">
        <is>
          <t>🚫重复</t>
        </is>
      </c>
      <c r="R1974" t="inlineStr">
        <is>
          <t>15周</t>
        </is>
      </c>
      <c r="S1974" t="inlineStr">
        <is>
          <t>0.00</t>
        </is>
      </c>
      <c r="T1974" t="inlineStr">
        <is>
          <t>服饰穿搭</t>
        </is>
      </c>
      <c r="U1974" t="inlineStr">
        <is>
          <t>女装</t>
        </is>
      </c>
      <c r="V1974" s="3">
        <v>46120.939930555556</v>
      </c>
      <c r="W1974" t="inlineStr">
        <is>
          <t>2026-Q2</t>
        </is>
      </c>
    </row>
    <row r="1975" ht="25.5" customHeight="1">
      <c r="A1975" t="inlineStr">
        <is>
          <t>夏季运动速干短袖明线字母印花休闲T恤上衣男女款防紫外线UPF50+</t>
        </is>
      </c>
      <c r="B1975" t="inlineStr">
        <is>
          <t>recvgd5oYIqx9R.jpg</t>
        </is>
      </c>
      <c r="C1975" s="2" t="str">
        <f>=HYPERLINK("https://xhslink.com/m/5JOD4ezqcff", "https://xhslink.com/m/5JOD4ezqcff")</f>
        <v>https://xhslink.com/m/5JOD4ezqcff</v>
      </c>
      <c r="D1975"/>
      <c r="E1975">
        <v>3178</v>
      </c>
      <c r="F1975">
        <v>89</v>
      </c>
      <c r="G1975">
        <v>49</v>
      </c>
      <c r="H1975">
        <v>200</v>
      </c>
      <c r="I1975" t="inlineStr">
        <is>
          <t>T恤</t>
        </is>
      </c>
      <c r="J1975" t="inlineStr">
        <is>
          <t>0.06</t>
        </is>
      </c>
      <c r="K1975"/>
      <c r="L1975" t="inlineStr">
        <is>
          <t>小仓姐的店</t>
        </is>
      </c>
      <c r="M1975">
        <v>18000</v>
      </c>
      <c r="N1975">
        <v>4.52</v>
      </c>
      <c r="O1975">
        <v>68000</v>
      </c>
      <c r="P1975" t="inlineStr">
        <is>
          <t>681a23c43366f100019d3b6b</t>
        </is>
      </c>
      <c r="Q1975" t="inlineStr">
        <is>
          <t>🚫重复</t>
        </is>
      </c>
      <c r="R1975" t="inlineStr">
        <is>
          <t>15周</t>
        </is>
      </c>
      <c r="S1975" t="inlineStr">
        <is>
          <t>0.18</t>
        </is>
      </c>
      <c r="T1975" t="inlineStr">
        <is>
          <t>服饰穿搭</t>
        </is>
      </c>
      <c r="U1975" t="inlineStr">
        <is>
          <t>女装</t>
        </is>
      </c>
      <c r="V1975" s="3">
        <v>46120.939930555556</v>
      </c>
      <c r="W1975" t="inlineStr">
        <is>
          <t>2026-Q2</t>
        </is>
      </c>
    </row>
    <row r="1976" ht="25.5" customHeight="1">
      <c r="A1976" t="inlineStr">
        <is>
          <t>法式复古简约现代白色陶瓷花瓶客厅餐桌装饰瓶干花插花容器</t>
        </is>
      </c>
      <c r="B1976" t="inlineStr">
        <is>
          <t>recvgd5oYI6hrv.jpg</t>
        </is>
      </c>
      <c r="C1976" s="2" t="str">
        <f>=HYPERLINK("https://xhslink.com/m/3YxJaARh6Fk", "https://xhslink.com/m/3YxJaARh6Fk")</f>
        <v>https://xhslink.com/m/3YxJaARh6Fk</v>
      </c>
      <c r="D1976"/>
      <c r="E1976">
        <v>7396</v>
      </c>
      <c r="F1976">
        <v>42</v>
      </c>
      <c r="G1976">
        <v>22</v>
      </c>
      <c r="H1976">
        <v>200</v>
      </c>
      <c r="I1976" t="inlineStr">
        <is>
          <t>家居用品</t>
        </is>
      </c>
      <c r="J1976" t="inlineStr">
        <is>
          <t>0.03</t>
        </is>
      </c>
      <c r="K1976" t="inlineStr">
        <is>
          <t>🔥低粉爆款</t>
        </is>
      </c>
      <c r="L1976" t="inlineStr">
        <is>
          <t>FORA HOME的店</t>
        </is>
      </c>
      <c r="M1976">
        <v>481</v>
      </c>
      <c r="N1976">
        <v>4.36</v>
      </c>
      <c r="O1976">
        <v>9037</v>
      </c>
      <c r="P1976" t="inlineStr">
        <is>
          <t>692f2a0101312b0001b75869</t>
        </is>
      </c>
      <c r="Q1976" t="inlineStr">
        <is>
          <t>🚫重复</t>
        </is>
      </c>
      <c r="R1976" t="inlineStr">
        <is>
          <t>15周</t>
        </is>
      </c>
      <c r="S1976" t="inlineStr">
        <is>
          <t>15.38</t>
        </is>
      </c>
      <c r="T1976" t="inlineStr">
        <is>
          <t>家居生活</t>
        </is>
      </c>
      <c r="U1976" t="inlineStr">
        <is>
          <t>家具家装</t>
        </is>
      </c>
      <c r="V1976" s="3">
        <v>46120.939930555556</v>
      </c>
      <c r="W1976" t="inlineStr">
        <is>
          <t>2026-Q2</t>
        </is>
      </c>
    </row>
    <row r="1977" ht="25.5" customHeight="1">
      <c r="A1977" t="inlineStr">
        <is>
          <t>孕之优品 · 孕妇牛仔裤2026新款小个子九分直筒无托腹孕妇裤春夏款外穿</t>
        </is>
      </c>
      <c r="B1977" t="inlineStr">
        <is>
          <t>recvgd5oYI06l6.jpg</t>
        </is>
      </c>
      <c r="C1977" s="2" t="str">
        <f>=HYPERLINK("https://xhslink.com/m/9veK5bs3Rzo", "https://xhslink.com/m/9veK5bs3Rzo")</f>
        <v>https://xhslink.com/m/9veK5bs3Rzo</v>
      </c>
      <c r="D1977"/>
      <c r="E1977">
        <v>743</v>
      </c>
      <c r="F1977">
        <v>159</v>
      </c>
      <c r="G1977">
        <v>149</v>
      </c>
      <c r="H1977">
        <v>200</v>
      </c>
      <c r="I1977" t="inlineStr">
        <is>
          <t>孕妇上衣</t>
        </is>
      </c>
      <c r="J1977" t="inlineStr">
        <is>
          <t>0.27</t>
        </is>
      </c>
      <c r="K1977"/>
      <c r="L1977" t="inlineStr">
        <is>
          <t>孕之优品旗舰店</t>
        </is>
      </c>
      <c r="M1977">
        <v>12000</v>
      </c>
      <c r="N1977">
        <v>4.55</v>
      </c>
      <c r="O1977">
        <v>44000</v>
      </c>
      <c r="P1977" t="inlineStr">
        <is>
          <t>69ce3ac4fcd43f0001177109</t>
        </is>
      </c>
      <c r="Q1977" t="inlineStr">
        <is>
          <t>🚫重复</t>
        </is>
      </c>
      <c r="R1977" t="inlineStr">
        <is>
          <t>15周</t>
        </is>
      </c>
      <c r="S1977" t="inlineStr">
        <is>
          <t>0.06</t>
        </is>
      </c>
      <c r="T1977" t="inlineStr">
        <is>
          <t>服饰穿搭</t>
        </is>
      </c>
      <c r="U1977" t="inlineStr">
        <is>
          <t>女装</t>
        </is>
      </c>
      <c r="V1977" s="3">
        <v>46120.939930555556</v>
      </c>
      <c r="W1977" t="inlineStr">
        <is>
          <t>2026-Q2</t>
        </is>
      </c>
    </row>
    <row r="1978" ht="25.5" customHeight="1">
      <c r="A1978" t="inlineStr">
        <is>
          <t>kocotree · KK树儿童防晒衣长袖宝宝防晒t恤男童女孩防紫外线速干凉感上衣</t>
        </is>
      </c>
      <c r="B1978" t="inlineStr">
        <is>
          <t>recvgd5oYIjDpx.jpg</t>
        </is>
      </c>
      <c r="C1978" s="2" t="str">
        <f>=HYPERLINK("https://xhslink.com/m/2yk2emfKVrt", "https://xhslink.com/m/2yk2emfKVrt")</f>
        <v>https://xhslink.com/m/2yk2emfKVrt</v>
      </c>
      <c r="D1978"/>
      <c r="E1978">
        <v>856</v>
      </c>
      <c r="F1978">
        <v>59.9</v>
      </c>
      <c r="G1978">
        <v>49.9</v>
      </c>
      <c r="H1978">
        <v>200</v>
      </c>
      <c r="I1978" t="inlineStr">
        <is>
          <t>儿童衣服</t>
        </is>
      </c>
      <c r="J1978" t="inlineStr">
        <is>
          <t>0.23</t>
        </is>
      </c>
      <c r="K1978"/>
      <c r="L1978" t="inlineStr">
        <is>
          <t>kocotree的店</t>
        </is>
      </c>
      <c r="M1978">
        <v>786</v>
      </c>
      <c r="N1978">
        <v>4.7</v>
      </c>
      <c r="O1978">
        <v>6365</v>
      </c>
      <c r="P1978" t="inlineStr">
        <is>
          <t>69b56b1a9799e500155c66fe</t>
        </is>
      </c>
      <c r="Q1978" t="inlineStr">
        <is>
          <t>🚫重复</t>
        </is>
      </c>
      <c r="R1978" t="inlineStr">
        <is>
          <t>15周</t>
        </is>
      </c>
      <c r="S1978" t="inlineStr">
        <is>
          <t>1.09</t>
        </is>
      </c>
      <c r="T1978" t="inlineStr">
        <is>
          <t>母婴亲子</t>
        </is>
      </c>
      <c r="U1978" t="inlineStr">
        <is>
          <t>童装童鞋</t>
        </is>
      </c>
      <c r="V1978" s="3">
        <v>46120.939930555556</v>
      </c>
      <c r="W1978" t="inlineStr">
        <is>
          <t>2026-Q2</t>
        </is>
      </c>
    </row>
    <row r="1979" ht="25.5" customHeight="1">
      <c r="A1979" t="inlineStr">
        <is>
          <t>kocotree · KK树儿童速干衣短袖男童女孩夏季T恤透气宝宝吸湿排汗上衣亲子款</t>
        </is>
      </c>
      <c r="B1979" t="inlineStr">
        <is>
          <t>recvgd5oYIA2uB.jpg</t>
        </is>
      </c>
      <c r="C1979" s="2" t="str">
        <f>=HYPERLINK("https://xhslink.com/m/Am3rS7oXyae", "https://xhslink.com/m/Am3rS7oXyae")</f>
        <v>https://xhslink.com/m/Am3rS7oXyae</v>
      </c>
      <c r="D1979"/>
      <c r="E1979">
        <v>490</v>
      </c>
      <c r="F1979">
        <v>49.9</v>
      </c>
      <c r="G1979">
        <v>39.9</v>
      </c>
      <c r="H1979">
        <v>200</v>
      </c>
      <c r="I1979" t="inlineStr">
        <is>
          <t>儿童衣服</t>
        </is>
      </c>
      <c r="J1979" t="inlineStr">
        <is>
          <t>0.41</t>
        </is>
      </c>
      <c r="K1979"/>
      <c r="L1979" t="inlineStr">
        <is>
          <t>kocotree的店</t>
        </is>
      </c>
      <c r="M1979">
        <v>786</v>
      </c>
      <c r="N1979">
        <v>4.7</v>
      </c>
      <c r="O1979">
        <v>6365</v>
      </c>
      <c r="P1979" t="inlineStr">
        <is>
          <t>69b28c9316b37a0015d8f72e</t>
        </is>
      </c>
      <c r="Q1979" t="inlineStr">
        <is>
          <t>🚫重复</t>
        </is>
      </c>
      <c r="R1979" t="inlineStr">
        <is>
          <t>15周</t>
        </is>
      </c>
      <c r="S1979" t="inlineStr">
        <is>
          <t>0.62</t>
        </is>
      </c>
      <c r="T1979" t="inlineStr">
        <is>
          <t>母婴亲子</t>
        </is>
      </c>
      <c r="U1979" t="inlineStr">
        <is>
          <t>童装童鞋</t>
        </is>
      </c>
      <c r="V1979" s="3">
        <v>46120.939930555556</v>
      </c>
      <c r="W1979" t="inlineStr">
        <is>
          <t>2026-Q2</t>
        </is>
      </c>
    </row>
    <row r="1980" ht="25.5" customHeight="1">
      <c r="A1980" t="inlineStr">
        <is>
          <t>FlyO · 飞哦儿童户外纯物理防晒霜</t>
        </is>
      </c>
      <c r="B1980" t="inlineStr">
        <is>
          <t>recvgd5oYIbYdT.jpg</t>
        </is>
      </c>
      <c r="C1980" s="2" t="str">
        <f>=HYPERLINK("https://xhslink.com/m/7JFkkKoy29G", "https://xhslink.com/m/7JFkkKoy29G")</f>
        <v>https://xhslink.com/m/7JFkkKoy29G</v>
      </c>
      <c r="D1980"/>
      <c r="E1980">
        <v>15000</v>
      </c>
      <c r="F1980">
        <v>219</v>
      </c>
      <c r="G1980">
        <v>169</v>
      </c>
      <c r="H1980">
        <v>200</v>
      </c>
      <c r="I1980" t="inlineStr">
        <is>
          <t>儿童洗护</t>
        </is>
      </c>
      <c r="J1980" t="inlineStr">
        <is>
          <t>0.01</t>
        </is>
      </c>
      <c r="K1980"/>
      <c r="L1980" t="inlineStr">
        <is>
          <t>FlyO Kidz 飞哦儿童旗舰店</t>
        </is>
      </c>
      <c r="M1980">
        <v>19000</v>
      </c>
      <c r="N1980">
        <v>4.75</v>
      </c>
      <c r="O1980">
        <v>233000</v>
      </c>
      <c r="P1980" t="inlineStr">
        <is>
          <t>6790d2565ed7270001136466</t>
        </is>
      </c>
      <c r="Q1980" t="inlineStr">
        <is>
          <t>🚫重复</t>
        </is>
      </c>
      <c r="R1980" t="inlineStr">
        <is>
          <t>15周</t>
        </is>
      </c>
      <c r="S1980" t="inlineStr">
        <is>
          <t>0.79</t>
        </is>
      </c>
      <c r="T1980" t="inlineStr">
        <is>
          <t>美妆个护</t>
        </is>
      </c>
      <c r="U1980" t="inlineStr">
        <is>
          <t>护肤彩妆</t>
        </is>
      </c>
      <c r="V1980" s="3">
        <v>46120.939930555556</v>
      </c>
      <c r="W1980" t="inlineStr">
        <is>
          <t>2026-Q2</t>
        </is>
      </c>
    </row>
    <row r="1981" ht="25.5" customHeight="1">
      <c r="A1981" t="inlineStr">
        <is>
          <t>豆爸手作欧包 纯手工健康无添加 私房匠心手工面包 每天现做现发</t>
        </is>
      </c>
      <c r="B1981" t="inlineStr">
        <is>
          <t>recvgd5oYIMkql.jpg</t>
        </is>
      </c>
      <c r="C1981" s="2" t="str">
        <f>=HYPERLINK("https://xhslink.com/m/1EAjwr8DRse", "https://xhslink.com/m/1EAjwr8DRse")</f>
        <v>https://xhslink.com/m/1EAjwr8DRse</v>
      </c>
      <c r="D1981"/>
      <c r="E1981">
        <v>88000</v>
      </c>
      <c r="F1981">
        <v>25</v>
      </c>
      <c r="G1981">
        <v>13.6</v>
      </c>
      <c r="H1981">
        <v>200</v>
      </c>
      <c r="I1981" t="inlineStr">
        <is>
          <t>面包</t>
        </is>
      </c>
      <c r="J1981" t="inlineStr">
        <is>
          <t>0.00</t>
        </is>
      </c>
      <c r="K1981" t="inlineStr">
        <is>
          <t>🔥低粉爆款</t>
        </is>
      </c>
      <c r="L1981" t="inlineStr">
        <is>
          <t>豆爸新鲜手作面包的店</t>
        </is>
      </c>
      <c r="M1981">
        <v>21000</v>
      </c>
      <c r="N1981">
        <v>4.72</v>
      </c>
      <c r="O1981">
        <v>161000</v>
      </c>
      <c r="P1981" t="inlineStr">
        <is>
          <t>6986c49578d8d500013bca70</t>
        </is>
      </c>
      <c r="Q1981" t="inlineStr">
        <is>
          <t>🚫重复</t>
        </is>
      </c>
      <c r="R1981" t="inlineStr">
        <is>
          <t>15周</t>
        </is>
      </c>
      <c r="S1981" t="inlineStr">
        <is>
          <t>4.19</t>
        </is>
      </c>
      <c r="T1981" t="inlineStr">
        <is>
          <t>美食滋补</t>
        </is>
      </c>
      <c r="U1981" t="inlineStr">
        <is>
          <t>休闲零食</t>
        </is>
      </c>
      <c r="V1981" s="3">
        <v>46120.939930555556</v>
      </c>
      <c r="W1981" t="inlineStr">
        <is>
          <t>2026-Q2</t>
        </is>
      </c>
    </row>
    <row r="1982" ht="25.5" customHeight="1">
      <c r="A1982" t="inlineStr">
        <is>
          <t>【奶呼呼高颜值】S20手机支架全金属桌面旋转学习追剧便携懒人支</t>
        </is>
      </c>
      <c r="B1982" t="inlineStr">
        <is>
          <t>recvgd5oYIdAcu.jpg</t>
        </is>
      </c>
      <c r="C1982" s="2" t="str">
        <f>=HYPERLINK("https://xhslink.com/m/7pjTF8XsDrw", "https://xhslink.com/m/7pjTF8XsDrw")</f>
        <v>https://xhslink.com/m/7pjTF8XsDrw</v>
      </c>
      <c r="D1982"/>
      <c r="E1982">
        <v>82000</v>
      </c>
      <c r="F1982">
        <v>20.5</v>
      </c>
      <c r="G1982">
        <v>12.88</v>
      </c>
      <c r="H1982">
        <v>200</v>
      </c>
      <c r="I1982" t="inlineStr">
        <is>
          <t>数码</t>
        </is>
      </c>
      <c r="J1982" t="inlineStr">
        <is>
          <t>0.00</t>
        </is>
      </c>
      <c r="K1982" t="inlineStr">
        <is>
          <t>🔥低粉爆款</t>
        </is>
      </c>
      <c r="L1982" t="inlineStr">
        <is>
          <t>Century&amp;AI ｜生产力的店</t>
        </is>
      </c>
      <c r="M1982">
        <v>7315</v>
      </c>
      <c r="N1982">
        <v>4.63</v>
      </c>
      <c r="O1982">
        <v>131000</v>
      </c>
      <c r="P1982" t="inlineStr">
        <is>
          <t>67a81d1f7e87ac0001c32106</t>
        </is>
      </c>
      <c r="Q1982" t="inlineStr">
        <is>
          <t>🚫重复</t>
        </is>
      </c>
      <c r="R1982" t="inlineStr">
        <is>
          <t>15周</t>
        </is>
      </c>
      <c r="S1982" t="inlineStr">
        <is>
          <t>11.21</t>
        </is>
      </c>
      <c r="T1982" t="inlineStr">
        <is>
          <t>数码家电</t>
        </is>
      </c>
      <c r="U1982" t="inlineStr">
        <is>
          <t>数码配件</t>
        </is>
      </c>
      <c r="V1982" s="3">
        <v>46120.939930555556</v>
      </c>
      <c r="W1982" t="inlineStr">
        <is>
          <t>2026-Q2</t>
        </is>
      </c>
    </row>
    <row r="1983" ht="25.5" customHeight="1">
      <c r="A1983" t="inlineStr">
        <is>
          <t>轻便尼龙百搭休闲双肩包韩版学生书包紫色旅行包14寸电脑背包</t>
        </is>
      </c>
      <c r="B1983" t="inlineStr">
        <is>
          <t>recvgd5oYIktKo.jpg</t>
        </is>
      </c>
      <c r="C1983" s="2" t="str">
        <f>=HYPERLINK("https://xhslink.com/m/8LT0cJRHNED", "https://xhslink.com/m/8LT0cJRHNED")</f>
        <v>https://xhslink.com/m/8LT0cJRHNED</v>
      </c>
      <c r="D1983"/>
      <c r="E1983">
        <v>986</v>
      </c>
      <c r="F1983">
        <v>89</v>
      </c>
      <c r="G1983">
        <v>69</v>
      </c>
      <c r="H1983">
        <v>200</v>
      </c>
      <c r="I1983" t="inlineStr">
        <is>
          <t>户外双肩包</t>
        </is>
      </c>
      <c r="J1983" t="inlineStr">
        <is>
          <t>0.20</t>
        </is>
      </c>
      <c r="K1983"/>
      <c r="L1983" t="inlineStr">
        <is>
          <t>元气能量包的店</t>
        </is>
      </c>
      <c r="M1983">
        <v>462</v>
      </c>
      <c r="N1983">
        <v>4.5</v>
      </c>
      <c r="O1983">
        <v>2052</v>
      </c>
      <c r="P1983" t="inlineStr">
        <is>
          <t>692d2cad956243000188db90</t>
        </is>
      </c>
      <c r="Q1983" t="inlineStr">
        <is>
          <t>🚫重复</t>
        </is>
      </c>
      <c r="R1983" t="inlineStr">
        <is>
          <t>15周</t>
        </is>
      </c>
      <c r="S1983" t="inlineStr">
        <is>
          <t>2.13</t>
        </is>
      </c>
      <c r="T1983" t="inlineStr">
        <is>
          <t>服饰穿搭</t>
        </is>
      </c>
      <c r="U1983" t="inlineStr">
        <is>
          <t>鞋靴箱包</t>
        </is>
      </c>
      <c r="V1983" s="3">
        <v>46120.939930555556</v>
      </c>
      <c r="W1983" t="inlineStr">
        <is>
          <t>2026-Q2</t>
        </is>
      </c>
    </row>
    <row r="1984" ht="25.5" customHeight="1">
      <c r="A1984" t="inlineStr">
        <is>
          <t>正宗广东竹升面家庭装港式云吞面广州银丝面湿面</t>
        </is>
      </c>
      <c r="B1984" t="inlineStr">
        <is>
          <t>recvgd5oYIK7tH.jpg</t>
        </is>
      </c>
      <c r="C1984" s="2" t="str">
        <f>=HYPERLINK("https://xhslink.com/m/7WN7oR6eMFx", "https://xhslink.com/m/7WN7oR6eMFx")</f>
        <v>https://xhslink.com/m/7WN7oR6eMFx</v>
      </c>
      <c r="D1984"/>
      <c r="E1984">
        <v>28000</v>
      </c>
      <c r="F1984">
        <v>29.9</v>
      </c>
      <c r="G1984"/>
      <c r="H1984">
        <v>200</v>
      </c>
      <c r="I1984" t="inlineStr">
        <is>
          <t>面条</t>
        </is>
      </c>
      <c r="J1984" t="inlineStr">
        <is>
          <t>0.01</t>
        </is>
      </c>
      <c r="K1984" t="inlineStr">
        <is>
          <t>🔥低粉爆款</t>
        </is>
      </c>
      <c r="L1984" t="inlineStr">
        <is>
          <t>果味森林-的店的店</t>
        </is>
      </c>
      <c r="M1984">
        <v>81</v>
      </c>
      <c r="N1984">
        <v>4.42</v>
      </c>
      <c r="O1984">
        <v>41000</v>
      </c>
      <c r="P1984" t="inlineStr">
        <is>
          <t>697813e19799e500153f4ad3</t>
        </is>
      </c>
      <c r="Q1984"/>
      <c r="R1984" t="inlineStr">
        <is>
          <t>15周</t>
        </is>
      </c>
      <c r="S1984" t="inlineStr">
        <is>
          <t>345.68</t>
        </is>
      </c>
      <c r="T1984" t="inlineStr">
        <is>
          <t>美食滋补</t>
        </is>
      </c>
      <c r="U1984" t="inlineStr">
        <is>
          <t>休闲零食</t>
        </is>
      </c>
      <c r="V1984" s="3">
        <v>46120.939930555556</v>
      </c>
      <c r="W1984" t="inlineStr">
        <is>
          <t>2026-Q2</t>
        </is>
      </c>
    </row>
    <row r="1985" ht="25.5" customHeight="1">
      <c r="A1985" t="inlineStr">
        <is>
          <t>林间盏 · 铁棍山药雪花片丨纯山药早餐【小土罐】 100克小罐装丨温县垆土</t>
        </is>
      </c>
      <c r="B1985" t="inlineStr">
        <is>
          <t>recvgd5oYIs3mF.jpg</t>
        </is>
      </c>
      <c r="C1985" s="2" t="str">
        <f>=HYPERLINK("https://xhslink.com/m/2dhVZPU1MEd", "https://xhslink.com/m/2dhVZPU1MEd")</f>
        <v>https://xhslink.com/m/2dhVZPU1MEd</v>
      </c>
      <c r="D1985"/>
      <c r="E1985">
        <v>36000</v>
      </c>
      <c r="F1985">
        <v>59</v>
      </c>
      <c r="G1985">
        <v>51.92</v>
      </c>
      <c r="H1985">
        <v>200</v>
      </c>
      <c r="I1985" t="inlineStr">
        <is>
          <t>健康早餐</t>
        </is>
      </c>
      <c r="J1985" t="inlineStr">
        <is>
          <t>0.01</t>
        </is>
      </c>
      <c r="K1985"/>
      <c r="L1985" t="inlineStr">
        <is>
          <t>林间盏旗舰店</t>
        </is>
      </c>
      <c r="M1985">
        <v>534000</v>
      </c>
      <c r="N1985">
        <v>4.6</v>
      </c>
      <c r="O1985">
        <v>515000</v>
      </c>
      <c r="P1985" t="inlineStr">
        <is>
          <t>65e97f18506b4000018a4b9d</t>
        </is>
      </c>
      <c r="Q1985" t="inlineStr">
        <is>
          <t>🚫重复</t>
        </is>
      </c>
      <c r="R1985" t="inlineStr">
        <is>
          <t>15周</t>
        </is>
      </c>
      <c r="S1985" t="inlineStr">
        <is>
          <t>0.07</t>
        </is>
      </c>
      <c r="T1985" t="inlineStr">
        <is>
          <t>美食滋补</t>
        </is>
      </c>
      <c r="U1985" t="inlineStr">
        <is>
          <t>休闲零食</t>
        </is>
      </c>
      <c r="V1985" s="3">
        <v>46120.939930555556</v>
      </c>
      <c r="W1985" t="inlineStr">
        <is>
          <t>2026-Q2</t>
        </is>
      </c>
    </row>
    <row r="1986" ht="25.5" customHeight="1">
      <c r="A1986" t="inlineStr">
        <is>
          <t>超弹巨好穿百搭极简T恤 百搭上衣 女</t>
        </is>
      </c>
      <c r="B1986" t="inlineStr">
        <is>
          <t>recvgd5oYIIqaL.jpg</t>
        </is>
      </c>
      <c r="C1986" s="2" t="str">
        <f>=HYPERLINK("https://xhslink.com/m/3gCbGkeoUWb", "https://xhslink.com/m/3gCbGkeoUWb")</f>
        <v>https://xhslink.com/m/3gCbGkeoUWb</v>
      </c>
      <c r="D1986"/>
      <c r="E1986">
        <v>9941</v>
      </c>
      <c r="F1986">
        <v>299</v>
      </c>
      <c r="G1986">
        <v>199</v>
      </c>
      <c r="H1986">
        <v>200</v>
      </c>
      <c r="I1986" t="inlineStr">
        <is>
          <t>T恤</t>
        </is>
      </c>
      <c r="J1986" t="inlineStr">
        <is>
          <t>0.02</t>
        </is>
      </c>
      <c r="K1986"/>
      <c r="L1986" t="inlineStr">
        <is>
          <t>姝瑶的店</t>
        </is>
      </c>
      <c r="M1986">
        <v>34000</v>
      </c>
      <c r="N1986">
        <v>4.72</v>
      </c>
      <c r="O1986">
        <v>37000</v>
      </c>
      <c r="P1986" t="inlineStr">
        <is>
          <t>69bbd50aa20c210001602a61</t>
        </is>
      </c>
      <c r="Q1986" t="inlineStr">
        <is>
          <t>🚫重复</t>
        </is>
      </c>
      <c r="R1986" t="inlineStr">
        <is>
          <t>15周</t>
        </is>
      </c>
      <c r="S1986" t="inlineStr">
        <is>
          <t>0.29</t>
        </is>
      </c>
      <c r="T1986" t="inlineStr">
        <is>
          <t>服饰穿搭</t>
        </is>
      </c>
      <c r="U1986" t="inlineStr">
        <is>
          <t>女装</t>
        </is>
      </c>
      <c r="V1986" s="3">
        <v>46120.939930555556</v>
      </c>
      <c r="W1986" t="inlineStr">
        <is>
          <t>2026-Q2</t>
        </is>
      </c>
    </row>
    <row r="1987" ht="25.5" customHeight="1">
      <c r="A1987" t="inlineStr">
        <is>
          <t>【工厂清仓】露露同款ebb运动舒适免穿Bra内衣固定胸垫工字背心</t>
        </is>
      </c>
      <c r="B1987" t="inlineStr">
        <is>
          <t>recvgjaKncnDKJ.jpg</t>
        </is>
      </c>
      <c r="C1987" s="2" t="str">
        <f>=HYPERLINK("https://xhslink.com/m/ARXnF38guxX", "https://xhslink.com/m/ARXnF38guxX")</f>
        <v>https://xhslink.com/m/ARXnF38guxX</v>
      </c>
      <c r="D1987"/>
      <c r="E1987">
        <v>13000</v>
      </c>
      <c r="F1987">
        <v>49.9</v>
      </c>
      <c r="G1987">
        <v>29.9</v>
      </c>
      <c r="H1987">
        <v>200</v>
      </c>
      <c r="I1987" t="inlineStr">
        <is>
          <t>背心吊带</t>
        </is>
      </c>
      <c r="J1987" t="inlineStr">
        <is>
          <t>0.02</t>
        </is>
      </c>
      <c r="K1987"/>
      <c r="L1987" t="inlineStr">
        <is>
          <t>喵一个miao的店</t>
        </is>
      </c>
      <c r="M1987">
        <v>4505</v>
      </c>
      <c r="N1987">
        <v>4.36</v>
      </c>
      <c r="O1987">
        <v>41000</v>
      </c>
      <c r="P1987" t="inlineStr">
        <is>
          <t>685e6a1456ddbd0001eadaae</t>
        </is>
      </c>
      <c r="Q1987" t="inlineStr">
        <is>
          <t>🚫重复</t>
        </is>
      </c>
      <c r="R1987" t="inlineStr">
        <is>
          <t>15周</t>
        </is>
      </c>
      <c r="S1987" t="inlineStr">
        <is>
          <t>2.89</t>
        </is>
      </c>
      <c r="T1987" t="inlineStr">
        <is>
          <t>服饰穿搭</t>
        </is>
      </c>
      <c r="U1987" t="inlineStr">
        <is>
          <t>女装</t>
        </is>
      </c>
      <c r="V1987" s="3">
        <v>46121.98079861111</v>
      </c>
      <c r="W1987" t="inlineStr">
        <is>
          <t>2026-Q2</t>
        </is>
      </c>
    </row>
    <row r="1988" ht="25.5" customHeight="1">
      <c r="A1988" t="inlineStr">
        <is>
          <t>海边沙滩薄底人字拖鞋女EVA防滑防臭足弓支撑泰国三亚旅游户外鞋</t>
        </is>
      </c>
      <c r="B1988" t="inlineStr">
        <is>
          <t>recvgjaKncwN3O.jpg</t>
        </is>
      </c>
      <c r="C1988" s="2" t="str">
        <f>=HYPERLINK("https://xhslink.com/m/9VBT1SCYuJf", "https://xhslink.com/m/9VBT1SCYuJf")</f>
        <v>https://xhslink.com/m/9VBT1SCYuJf</v>
      </c>
      <c r="D1988"/>
      <c r="E1988">
        <v>2532</v>
      </c>
      <c r="F1988">
        <v>41.9</v>
      </c>
      <c r="G1988">
        <v>31.9</v>
      </c>
      <c r="H1988">
        <v>200</v>
      </c>
      <c r="I1988" t="inlineStr">
        <is>
          <t>夏日拖鞋</t>
        </is>
      </c>
      <c r="J1988" t="inlineStr">
        <is>
          <t>0.08</t>
        </is>
      </c>
      <c r="K1988"/>
      <c r="L1988" t="inlineStr">
        <is>
          <t>鹿鹿的四季集的店</t>
        </is>
      </c>
      <c r="M1988">
        <v>1667</v>
      </c>
      <c r="N1988">
        <v>4.61</v>
      </c>
      <c r="O1988">
        <v>244000</v>
      </c>
      <c r="P1988" t="inlineStr">
        <is>
          <t>69c4a0aad95b5a00016bd61a</t>
        </is>
      </c>
      <c r="Q1988" t="inlineStr">
        <is>
          <t>🚫重复</t>
        </is>
      </c>
      <c r="R1988" t="inlineStr">
        <is>
          <t>15周</t>
        </is>
      </c>
      <c r="S1988" t="inlineStr">
        <is>
          <t>1.52</t>
        </is>
      </c>
      <c r="T1988" t="inlineStr">
        <is>
          <t>服饰穿搭</t>
        </is>
      </c>
      <c r="U1988" t="inlineStr">
        <is>
          <t>鞋靴箱包</t>
        </is>
      </c>
      <c r="V1988" s="3">
        <v>46121.98079861111</v>
      </c>
      <c r="W1988" t="inlineStr">
        <is>
          <t>2026-Q2</t>
        </is>
      </c>
    </row>
    <row r="1989" ht="25.5" customHeight="1">
      <c r="A1989" t="inlineStr">
        <is>
          <t>雨天户外沙滩EVA增高厚底人字拖推荐女防滑防臭纯色百搭拖鞋泰国</t>
        </is>
      </c>
      <c r="B1989" t="inlineStr">
        <is>
          <t>recvgjaKncfxYK.jpg</t>
        </is>
      </c>
      <c r="C1989" s="2" t="str">
        <f>=HYPERLINK("https://xhslink.com/m/63jHAZ7d9xq", "https://xhslink.com/m/63jHAZ7d9xq")</f>
        <v>https://xhslink.com/m/63jHAZ7d9xq</v>
      </c>
      <c r="D1989"/>
      <c r="E1989">
        <v>133000</v>
      </c>
      <c r="F1989">
        <v>39.9</v>
      </c>
      <c r="G1989">
        <v>29.9</v>
      </c>
      <c r="H1989">
        <v>200</v>
      </c>
      <c r="I1989" t="inlineStr">
        <is>
          <t>夏日拖鞋</t>
        </is>
      </c>
      <c r="J1989" t="inlineStr">
        <is>
          <t>0.00</t>
        </is>
      </c>
      <c r="K1989" t="inlineStr">
        <is>
          <t>🔥低粉爆款</t>
        </is>
      </c>
      <c r="L1989" t="inlineStr">
        <is>
          <t>小小祎XIAOYI的店</t>
        </is>
      </c>
      <c r="M1989">
        <v>3467</v>
      </c>
      <c r="N1989">
        <v>4.61</v>
      </c>
      <c r="O1989">
        <v>370000</v>
      </c>
      <c r="P1989" t="inlineStr">
        <is>
          <t>67fdd72bb2c30c0001b05d56</t>
        </is>
      </c>
      <c r="Q1989" t="inlineStr">
        <is>
          <t>🚫重复</t>
        </is>
      </c>
      <c r="R1989" t="inlineStr">
        <is>
          <t>15周</t>
        </is>
      </c>
      <c r="S1989" t="inlineStr">
        <is>
          <t>38.36</t>
        </is>
      </c>
      <c r="T1989" t="inlineStr">
        <is>
          <t>服饰穿搭</t>
        </is>
      </c>
      <c r="U1989" t="inlineStr">
        <is>
          <t>鞋靴箱包</t>
        </is>
      </c>
      <c r="V1989" s="3">
        <v>46121.98079861111</v>
      </c>
      <c r="W1989" t="inlineStr">
        <is>
          <t>2026-Q2</t>
        </is>
      </c>
    </row>
    <row r="1990" ht="25.5" customHeight="1">
      <c r="A1990" t="inlineStr">
        <is>
          <t>仿真结婚婚戒情侣对戒男女假钻戒一对订婚婚礼仪式道具戒指可调节</t>
        </is>
      </c>
      <c r="B1990" t="inlineStr">
        <is>
          <t>recvgjaKncBdis.jpg</t>
        </is>
      </c>
      <c r="C1990" s="2" t="str">
        <f>=HYPERLINK("https://xhslink.com/m/1cQjOaymZG5", "https://xhslink.com/m/1cQjOaymZG5")</f>
        <v>https://xhslink.com/m/1cQjOaymZG5</v>
      </c>
      <c r="D1990"/>
      <c r="E1990">
        <v>25000</v>
      </c>
      <c r="F1990">
        <v>20.88</v>
      </c>
      <c r="G1990">
        <v>18.17</v>
      </c>
      <c r="H1990">
        <v>200</v>
      </c>
      <c r="I1990" t="inlineStr">
        <is>
          <t>戒指</t>
        </is>
      </c>
      <c r="J1990" t="inlineStr">
        <is>
          <t>0.01</t>
        </is>
      </c>
      <c r="K1990" t="inlineStr">
        <is>
          <t>🔥低粉爆款</t>
        </is>
      </c>
      <c r="L1990" t="inlineStr">
        <is>
          <t>星星泡饭的店</t>
        </is>
      </c>
      <c r="M1990">
        <v>6012</v>
      </c>
      <c r="N1990">
        <v>4.8</v>
      </c>
      <c r="O1990">
        <v>30000</v>
      </c>
      <c r="P1990" t="inlineStr">
        <is>
          <t>68a8aaa795220f00014de108</t>
        </is>
      </c>
      <c r="Q1990" t="inlineStr">
        <is>
          <t>🚫重复</t>
        </is>
      </c>
      <c r="R1990" t="inlineStr">
        <is>
          <t>15周</t>
        </is>
      </c>
      <c r="S1990" t="inlineStr">
        <is>
          <t>4.16</t>
        </is>
      </c>
      <c r="T1990" t="inlineStr">
        <is>
          <t>服饰穿搭</t>
        </is>
      </c>
      <c r="U1990" t="inlineStr">
        <is>
          <t>配饰</t>
        </is>
      </c>
      <c r="V1990" s="3">
        <v>46121.98079861111</v>
      </c>
      <c r="W1990" t="inlineStr">
        <is>
          <t>2026-Q2</t>
        </is>
      </c>
    </row>
    <row r="1991" ht="25.5" customHeight="1">
      <c r="A1991" t="inlineStr">
        <is>
          <t>【4-4.5橘白灰】馒头天然淡水无核珍珠耳钉三色纯银/钛合金耳针</t>
        </is>
      </c>
      <c r="B1991" t="inlineStr">
        <is>
          <t>recvgjaKncXO0R.jpg</t>
        </is>
      </c>
      <c r="C1991" s="2" t="str">
        <f>=HYPERLINK("https://xhslink.com/m/7N9gQWUymjV", "https://xhslink.com/m/7N9gQWUymjV")</f>
        <v>https://xhslink.com/m/7N9gQWUymjV</v>
      </c>
      <c r="D1991"/>
      <c r="E1991">
        <v>13000</v>
      </c>
      <c r="F1991">
        <v>34</v>
      </c>
      <c r="G1991"/>
      <c r="H1991">
        <v>200</v>
      </c>
      <c r="I1991" t="inlineStr">
        <is>
          <t>耳饰</t>
        </is>
      </c>
      <c r="J1991" t="inlineStr">
        <is>
          <t>0.02</t>
        </is>
      </c>
      <c r="K1991"/>
      <c r="L1991" t="inlineStr">
        <is>
          <t>Aurated鎏金珍珠珠宝店的店</t>
        </is>
      </c>
      <c r="M1991">
        <v>8000</v>
      </c>
      <c r="N1991">
        <v>4.65</v>
      </c>
      <c r="O1991">
        <v>50000</v>
      </c>
      <c r="P1991" t="inlineStr">
        <is>
          <t>6645917a50a08c000192b24a</t>
        </is>
      </c>
      <c r="Q1991" t="inlineStr">
        <is>
          <t>🚫重复</t>
        </is>
      </c>
      <c r="R1991" t="inlineStr">
        <is>
          <t>15周</t>
        </is>
      </c>
      <c r="S1991" t="inlineStr">
        <is>
          <t>1.62</t>
        </is>
      </c>
      <c r="T1991" t="inlineStr">
        <is>
          <t>服饰穿搭</t>
        </is>
      </c>
      <c r="U1991" t="inlineStr">
        <is>
          <t>配饰</t>
        </is>
      </c>
      <c r="V1991" s="3">
        <v>46121.98079861111</v>
      </c>
      <c r="W1991" t="inlineStr">
        <is>
          <t>2026-Q2</t>
        </is>
      </c>
    </row>
    <row r="1992" ht="25.5" customHeight="1">
      <c r="A1992" t="inlineStr">
        <is>
          <t>轻薄显脸小字母鸭舌女帽软顶大头围加深百搭做旧棒球帽遮阳帽子男</t>
        </is>
      </c>
      <c r="B1992" t="inlineStr">
        <is>
          <t>recvgjaKncDFsx.jpg</t>
        </is>
      </c>
      <c r="C1992" s="2" t="str">
        <f>=HYPERLINK("https://xhslink.com/m/pDnP7HReQr", "https://xhslink.com/m/pDnP7HReQr")</f>
        <v>https://xhslink.com/m/pDnP7HReQr</v>
      </c>
      <c r="D1992"/>
      <c r="E1992">
        <v>35000</v>
      </c>
      <c r="F1992">
        <v>32.5</v>
      </c>
      <c r="G1992">
        <v>30.5</v>
      </c>
      <c r="H1992">
        <v>200</v>
      </c>
      <c r="I1992" t="inlineStr">
        <is>
          <t>帽子</t>
        </is>
      </c>
      <c r="J1992" t="inlineStr">
        <is>
          <t>0.01</t>
        </is>
      </c>
      <c r="K1992"/>
      <c r="L1992" t="inlineStr">
        <is>
          <t>帽大户帽行的店</t>
        </is>
      </c>
      <c r="M1992">
        <v>24000</v>
      </c>
      <c r="N1992">
        <v>4.57</v>
      </c>
      <c r="O1992">
        <v>96000</v>
      </c>
      <c r="P1992" t="inlineStr">
        <is>
          <t>66875cf849c6f40001b81999</t>
        </is>
      </c>
      <c r="Q1992" t="inlineStr">
        <is>
          <t>🚫重复</t>
        </is>
      </c>
      <c r="R1992" t="inlineStr">
        <is>
          <t>15周</t>
        </is>
      </c>
      <c r="S1992" t="inlineStr">
        <is>
          <t>1.46</t>
        </is>
      </c>
      <c r="T1992" t="inlineStr">
        <is>
          <t>服饰穿搭</t>
        </is>
      </c>
      <c r="U1992" t="inlineStr">
        <is>
          <t>配饰</t>
        </is>
      </c>
      <c r="V1992" s="3">
        <v>46121.98079861111</v>
      </c>
      <c r="W1992" t="inlineStr">
        <is>
          <t>2026-Q2</t>
        </is>
      </c>
    </row>
    <row r="1993" ht="25.5" customHeight="1">
      <c r="A1993" t="inlineStr">
        <is>
          <t>25YF-小众高级感通勤包包大容量托特包多隔层手提袋单肩包电脑包</t>
        </is>
      </c>
      <c r="B1993" t="inlineStr">
        <is>
          <t>recvgjaKncNKaW.jpg</t>
        </is>
      </c>
      <c r="C1993" s="2" t="str">
        <f>=HYPERLINK("https://xhslink.com/m/5Tm1GcQIjUz", "https://xhslink.com/m/5Tm1GcQIjUz")</f>
        <v>https://xhslink.com/m/5Tm1GcQIjUz</v>
      </c>
      <c r="D1993"/>
      <c r="E1993">
        <v>13000</v>
      </c>
      <c r="F1993">
        <v>52.9</v>
      </c>
      <c r="G1993">
        <v>42.9</v>
      </c>
      <c r="H1993">
        <v>200</v>
      </c>
      <c r="I1993" t="inlineStr">
        <is>
          <t>通勤电脑包</t>
        </is>
      </c>
      <c r="J1993" t="inlineStr">
        <is>
          <t>0.02</t>
        </is>
      </c>
      <c r="K1993"/>
      <c r="L1993" t="inlineStr">
        <is>
          <t>Wang汪汪姓王的店</t>
        </is>
      </c>
      <c r="M1993">
        <v>5477</v>
      </c>
      <c r="N1993">
        <v>4.65</v>
      </c>
      <c r="O1993">
        <v>49000</v>
      </c>
      <c r="P1993" t="inlineStr">
        <is>
          <t>68c82c4434db2a0001543abf</t>
        </is>
      </c>
      <c r="Q1993" t="inlineStr">
        <is>
          <t>🚫重复</t>
        </is>
      </c>
      <c r="R1993" t="inlineStr">
        <is>
          <t>15周</t>
        </is>
      </c>
      <c r="S1993" t="inlineStr">
        <is>
          <t>2.37</t>
        </is>
      </c>
      <c r="T1993" t="inlineStr">
        <is>
          <t>服饰穿搭</t>
        </is>
      </c>
      <c r="U1993" t="inlineStr">
        <is>
          <t>鞋靴箱包</t>
        </is>
      </c>
      <c r="V1993" s="3">
        <v>46121.98079861111</v>
      </c>
      <c r="W1993" t="inlineStr">
        <is>
          <t>2026-Q2</t>
        </is>
      </c>
    </row>
    <row r="1994" ht="25.5" customHeight="1">
      <c r="A1994" t="inlineStr">
        <is>
          <t>倒立的猫 · 【遇见手拎袋】德国进口可水洗牛皮纸托特包环保通勤iPad包手提包</t>
        </is>
      </c>
      <c r="B1994" t="inlineStr">
        <is>
          <t>recvgjaKncXhuS.jpg</t>
        </is>
      </c>
      <c r="C1994" s="2" t="str">
        <f>=HYPERLINK("https://xhslink.com/m/1vx3SAwawSZ", "https://xhslink.com/m/1vx3SAwawSZ")</f>
        <v>https://xhslink.com/m/1vx3SAwawSZ</v>
      </c>
      <c r="D1994"/>
      <c r="E1994">
        <v>5030</v>
      </c>
      <c r="F1994">
        <v>118</v>
      </c>
      <c r="G1994">
        <v>106</v>
      </c>
      <c r="H1994">
        <v>200</v>
      </c>
      <c r="I1994" t="inlineStr">
        <is>
          <t>通勤电脑包</t>
        </is>
      </c>
      <c r="J1994" t="inlineStr">
        <is>
          <t>0.04</t>
        </is>
      </c>
      <c r="K1994"/>
      <c r="L1994" t="inlineStr">
        <is>
          <t>倒立的猫的店</t>
        </is>
      </c>
      <c r="M1994">
        <v>12000</v>
      </c>
      <c r="N1994">
        <v>4.75</v>
      </c>
      <c r="O1994">
        <v>23000</v>
      </c>
      <c r="P1994" t="inlineStr">
        <is>
          <t>6602d57ab3a57a0001ed3a94</t>
        </is>
      </c>
      <c r="Q1994" t="inlineStr">
        <is>
          <t>🚫重复</t>
        </is>
      </c>
      <c r="R1994" t="inlineStr">
        <is>
          <t>15周</t>
        </is>
      </c>
      <c r="S1994" t="inlineStr">
        <is>
          <t>0.42</t>
        </is>
      </c>
      <c r="T1994" t="inlineStr">
        <is>
          <t>服饰穿搭</t>
        </is>
      </c>
      <c r="U1994" t="inlineStr">
        <is>
          <t>鞋靴箱包</t>
        </is>
      </c>
      <c r="V1994" s="3">
        <v>46121.98079861111</v>
      </c>
      <c r="W1994" t="inlineStr">
        <is>
          <t>2026-Q2</t>
        </is>
      </c>
    </row>
    <row r="1995" ht="25.5" customHeight="1">
      <c r="A1995" t="inlineStr">
        <is>
          <t>宝贝蛋·爬爬垫专用鞋全包软底陪玩必备舒适棉麻可机洗爬爬垫拖鞋</t>
        </is>
      </c>
      <c r="B1995" t="inlineStr">
        <is>
          <t>recvgjaKncyNL8.jpg</t>
        </is>
      </c>
      <c r="C1995" s="2" t="str">
        <f>=HYPERLINK("https://xhslink.com/m/LvOb5xlGab", "https://xhslink.com/m/LvOb5xlGab")</f>
        <v>https://xhslink.com/m/LvOb5xlGab</v>
      </c>
      <c r="D1995"/>
      <c r="E1995">
        <v>21000</v>
      </c>
      <c r="F1995">
        <v>38.9</v>
      </c>
      <c r="G1995">
        <v>28.9</v>
      </c>
      <c r="H1995">
        <v>200</v>
      </c>
      <c r="I1995" t="inlineStr">
        <is>
          <t>爬爬垫</t>
        </is>
      </c>
      <c r="J1995" t="inlineStr">
        <is>
          <t>0.01</t>
        </is>
      </c>
      <c r="K1995" t="inlineStr">
        <is>
          <t>🔥低粉爆款</t>
        </is>
      </c>
      <c r="L1995" t="inlineStr">
        <is>
          <t>宝贝蛋Babyegg的店</t>
        </is>
      </c>
      <c r="M1995">
        <v>3810</v>
      </c>
      <c r="N1995">
        <v>4.67</v>
      </c>
      <c r="O1995">
        <v>57000</v>
      </c>
      <c r="P1995" t="inlineStr">
        <is>
          <t>683bd12e9e365d00017cc74c</t>
        </is>
      </c>
      <c r="Q1995"/>
      <c r="R1995" t="inlineStr">
        <is>
          <t>15周</t>
        </is>
      </c>
      <c r="S1995" t="inlineStr">
        <is>
          <t>5.51</t>
        </is>
      </c>
      <c r="T1995" t="inlineStr">
        <is>
          <t>服饰穿搭</t>
        </is>
      </c>
      <c r="U1995" t="inlineStr">
        <is>
          <t>鞋靴箱包</t>
        </is>
      </c>
      <c r="V1995" s="3">
        <v>46121.98079861111</v>
      </c>
      <c r="W1995" t="inlineStr">
        <is>
          <t>2026-Q2</t>
        </is>
      </c>
    </row>
    <row r="1996" ht="25.5" customHeight="1">
      <c r="A1996" t="inlineStr">
        <is>
          <t>豆爸手作欧包 纯手工健康无添加 私房匠心手工面包 每天现做现发</t>
        </is>
      </c>
      <c r="B1996" t="inlineStr">
        <is>
          <t>recvgjaKncNJm5.jpg</t>
        </is>
      </c>
      <c r="C1996" s="2" t="str">
        <f>=HYPERLINK("https://xhslink.com/m/69q1IG2eD1L", "https://xhslink.com/m/69q1IG2eD1L")</f>
        <v>https://xhslink.com/m/69q1IG2eD1L</v>
      </c>
      <c r="D1996"/>
      <c r="E1996">
        <v>88000</v>
      </c>
      <c r="F1996">
        <v>25</v>
      </c>
      <c r="G1996">
        <v>16.8</v>
      </c>
      <c r="H1996">
        <v>200</v>
      </c>
      <c r="I1996" t="inlineStr">
        <is>
          <t>面包</t>
        </is>
      </c>
      <c r="J1996" t="inlineStr">
        <is>
          <t>0.00</t>
        </is>
      </c>
      <c r="K1996" t="inlineStr">
        <is>
          <t>🔥低粉爆款</t>
        </is>
      </c>
      <c r="L1996" t="inlineStr">
        <is>
          <t>豆爸新鲜手作面包的店</t>
        </is>
      </c>
      <c r="M1996">
        <v>21000</v>
      </c>
      <c r="N1996">
        <v>4.72</v>
      </c>
      <c r="O1996">
        <v>161000</v>
      </c>
      <c r="P1996" t="inlineStr">
        <is>
          <t>6986c49578d8d500013bca79</t>
        </is>
      </c>
      <c r="Q1996" t="inlineStr">
        <is>
          <t>🚫重复</t>
        </is>
      </c>
      <c r="R1996" t="inlineStr">
        <is>
          <t>15周</t>
        </is>
      </c>
      <c r="S1996" t="inlineStr">
        <is>
          <t>4.19</t>
        </is>
      </c>
      <c r="T1996" t="inlineStr">
        <is>
          <t>美食滋补</t>
        </is>
      </c>
      <c r="U1996" t="inlineStr">
        <is>
          <t>休闲零食</t>
        </is>
      </c>
      <c r="V1996" s="3">
        <v>46121.98079861111</v>
      </c>
      <c r="W1996" t="inlineStr">
        <is>
          <t>2026-Q2</t>
        </is>
      </c>
    </row>
    <row r="1997" ht="25.5" customHeight="1">
      <c r="A1997" t="inlineStr">
        <is>
          <t>【48小时发货】恰巴塔料理面包多口味（40发中通/满60发顺丰）</t>
        </is>
      </c>
      <c r="B1997" t="inlineStr">
        <is>
          <t>recvgjaKnc3Ogx.jpg</t>
        </is>
      </c>
      <c r="C1997" s="2" t="str">
        <f>=HYPERLINK("https://xhslink.com/m/8oQbvCl5iwU", "https://xhslink.com/m/8oQbvCl5iwU")</f>
        <v>https://xhslink.com/m/8oQbvCl5iwU</v>
      </c>
      <c r="D1997"/>
      <c r="E1997">
        <v>64000</v>
      </c>
      <c r="F1997">
        <v>17</v>
      </c>
      <c r="G1997">
        <v>14.5</v>
      </c>
      <c r="H1997">
        <v>200</v>
      </c>
      <c r="I1997" t="inlineStr">
        <is>
          <t>面包</t>
        </is>
      </c>
      <c r="J1997" t="inlineStr">
        <is>
          <t>0.00</t>
        </is>
      </c>
      <c r="K1997" t="inlineStr">
        <is>
          <t>🔥低粉爆款</t>
        </is>
      </c>
      <c r="L1997" t="inlineStr">
        <is>
          <t>BornToBe波比公园的店</t>
        </is>
      </c>
      <c r="M1997">
        <v>6581</v>
      </c>
      <c r="N1997">
        <v>4.47</v>
      </c>
      <c r="O1997">
        <v>85000</v>
      </c>
      <c r="P1997" t="inlineStr">
        <is>
          <t>69be3620ec6664000104d1af</t>
        </is>
      </c>
      <c r="Q1997"/>
      <c r="R1997" t="inlineStr">
        <is>
          <t>15周</t>
        </is>
      </c>
      <c r="S1997" t="inlineStr">
        <is>
          <t>9.72</t>
        </is>
      </c>
      <c r="T1997" t="inlineStr">
        <is>
          <t>美食滋补</t>
        </is>
      </c>
      <c r="U1997" t="inlineStr">
        <is>
          <t>休闲零食</t>
        </is>
      </c>
      <c r="V1997" s="3">
        <v>46121.98079861111</v>
      </c>
      <c r="W1997" t="inlineStr">
        <is>
          <t>2026-Q2</t>
        </is>
      </c>
    </row>
    <row r="1998" ht="25.5" customHeight="1">
      <c r="A1998" t="inlineStr">
        <is>
          <t>极致盛放 · 手作贝果代餐面包欧包低脂大学生早八上班族早餐贝果面包零食代餐</t>
        </is>
      </c>
      <c r="B1998" t="inlineStr">
        <is>
          <t>recvgjaKncc3yn.jpg</t>
        </is>
      </c>
      <c r="C1998" s="2" t="str">
        <f>=HYPERLINK("https://xhslink.com/m/9eTQl8YeLj7", "https://xhslink.com/m/9eTQl8YeLj7")</f>
        <v>https://xhslink.com/m/9eTQl8YeLj7</v>
      </c>
      <c r="D1998"/>
      <c r="E1998">
        <v>73000</v>
      </c>
      <c r="F1998">
        <v>20</v>
      </c>
      <c r="G1998">
        <v>18</v>
      </c>
      <c r="H1998">
        <v>200</v>
      </c>
      <c r="I1998" t="inlineStr">
        <is>
          <t>面包</t>
        </is>
      </c>
      <c r="J1998" t="inlineStr">
        <is>
          <t>0.00</t>
        </is>
      </c>
      <c r="K1998" t="inlineStr">
        <is>
          <t>🔥低粉爆款</t>
        </is>
      </c>
      <c r="L1998" t="inlineStr">
        <is>
          <t>极致盛放旗舰店</t>
        </is>
      </c>
      <c r="M1998">
        <v>1233</v>
      </c>
      <c r="N1998">
        <v>4.66</v>
      </c>
      <c r="O1998">
        <v>76000</v>
      </c>
      <c r="P1998" t="inlineStr">
        <is>
          <t>6899b647b95a110001511695</t>
        </is>
      </c>
      <c r="Q1998" t="inlineStr">
        <is>
          <t>🚫重复</t>
        </is>
      </c>
      <c r="R1998" t="inlineStr">
        <is>
          <t>15周</t>
        </is>
      </c>
      <c r="S1998" t="inlineStr">
        <is>
          <t>59.21</t>
        </is>
      </c>
      <c r="T1998" t="inlineStr">
        <is>
          <t>美食滋补</t>
        </is>
      </c>
      <c r="U1998" t="inlineStr">
        <is>
          <t>休闲零食</t>
        </is>
      </c>
      <c r="V1998" s="3">
        <v>46121.98079861111</v>
      </c>
      <c r="W1998" t="inlineStr">
        <is>
          <t>2026-Q2</t>
        </is>
      </c>
    </row>
    <row r="1999" ht="25.5" customHeight="1">
      <c r="A1999" t="inlineStr">
        <is>
          <t>麦浪里 · 【28.8任选八个顺丰包邮】手作碱水棒夹心带馅全麦营养早餐面包</t>
        </is>
      </c>
      <c r="B1999" t="inlineStr">
        <is>
          <t>recvgjaKnc0dPS.jpg</t>
        </is>
      </c>
      <c r="C1999" s="2" t="str">
        <f>=HYPERLINK("https://xhslink.com/m/7vrBUZD7ARF", "https://xhslink.com/m/7vrBUZD7ARF")</f>
        <v>https://xhslink.com/m/7vrBUZD7ARF</v>
      </c>
      <c r="D1999"/>
      <c r="E1999">
        <v>23000</v>
      </c>
      <c r="F1999">
        <v>20</v>
      </c>
      <c r="G1999">
        <v>11.6</v>
      </c>
      <c r="H1999">
        <v>200</v>
      </c>
      <c r="I1999" t="inlineStr">
        <is>
          <t>面包</t>
        </is>
      </c>
      <c r="J1999" t="inlineStr">
        <is>
          <t>0.01</t>
        </is>
      </c>
      <c r="K1999" t="inlineStr">
        <is>
          <t>🔥低粉爆款</t>
        </is>
      </c>
      <c r="L1999" t="inlineStr">
        <is>
          <t>麦浪里旗舰店</t>
        </is>
      </c>
      <c r="M1999">
        <v>5594</v>
      </c>
      <c r="N1999">
        <v>4.59</v>
      </c>
      <c r="O1999">
        <v>256000</v>
      </c>
      <c r="P1999" t="inlineStr">
        <is>
          <t>695a349396a9fa00016cc541</t>
        </is>
      </c>
      <c r="Q1999" t="inlineStr">
        <is>
          <t>🚫重复</t>
        </is>
      </c>
      <c r="R1999" t="inlineStr">
        <is>
          <t>15周</t>
        </is>
      </c>
      <c r="S1999" t="inlineStr">
        <is>
          <t>4.11</t>
        </is>
      </c>
      <c r="T1999" t="inlineStr">
        <is>
          <t>美食滋补</t>
        </is>
      </c>
      <c r="U1999" t="inlineStr">
        <is>
          <t>休闲零食</t>
        </is>
      </c>
      <c r="V1999" s="3">
        <v>46121.98079861111</v>
      </c>
      <c r="W1999" t="inlineStr">
        <is>
          <t>2026-Q2</t>
        </is>
      </c>
    </row>
    <row r="2000" ht="25.5" customHeight="1">
      <c r="A2000" t="inlineStr">
        <is>
          <t>精品圣女果小番茄新鲜小番茄应季新鲜采摘孕妇水果</t>
        </is>
      </c>
      <c r="B2000" t="inlineStr">
        <is>
          <t>recvgjaKncc05E.jpg</t>
        </is>
      </c>
      <c r="C2000" s="2" t="str">
        <f>=HYPERLINK("https://xhslink.com/m/tRWcKZYTxR", "https://xhslink.com/m/tRWcKZYTxR")</f>
        <v>https://xhslink.com/m/tRWcKZYTxR</v>
      </c>
      <c r="D2000"/>
      <c r="E2000">
        <v>12000</v>
      </c>
      <c r="F2000">
        <v>31.6</v>
      </c>
      <c r="G2000">
        <v>18.6</v>
      </c>
      <c r="H2000">
        <v>200</v>
      </c>
      <c r="I2000" t="inlineStr">
        <is>
          <t>水果</t>
        </is>
      </c>
      <c r="J2000" t="inlineStr">
        <is>
          <t>0.02</t>
        </is>
      </c>
      <c r="K2000" t="inlineStr">
        <is>
          <t>🔥低粉爆款</t>
        </is>
      </c>
      <c r="L2000" t="inlineStr">
        <is>
          <t>新鲜水果铺的店</t>
        </is>
      </c>
      <c r="M2000">
        <v>465</v>
      </c>
      <c r="N2000">
        <v>4.49</v>
      </c>
      <c r="O2000">
        <v>24000</v>
      </c>
      <c r="P2000" t="inlineStr">
        <is>
          <t>69a0290036330e0001c7fa61</t>
        </is>
      </c>
      <c r="Q2000" t="inlineStr">
        <is>
          <t>🚫重复</t>
        </is>
      </c>
      <c r="R2000" t="inlineStr">
        <is>
          <t>15周</t>
        </is>
      </c>
      <c r="S2000" t="inlineStr">
        <is>
          <t>25.81</t>
        </is>
      </c>
      <c r="T2000" t="inlineStr">
        <is>
          <t>美食滋补</t>
        </is>
      </c>
      <c r="U2000" t="inlineStr">
        <is>
          <t>生鲜特产</t>
        </is>
      </c>
      <c r="V2000" s="3">
        <v>46121.98079861111</v>
      </c>
      <c r="W2000" t="inlineStr">
        <is>
          <t>2026-Q2</t>
        </is>
      </c>
    </row>
    <row r="2001" ht="25.5" customHeight="1">
      <c r="A2001" t="inlineStr">
        <is>
          <t>正宗广西脆蜜金桔好吃不涩口纯甜多汁当季新鲜现摘水果孕妇可吃</t>
        </is>
      </c>
      <c r="B2001" t="inlineStr">
        <is>
          <t>recvgjaKncTarO.jpg</t>
        </is>
      </c>
      <c r="C2001" s="2" t="str">
        <f>=HYPERLINK("https://xhslink.com/m/45zAyMbq62l", "https://xhslink.com/m/45zAyMbq62l")</f>
        <v>https://xhslink.com/m/45zAyMbq62l</v>
      </c>
      <c r="D2001"/>
      <c r="E2001">
        <v>19000</v>
      </c>
      <c r="F2001">
        <v>20.8</v>
      </c>
      <c r="G2001">
        <v>7.8</v>
      </c>
      <c r="H2001">
        <v>200</v>
      </c>
      <c r="I2001" t="inlineStr">
        <is>
          <t>水果</t>
        </is>
      </c>
      <c r="J2001" t="inlineStr">
        <is>
          <t>0.01</t>
        </is>
      </c>
      <c r="K2001" t="inlineStr">
        <is>
          <t>🔥低粉爆款</t>
        </is>
      </c>
      <c r="L2001" t="inlineStr">
        <is>
          <t>欣乐优选的店</t>
        </is>
      </c>
      <c r="M2001">
        <v>263</v>
      </c>
      <c r="N2001">
        <v>4.1</v>
      </c>
      <c r="O2001">
        <v>20000</v>
      </c>
      <c r="P2001" t="inlineStr">
        <is>
          <t>697ee32b8c608e00015f506c</t>
        </is>
      </c>
      <c r="Q2001"/>
      <c r="R2001" t="inlineStr">
        <is>
          <t>15周</t>
        </is>
      </c>
      <c r="S2001" t="inlineStr">
        <is>
          <t>72.24</t>
        </is>
      </c>
      <c r="T2001" t="inlineStr">
        <is>
          <t>美食滋补</t>
        </is>
      </c>
      <c r="U2001" t="inlineStr">
        <is>
          <t>生鲜特产</t>
        </is>
      </c>
      <c r="V2001" s="3">
        <v>46121.98079861111</v>
      </c>
      <c r="W2001" t="inlineStr">
        <is>
          <t>2026-Q2</t>
        </is>
      </c>
    </row>
    <row r="2002" ht="25.5" customHeight="1">
      <c r="A2002" t="inlineStr">
        <is>
          <t>【5元包邮】满10-1 2026春夏日韩流行新款发圈氛围感穿搭头绳头饰</t>
        </is>
      </c>
      <c r="B2002" t="inlineStr">
        <is>
          <t>recvgjaKncAWSG.jpg</t>
        </is>
      </c>
      <c r="C2002" s="2" t="str">
        <f>=HYPERLINK("https://xhslink.com/m/6uFEJhaHvS4", "https://xhslink.com/m/6uFEJhaHvS4")</f>
        <v>https://xhslink.com/m/6uFEJhaHvS4</v>
      </c>
      <c r="D2002"/>
      <c r="E2002">
        <v>9636</v>
      </c>
      <c r="F2002">
        <v>5</v>
      </c>
      <c r="G2002"/>
      <c r="H2002">
        <v>200</v>
      </c>
      <c r="I2002" t="inlineStr">
        <is>
          <t>配饰</t>
        </is>
      </c>
      <c r="J2002" t="inlineStr">
        <is>
          <t>0.02</t>
        </is>
      </c>
      <c r="K2002"/>
      <c r="L2002" t="inlineStr">
        <is>
          <t>winnie云妮的店</t>
        </is>
      </c>
      <c r="M2002">
        <v>196000</v>
      </c>
      <c r="N2002">
        <v>4.68</v>
      </c>
      <c r="O2002">
        <v>1007000</v>
      </c>
      <c r="P2002" t="inlineStr">
        <is>
          <t>69143125a524ee000179def5</t>
        </is>
      </c>
      <c r="Q2002" t="inlineStr">
        <is>
          <t>🚫重复</t>
        </is>
      </c>
      <c r="R2002" t="inlineStr">
        <is>
          <t>15周</t>
        </is>
      </c>
      <c r="S2002" t="inlineStr">
        <is>
          <t>0.05</t>
        </is>
      </c>
      <c r="T2002" t="inlineStr">
        <is>
          <t>服饰穿搭</t>
        </is>
      </c>
      <c r="U2002" t="inlineStr">
        <is>
          <t>配饰</t>
        </is>
      </c>
      <c r="V2002" s="3">
        <v>46121.98079861111</v>
      </c>
      <c r="W2002" t="inlineStr">
        <is>
          <t>2026-Q2</t>
        </is>
      </c>
    </row>
    <row r="2003" ht="25.5" customHeight="1">
      <c r="A2003" t="inlineStr">
        <is>
          <t>禾果贝果【30元任选5个】顺丰包邮手作贝果碱水球早八面包饱腹</t>
        </is>
      </c>
      <c r="B2003" t="inlineStr">
        <is>
          <t>recvgjaKncUnS2.jpg</t>
        </is>
      </c>
      <c r="C2003" s="2" t="str">
        <f>=HYPERLINK("https://xhslink.com/m/AybW6Ei9r70", "https://xhslink.com/m/AybW6Ei9r70")</f>
        <v>https://xhslink.com/m/AybW6Ei9r70</v>
      </c>
      <c r="D2003"/>
      <c r="E2003">
        <v>900000</v>
      </c>
      <c r="F2003">
        <v>20</v>
      </c>
      <c r="G2003"/>
      <c r="H2003">
        <v>200</v>
      </c>
      <c r="I2003" t="inlineStr">
        <is>
          <t>面包</t>
        </is>
      </c>
      <c r="J2003" t="inlineStr">
        <is>
          <t>0.00</t>
        </is>
      </c>
      <c r="K2003" t="inlineStr">
        <is>
          <t>🔥低粉爆款</t>
        </is>
      </c>
      <c r="L2003" t="inlineStr">
        <is>
          <t>禾果烘焙坊的店</t>
        </is>
      </c>
      <c r="M2003">
        <v>17000</v>
      </c>
      <c r="N2003">
        <v>4.46</v>
      </c>
      <c r="O2003">
        <v>1024000</v>
      </c>
      <c r="P2003" t="inlineStr">
        <is>
          <t>682afe32a045210001d3c7f1</t>
        </is>
      </c>
      <c r="Q2003" t="inlineStr">
        <is>
          <t>🚫重复</t>
        </is>
      </c>
      <c r="R2003" t="inlineStr">
        <is>
          <t>15周</t>
        </is>
      </c>
      <c r="S2003" t="inlineStr">
        <is>
          <t>52.94</t>
        </is>
      </c>
      <c r="T2003" t="inlineStr">
        <is>
          <t>美食滋补</t>
        </is>
      </c>
      <c r="U2003" t="inlineStr">
        <is>
          <t>休闲零食</t>
        </is>
      </c>
      <c r="V2003" s="3">
        <v>46121.98079861111</v>
      </c>
      <c r="W2003" t="inlineStr">
        <is>
          <t>2026-Q2</t>
        </is>
      </c>
    </row>
    <row r="2004" ht="25.5" customHeight="1">
      <c r="A2004" t="inlineStr">
        <is>
          <t>倾曼雅 · 美式春夏慵懒风垂感裤 针织休闲裤 宽松直筒显瘦拖地裤</t>
        </is>
      </c>
      <c r="B2004" t="inlineStr">
        <is>
          <t>recvgjaKncd4Ts.jpg</t>
        </is>
      </c>
      <c r="C2004" s="2" t="str">
        <f>=HYPERLINK("https://xhslink.com/m/2hkQweaxwHr", "https://xhslink.com/m/2hkQweaxwHr")</f>
        <v>https://xhslink.com/m/2hkQweaxwHr</v>
      </c>
      <c r="D2004"/>
      <c r="E2004">
        <v>374000</v>
      </c>
      <c r="F2004">
        <v>69.9</v>
      </c>
      <c r="G2004"/>
      <c r="H2004">
        <v>200</v>
      </c>
      <c r="I2004" t="inlineStr">
        <is>
          <t>裤子</t>
        </is>
      </c>
      <c r="J2004" t="inlineStr">
        <is>
          <t>0.00</t>
        </is>
      </c>
      <c r="K2004"/>
      <c r="L2004" t="inlineStr">
        <is>
          <t>小鹅学姐穿搭的店的店</t>
        </is>
      </c>
      <c r="M2004">
        <v>229000</v>
      </c>
      <c r="N2004">
        <v>4.39</v>
      </c>
      <c r="O2004">
        <v>1524000</v>
      </c>
      <c r="P2004" t="inlineStr">
        <is>
          <t>66dfe355d0a0ac00016f37ca</t>
        </is>
      </c>
      <c r="Q2004" t="inlineStr">
        <is>
          <t>🚫重复</t>
        </is>
      </c>
      <c r="R2004" t="inlineStr">
        <is>
          <t>15周</t>
        </is>
      </c>
      <c r="S2004" t="inlineStr">
        <is>
          <t>1.63</t>
        </is>
      </c>
      <c r="T2004" t="inlineStr">
        <is>
          <t>服饰穿搭</t>
        </is>
      </c>
      <c r="U2004" t="inlineStr">
        <is>
          <t>女装</t>
        </is>
      </c>
      <c r="V2004" s="3">
        <v>46121.98079861111</v>
      </c>
      <c r="W2004" t="inlineStr">
        <is>
          <t>2026-Q2</t>
        </is>
      </c>
    </row>
    <row r="2005" ht="25.5" customHeight="1">
      <c r="A2005" t="inlineStr">
        <is>
          <t>复古卡其色牛仔裤2026春夏新款高腰遮胯阔腿裤宽松垂感弯刀裤子女</t>
        </is>
      </c>
      <c r="B2005" t="inlineStr">
        <is>
          <t>recvgjaKncvwqN.jpg</t>
        </is>
      </c>
      <c r="C2005" s="2" t="str">
        <f>=HYPERLINK("https://xhslink.com/m/5tHqUtoqjos", "https://xhslink.com/m/5tHqUtoqjos")</f>
        <v>https://xhslink.com/m/5tHqUtoqjos</v>
      </c>
      <c r="D2005"/>
      <c r="E2005">
        <v>16000</v>
      </c>
      <c r="F2005">
        <v>119</v>
      </c>
      <c r="G2005">
        <v>88</v>
      </c>
      <c r="H2005">
        <v>200</v>
      </c>
      <c r="I2005" t="inlineStr">
        <is>
          <t>裤子</t>
        </is>
      </c>
      <c r="J2005" t="inlineStr">
        <is>
          <t>0.01</t>
        </is>
      </c>
      <c r="K2005"/>
      <c r="L2005" t="inlineStr">
        <is>
          <t>圈圈不转圈⭕的店</t>
        </is>
      </c>
      <c r="M2005">
        <v>33000</v>
      </c>
      <c r="N2005">
        <v>4.45</v>
      </c>
      <c r="O2005">
        <v>250000</v>
      </c>
      <c r="P2005" t="inlineStr">
        <is>
          <t>68b44f1d8ec6fa0001721a3a</t>
        </is>
      </c>
      <c r="Q2005" t="inlineStr">
        <is>
          <t>🚫重复</t>
        </is>
      </c>
      <c r="R2005" t="inlineStr">
        <is>
          <t>15周</t>
        </is>
      </c>
      <c r="S2005" t="inlineStr">
        <is>
          <t>0.48</t>
        </is>
      </c>
      <c r="T2005" t="inlineStr">
        <is>
          <t>服饰穿搭</t>
        </is>
      </c>
      <c r="U2005" t="inlineStr">
        <is>
          <t>女装</t>
        </is>
      </c>
      <c r="V2005" s="3">
        <v>46121.98079861111</v>
      </c>
      <c r="W2005" t="inlineStr">
        <is>
          <t>2026-Q2</t>
        </is>
      </c>
    </row>
    <row r="2006" ht="25.5" customHeight="1">
      <c r="A2006" t="inlineStr">
        <is>
          <t>浅蓝美式复古微喇牛仔裤女2026春夏宽松显瘦不贴腿拖地喇叭裤子</t>
        </is>
      </c>
      <c r="B2006" t="inlineStr">
        <is>
          <t>recvgjaKncu8ee.jpg</t>
        </is>
      </c>
      <c r="C2006" s="2" t="str">
        <f>=HYPERLINK("https://xhslink.com/m/5Gp0KXLW2q3", "https://xhslink.com/m/5Gp0KXLW2q3")</f>
        <v>https://xhslink.com/m/5Gp0KXLW2q3</v>
      </c>
      <c r="D2006"/>
      <c r="E2006">
        <v>30000</v>
      </c>
      <c r="F2006">
        <v>115</v>
      </c>
      <c r="G2006">
        <v>85</v>
      </c>
      <c r="H2006">
        <v>200</v>
      </c>
      <c r="I2006" t="inlineStr">
        <is>
          <t>裤子</t>
        </is>
      </c>
      <c r="J2006" t="inlineStr">
        <is>
          <t>0.01</t>
        </is>
      </c>
      <c r="K2006"/>
      <c r="L2006" t="inlineStr">
        <is>
          <t>总是被夸漂亮的店</t>
        </is>
      </c>
      <c r="M2006">
        <v>33000</v>
      </c>
      <c r="N2006">
        <v>4.41</v>
      </c>
      <c r="O2006">
        <v>224000</v>
      </c>
      <c r="P2006" t="inlineStr">
        <is>
          <t>67ded3bc98b4be0001518840</t>
        </is>
      </c>
      <c r="Q2006" t="inlineStr">
        <is>
          <t>🚫重复</t>
        </is>
      </c>
      <c r="R2006" t="inlineStr">
        <is>
          <t>15周</t>
        </is>
      </c>
      <c r="S2006" t="inlineStr">
        <is>
          <t>0.91</t>
        </is>
      </c>
      <c r="T2006" t="inlineStr">
        <is>
          <t>服饰穿搭</t>
        </is>
      </c>
      <c r="U2006" t="inlineStr">
        <is>
          <t>女装</t>
        </is>
      </c>
      <c r="V2006" s="3">
        <v>46121.98079861111</v>
      </c>
      <c r="W2006" t="inlineStr">
        <is>
          <t>2026-Q2</t>
        </is>
      </c>
    </row>
    <row r="2007" ht="25.5" customHeight="1">
      <c r="A2007" t="inlineStr">
        <is>
          <t>【显瘦百搭】窄版直筒牛仔裤YKK拉链阔腿裤宽松休闲通勤百搭长裤</t>
        </is>
      </c>
      <c r="B2007" t="inlineStr">
        <is>
          <t>recvgjaKncWIKJ.jpg</t>
        </is>
      </c>
      <c r="C2007" s="2" t="str">
        <f>=HYPERLINK("https://xhslink.com/m/Aa1PaWtPRkc", "https://xhslink.com/m/Aa1PaWtPRkc")</f>
        <v>https://xhslink.com/m/Aa1PaWtPRkc</v>
      </c>
      <c r="D2007"/>
      <c r="E2007">
        <v>34000</v>
      </c>
      <c r="F2007">
        <v>109.99</v>
      </c>
      <c r="G2007">
        <v>89.99</v>
      </c>
      <c r="H2007">
        <v>200</v>
      </c>
      <c r="I2007" t="inlineStr">
        <is>
          <t>裤子</t>
        </is>
      </c>
      <c r="J2007" t="inlineStr">
        <is>
          <t>0.01</t>
        </is>
      </c>
      <c r="K2007" t="inlineStr">
        <is>
          <t>🔥低粉爆款</t>
        </is>
      </c>
      <c r="L2007" t="inlineStr">
        <is>
          <t>小晴天1的店</t>
        </is>
      </c>
      <c r="M2007">
        <v>4416</v>
      </c>
      <c r="N2007">
        <v>4.39</v>
      </c>
      <c r="O2007">
        <v>70000</v>
      </c>
      <c r="P2007" t="inlineStr">
        <is>
          <t>67380c539bf38e0001c164ef</t>
        </is>
      </c>
      <c r="Q2007" t="inlineStr">
        <is>
          <t>🚫重复</t>
        </is>
      </c>
      <c r="R2007" t="inlineStr">
        <is>
          <t>15周</t>
        </is>
      </c>
      <c r="S2007" t="inlineStr">
        <is>
          <t>7.70</t>
        </is>
      </c>
      <c r="T2007" t="inlineStr">
        <is>
          <t>服饰穿搭</t>
        </is>
      </c>
      <c r="U2007" t="inlineStr">
        <is>
          <t>女装</t>
        </is>
      </c>
      <c r="V2007" s="3">
        <v>46121.98079861111</v>
      </c>
      <c r="W2007" t="inlineStr">
        <is>
          <t>2026-Q2</t>
        </is>
      </c>
    </row>
    <row r="2008" ht="25.5" customHeight="1">
      <c r="A2008" t="inlineStr">
        <is>
          <t>日系裤子小个子九分烟管裤女春秋宽松休闲裤</t>
        </is>
      </c>
      <c r="B2008" t="inlineStr">
        <is>
          <t>recvgjaKncE1tw.jpg</t>
        </is>
      </c>
      <c r="C2008" s="2" t="str">
        <f>=HYPERLINK("https://xhslink.com/m/9d9M2Yegwga", "https://xhslink.com/m/9d9M2Yegwga")</f>
        <v>https://xhslink.com/m/9d9M2Yegwga</v>
      </c>
      <c r="D2008"/>
      <c r="E2008">
        <v>37000</v>
      </c>
      <c r="F2008">
        <v>89</v>
      </c>
      <c r="G2008">
        <v>86</v>
      </c>
      <c r="H2008">
        <v>200</v>
      </c>
      <c r="I2008" t="inlineStr">
        <is>
          <t>裤子</t>
        </is>
      </c>
      <c r="J2008" t="inlineStr">
        <is>
          <t>0.01</t>
        </is>
      </c>
      <c r="K2008"/>
      <c r="L2008" t="inlineStr">
        <is>
          <t>景景穿搭分享的店</t>
        </is>
      </c>
      <c r="M2008">
        <v>14000</v>
      </c>
      <c r="N2008">
        <v>4.47</v>
      </c>
      <c r="O2008">
        <v>111000</v>
      </c>
      <c r="P2008" t="inlineStr">
        <is>
          <t>67c536dfd61c3f0015727712</t>
        </is>
      </c>
      <c r="Q2008" t="inlineStr">
        <is>
          <t>🚫重复</t>
        </is>
      </c>
      <c r="R2008" t="inlineStr">
        <is>
          <t>15周</t>
        </is>
      </c>
      <c r="S2008" t="inlineStr">
        <is>
          <t>2.64</t>
        </is>
      </c>
      <c r="T2008" t="inlineStr">
        <is>
          <t>服饰穿搭</t>
        </is>
      </c>
      <c r="U2008" t="inlineStr">
        <is>
          <t>女装</t>
        </is>
      </c>
      <c r="V2008" s="3">
        <v>46121.98079861111</v>
      </c>
      <c r="W2008" t="inlineStr">
        <is>
          <t>2026-Q2</t>
        </is>
      </c>
    </row>
    <row r="2009" ht="25.5" customHeight="1">
      <c r="A2009" t="inlineStr">
        <is>
          <t>轻薄天丝牛仔阔腿裤春季女2026新款夏季直筒休闲冰丝西装裤子女裤</t>
        </is>
      </c>
      <c r="B2009" t="inlineStr">
        <is>
          <t>recvgjaKncvahi.jpg</t>
        </is>
      </c>
      <c r="C2009" s="2" t="str">
        <f>=HYPERLINK("https://xhslink.com/m/9nQgTSlXYtm", "https://xhslink.com/m/9nQgTSlXYtm")</f>
        <v>https://xhslink.com/m/9nQgTSlXYtm</v>
      </c>
      <c r="D2009"/>
      <c r="E2009">
        <v>26000</v>
      </c>
      <c r="F2009">
        <v>128.4</v>
      </c>
      <c r="G2009">
        <v>89.9</v>
      </c>
      <c r="H2009">
        <v>200</v>
      </c>
      <c r="I2009" t="inlineStr">
        <is>
          <t>裤子</t>
        </is>
      </c>
      <c r="J2009" t="inlineStr">
        <is>
          <t>0.01</t>
        </is>
      </c>
      <c r="K2009"/>
      <c r="L2009" t="inlineStr">
        <is>
          <t>-乐分享的店</t>
        </is>
      </c>
      <c r="M2009">
        <v>141000</v>
      </c>
      <c r="N2009">
        <v>4.57</v>
      </c>
      <c r="O2009">
        <v>984000</v>
      </c>
      <c r="P2009" t="inlineStr">
        <is>
          <t>663dc2b4684a6500010619d7</t>
        </is>
      </c>
      <c r="Q2009" t="inlineStr">
        <is>
          <t>🚫重复</t>
        </is>
      </c>
      <c r="R2009" t="inlineStr">
        <is>
          <t>15周</t>
        </is>
      </c>
      <c r="S2009" t="inlineStr">
        <is>
          <t>0.18</t>
        </is>
      </c>
      <c r="T2009" t="inlineStr">
        <is>
          <t>服饰穿搭</t>
        </is>
      </c>
      <c r="U2009" t="inlineStr">
        <is>
          <t>女装</t>
        </is>
      </c>
      <c r="V2009" s="3">
        <v>46121.98079861111</v>
      </c>
      <c r="W2009" t="inlineStr">
        <is>
          <t>2026-Q2</t>
        </is>
      </c>
    </row>
    <row r="2010" ht="25.5" customHeight="1">
      <c r="A2010" t="inlineStr">
        <is>
          <t>哈哈ootd 春季新款宝蓝色工装牛仔裤女高腰宽松设计感拖地阔腿裤</t>
        </is>
      </c>
      <c r="B2010" t="inlineStr">
        <is>
          <t>recvgjaKncl4Nd.jpg</t>
        </is>
      </c>
      <c r="C2010" s="2" t="str">
        <f>=HYPERLINK("https://xhslink.com/m/4yoFsdp5XkL", "https://xhslink.com/m/4yoFsdp5XkL")</f>
        <v>https://xhslink.com/m/4yoFsdp5XkL</v>
      </c>
      <c r="D2010"/>
      <c r="E2010">
        <v>8579</v>
      </c>
      <c r="F2010">
        <v>128</v>
      </c>
      <c r="G2010">
        <v>91</v>
      </c>
      <c r="H2010">
        <v>200</v>
      </c>
      <c r="I2010" t="inlineStr">
        <is>
          <t>裤子</t>
        </is>
      </c>
      <c r="J2010" t="inlineStr">
        <is>
          <t>0.02</t>
        </is>
      </c>
      <c r="K2010"/>
      <c r="L2010" t="inlineStr">
        <is>
          <t>哈哈ootd的店</t>
        </is>
      </c>
      <c r="M2010">
        <v>4322</v>
      </c>
      <c r="N2010">
        <v>4.72</v>
      </c>
      <c r="O2010">
        <v>24000</v>
      </c>
      <c r="P2010" t="inlineStr">
        <is>
          <t>68d89380d3eed20001e3ae1b</t>
        </is>
      </c>
      <c r="Q2010" t="inlineStr">
        <is>
          <t>🚫重复</t>
        </is>
      </c>
      <c r="R2010" t="inlineStr">
        <is>
          <t>15周</t>
        </is>
      </c>
      <c r="S2010" t="inlineStr">
        <is>
          <t>1.98</t>
        </is>
      </c>
      <c r="T2010" t="inlineStr">
        <is>
          <t>服饰穿搭</t>
        </is>
      </c>
      <c r="U2010" t="inlineStr">
        <is>
          <t>女装</t>
        </is>
      </c>
      <c r="V2010" s="3">
        <v>46121.98079861111</v>
      </c>
      <c r="W2010" t="inlineStr">
        <is>
          <t>2026-Q2</t>
        </is>
      </c>
    </row>
    <row r="2011" ht="25.5" customHeight="1">
      <c r="A2011" t="inlineStr">
        <is>
          <t>AUTUZCCI · 高腰阔腿牛仔裤显瘦新款港风复古垂感直筒拖地裤小个子7498</t>
        </is>
      </c>
      <c r="B2011" t="inlineStr">
        <is>
          <t>recvgjaKncV88S.jpg</t>
        </is>
      </c>
      <c r="C2011" s="2" t="str">
        <f>=HYPERLINK("https://xhslink.com/m/1xYQK9wYPUl", "https://xhslink.com/m/1xYQK9wYPUl")</f>
        <v>https://xhslink.com/m/1xYQK9wYPUl</v>
      </c>
      <c r="D2011"/>
      <c r="E2011">
        <v>22000</v>
      </c>
      <c r="F2011">
        <v>179</v>
      </c>
      <c r="G2011"/>
      <c r="H2011">
        <v>200</v>
      </c>
      <c r="I2011" t="inlineStr">
        <is>
          <t>裤子</t>
        </is>
      </c>
      <c r="J2011" t="inlineStr">
        <is>
          <t>0.01</t>
        </is>
      </c>
      <c r="K2011"/>
      <c r="L2011" t="inlineStr">
        <is>
          <t>AUTUZCCI的店</t>
        </is>
      </c>
      <c r="M2011">
        <v>31000</v>
      </c>
      <c r="N2011">
        <v>4.53</v>
      </c>
      <c r="O2011">
        <v>85000</v>
      </c>
      <c r="P2011" t="inlineStr">
        <is>
          <t>67b471e2fb962200015bb7f6</t>
        </is>
      </c>
      <c r="Q2011" t="inlineStr">
        <is>
          <t>🚫重复</t>
        </is>
      </c>
      <c r="R2011" t="inlineStr">
        <is>
          <t>15周</t>
        </is>
      </c>
      <c r="S2011" t="inlineStr">
        <is>
          <t>0.71</t>
        </is>
      </c>
      <c r="T2011" t="inlineStr">
        <is>
          <t>服饰穿搭</t>
        </is>
      </c>
      <c r="U2011" t="inlineStr">
        <is>
          <t>女装</t>
        </is>
      </c>
      <c r="V2011" s="3">
        <v>46121.98079861111</v>
      </c>
      <c r="W2011" t="inlineStr">
        <is>
          <t>2026-Q2</t>
        </is>
      </c>
    </row>
    <row r="2012" ht="25.5" customHeight="1">
      <c r="A2012" t="inlineStr">
        <is>
          <t>梨茉~高弹力高腰窄版直筒修身显瘦牛仔裤小个子女</t>
        </is>
      </c>
      <c r="B2012" t="inlineStr">
        <is>
          <t>recvgjaKnc1p31.jpg</t>
        </is>
      </c>
      <c r="C2012" s="2" t="str">
        <f>=HYPERLINK("https://xhslink.com/m/A3ofRqNgTK9", "https://xhslink.com/m/A3ofRqNgTK9")</f>
        <v>https://xhslink.com/m/A3ofRqNgTK9</v>
      </c>
      <c r="D2012"/>
      <c r="E2012">
        <v>5992</v>
      </c>
      <c r="F2012">
        <v>118</v>
      </c>
      <c r="G2012">
        <v>99</v>
      </c>
      <c r="H2012">
        <v>200</v>
      </c>
      <c r="I2012" t="inlineStr">
        <is>
          <t>裤子</t>
        </is>
      </c>
      <c r="J2012" t="inlineStr">
        <is>
          <t>0.03</t>
        </is>
      </c>
      <c r="K2012"/>
      <c r="L2012" t="inlineStr">
        <is>
          <t>梨茉STUDIO👖的店</t>
        </is>
      </c>
      <c r="M2012">
        <v>3341</v>
      </c>
      <c r="N2012">
        <v>4.52</v>
      </c>
      <c r="O2012">
        <v>66000</v>
      </c>
      <c r="P2012" t="inlineStr">
        <is>
          <t>67d576425fc3f70001126adc</t>
        </is>
      </c>
      <c r="Q2012" t="inlineStr">
        <is>
          <t>🚫重复</t>
        </is>
      </c>
      <c r="R2012" t="inlineStr">
        <is>
          <t>15周</t>
        </is>
      </c>
      <c r="S2012" t="inlineStr">
        <is>
          <t>1.79</t>
        </is>
      </c>
      <c r="T2012" t="inlineStr">
        <is>
          <t>服饰穿搭</t>
        </is>
      </c>
      <c r="U2012" t="inlineStr">
        <is>
          <t>女装</t>
        </is>
      </c>
      <c r="V2012" s="3">
        <v>46121.98079861111</v>
      </c>
      <c r="W2012" t="inlineStr">
        <is>
          <t>2026-Q2</t>
        </is>
      </c>
    </row>
    <row r="2013" ht="25.5" customHeight="1">
      <c r="A2013" t="inlineStr">
        <is>
          <t>巨舒服的奶皮裤！！宽松阔腿九分裤白色裤子女夏季垂感清凉裤</t>
        </is>
      </c>
      <c r="B2013" t="inlineStr">
        <is>
          <t>recvgjaKncaTxs.jpg</t>
        </is>
      </c>
      <c r="C2013" s="2" t="str">
        <f>=HYPERLINK("https://xhslink.com/m/7nYQ4AtQbIE", "https://xhslink.com/m/7nYQ4AtQbIE")</f>
        <v>https://xhslink.com/m/7nYQ4AtQbIE</v>
      </c>
      <c r="D2013"/>
      <c r="E2013">
        <v>8413</v>
      </c>
      <c r="F2013">
        <v>109</v>
      </c>
      <c r="G2013">
        <v>88.5</v>
      </c>
      <c r="H2013">
        <v>200</v>
      </c>
      <c r="I2013" t="inlineStr">
        <is>
          <t>裤子</t>
        </is>
      </c>
      <c r="J2013" t="inlineStr">
        <is>
          <t>0.02</t>
        </is>
      </c>
      <c r="K2013"/>
      <c r="L2013" t="inlineStr">
        <is>
          <t>一沫制衣的店</t>
        </is>
      </c>
      <c r="M2013">
        <v>148000</v>
      </c>
      <c r="N2013">
        <v>4.66</v>
      </c>
      <c r="O2013">
        <v>949000</v>
      </c>
      <c r="P2013" t="inlineStr">
        <is>
          <t>6607f0a39f57d1000121a37d</t>
        </is>
      </c>
      <c r="Q2013" t="inlineStr">
        <is>
          <t>🚫重复</t>
        </is>
      </c>
      <c r="R2013" t="inlineStr">
        <is>
          <t>15周</t>
        </is>
      </c>
      <c r="S2013" t="inlineStr">
        <is>
          <t>0.06</t>
        </is>
      </c>
      <c r="T2013" t="inlineStr">
        <is>
          <t>服饰穿搭</t>
        </is>
      </c>
      <c r="U2013" t="inlineStr">
        <is>
          <t>女装</t>
        </is>
      </c>
      <c r="V2013" s="3">
        <v>46121.98079861111</v>
      </c>
      <c r="W2013" t="inlineStr">
        <is>
          <t>2026-Q2</t>
        </is>
      </c>
    </row>
    <row r="2014" ht="25.5" customHeight="1">
      <c r="A2014" t="inlineStr">
        <is>
          <t>【通勤·烟管裤】小直筒显瘦九分牛仔裤女高腰弹力梨形遮胯显瘦</t>
        </is>
      </c>
      <c r="B2014" t="inlineStr">
        <is>
          <t>recvgjaKncQL24.jpg</t>
        </is>
      </c>
      <c r="C2014" s="2" t="str">
        <f>=HYPERLINK("https://xhslink.com/m/3b6MwmktoF", "https://xhslink.com/m/3b6MwmktoF")</f>
        <v>https://xhslink.com/m/3b6MwmktoF</v>
      </c>
      <c r="D2014"/>
      <c r="E2014">
        <v>16000</v>
      </c>
      <c r="F2014">
        <v>169.9</v>
      </c>
      <c r="G2014">
        <v>149.9</v>
      </c>
      <c r="H2014">
        <v>200</v>
      </c>
      <c r="I2014" t="inlineStr">
        <is>
          <t>裤子</t>
        </is>
      </c>
      <c r="J2014" t="inlineStr">
        <is>
          <t>0.01</t>
        </is>
      </c>
      <c r="K2014"/>
      <c r="L2014" t="inlineStr">
        <is>
          <t>ChouMei品质女裤的店</t>
        </is>
      </c>
      <c r="M2014">
        <v>44000</v>
      </c>
      <c r="N2014">
        <v>4.56</v>
      </c>
      <c r="O2014">
        <v>171000</v>
      </c>
      <c r="P2014" t="inlineStr">
        <is>
          <t>69b79d4de95b340001af3dbd</t>
        </is>
      </c>
      <c r="Q2014" t="inlineStr">
        <is>
          <t>🚫重复</t>
        </is>
      </c>
      <c r="R2014" t="inlineStr">
        <is>
          <t>15周</t>
        </is>
      </c>
      <c r="S2014" t="inlineStr">
        <is>
          <t>0.36</t>
        </is>
      </c>
      <c r="T2014" t="inlineStr">
        <is>
          <t>服饰穿搭</t>
        </is>
      </c>
      <c r="U2014" t="inlineStr">
        <is>
          <t>女装</t>
        </is>
      </c>
      <c r="V2014" s="3">
        <v>46121.98079861111</v>
      </c>
      <c r="W2014" t="inlineStr">
        <is>
          <t>2026-Q2</t>
        </is>
      </c>
    </row>
    <row r="2015" ht="25.5" customHeight="1">
      <c r="A2015" t="inlineStr">
        <is>
          <t>予白 · 高端重磅面料牛仔裤 四面弹免烫窄版微阔腿裤 十七年版师出品</t>
        </is>
      </c>
      <c r="B2015" t="inlineStr">
        <is>
          <t>recvgjaKncZ1J2.jpg</t>
        </is>
      </c>
      <c r="C2015" s="2" t="str">
        <f>=HYPERLINK("https://xhslink.com/m/4pBafdJSBsy", "https://xhslink.com/m/4pBafdJSBsy")</f>
        <v>https://xhslink.com/m/4pBafdJSBsy</v>
      </c>
      <c r="D2015"/>
      <c r="E2015">
        <v>6462</v>
      </c>
      <c r="F2015">
        <v>600</v>
      </c>
      <c r="G2015">
        <v>278</v>
      </c>
      <c r="H2015">
        <v>200</v>
      </c>
      <c r="I2015" t="inlineStr">
        <is>
          <t>裤子</t>
        </is>
      </c>
      <c r="J2015" t="inlineStr">
        <is>
          <t>0.03</t>
        </is>
      </c>
      <c r="K2015" t="inlineStr">
        <is>
          <t>🔥低粉爆款</t>
        </is>
      </c>
      <c r="L2015" t="inlineStr">
        <is>
          <t>YU予白高级穿搭师的店</t>
        </is>
      </c>
      <c r="M2015">
        <v>2028</v>
      </c>
      <c r="N2015">
        <v>4.68</v>
      </c>
      <c r="O2015">
        <v>8424</v>
      </c>
      <c r="P2015" t="inlineStr">
        <is>
          <t>68e87dd37d3b3f0001057f20</t>
        </is>
      </c>
      <c r="Q2015"/>
      <c r="R2015" t="inlineStr">
        <is>
          <t>15周</t>
        </is>
      </c>
      <c r="S2015" t="inlineStr">
        <is>
          <t>3.19</t>
        </is>
      </c>
      <c r="T2015" t="inlineStr">
        <is>
          <t>服饰穿搭</t>
        </is>
      </c>
      <c r="U2015" t="inlineStr">
        <is>
          <t>女装</t>
        </is>
      </c>
      <c r="V2015" s="3">
        <v>46121.98079861111</v>
      </c>
      <c r="W2015" t="inlineStr">
        <is>
          <t>2026-Q2</t>
        </is>
      </c>
    </row>
    <row r="2016" ht="25.5" customHeight="1">
      <c r="A2016" t="inlineStr">
        <is>
          <t>2026升级版！经典九分直筒牛仔裤</t>
        </is>
      </c>
      <c r="B2016" t="inlineStr">
        <is>
          <t>recvgjaKnc4znQ.jpg</t>
        </is>
      </c>
      <c r="C2016" s="2" t="str">
        <f>=HYPERLINK("https://xhslink.com/m/9B0Tm4rr6qA", "https://xhslink.com/m/9B0Tm4rr6qA")</f>
        <v>https://xhslink.com/m/9B0Tm4rr6qA</v>
      </c>
      <c r="D2016"/>
      <c r="E2016">
        <v>16000</v>
      </c>
      <c r="F2016">
        <v>388</v>
      </c>
      <c r="G2016"/>
      <c r="H2016">
        <v>200</v>
      </c>
      <c r="I2016" t="inlineStr">
        <is>
          <t>裤子</t>
        </is>
      </c>
      <c r="J2016" t="inlineStr">
        <is>
          <t>0.01</t>
        </is>
      </c>
      <c r="K2016"/>
      <c r="L2016" t="inlineStr">
        <is>
          <t>高坂大叔的店</t>
        </is>
      </c>
      <c r="M2016">
        <v>115000</v>
      </c>
      <c r="N2016">
        <v>4.75</v>
      </c>
      <c r="O2016">
        <v>461000</v>
      </c>
      <c r="P2016" t="inlineStr">
        <is>
          <t>6854c3efd67cc200010faa5d</t>
        </is>
      </c>
      <c r="Q2016" t="inlineStr">
        <is>
          <t>🚫重复</t>
        </is>
      </c>
      <c r="R2016" t="inlineStr">
        <is>
          <t>15周</t>
        </is>
      </c>
      <c r="S2016" t="inlineStr">
        <is>
          <t>0.14</t>
        </is>
      </c>
      <c r="T2016" t="inlineStr">
        <is>
          <t>服饰穿搭</t>
        </is>
      </c>
      <c r="U2016" t="inlineStr">
        <is>
          <t>女装</t>
        </is>
      </c>
      <c r="V2016" s="3">
        <v>46121.98079861111</v>
      </c>
      <c r="W2016" t="inlineStr">
        <is>
          <t>2026-Q2</t>
        </is>
      </c>
    </row>
    <row r="2017" ht="25.5" customHeight="1">
      <c r="A2017" t="inlineStr">
        <is>
          <t>碎花弹力喇叭高腰休闲裤显瘦百搭大码女裤</t>
        </is>
      </c>
      <c r="B2017" t="inlineStr">
        <is>
          <t>recvgjaKncW6Is.jpg</t>
        </is>
      </c>
      <c r="C2017" s="2" t="str">
        <f>=HYPERLINK("https://xhslink.com/m/6xH6o6qy35c", "https://xhslink.com/m/6xH6o6qy35c")</f>
        <v>https://xhslink.com/m/6xH6o6qy35c</v>
      </c>
      <c r="D2017"/>
      <c r="E2017">
        <v>5156</v>
      </c>
      <c r="F2017">
        <v>99</v>
      </c>
      <c r="G2017"/>
      <c r="H2017">
        <v>200</v>
      </c>
      <c r="I2017" t="inlineStr">
        <is>
          <t>裤子</t>
        </is>
      </c>
      <c r="J2017" t="inlineStr">
        <is>
          <t>0.04</t>
        </is>
      </c>
      <c r="K2017"/>
      <c r="L2017" t="inlineStr">
        <is>
          <t>夕文的店</t>
        </is>
      </c>
      <c r="M2017">
        <v>58000</v>
      </c>
      <c r="N2017">
        <v>4.64</v>
      </c>
      <c r="O2017">
        <v>285000</v>
      </c>
      <c r="P2017" t="inlineStr">
        <is>
          <t>68a9bde40c85cc000172ff7d</t>
        </is>
      </c>
      <c r="Q2017" t="inlineStr">
        <is>
          <t>🚫重复</t>
        </is>
      </c>
      <c r="R2017" t="inlineStr">
        <is>
          <t>15周</t>
        </is>
      </c>
      <c r="S2017" t="inlineStr">
        <is>
          <t>0.09</t>
        </is>
      </c>
      <c r="T2017" t="inlineStr">
        <is>
          <t>服饰穿搭</t>
        </is>
      </c>
      <c r="U2017" t="inlineStr">
        <is>
          <t>女装</t>
        </is>
      </c>
      <c r="V2017" s="3">
        <v>46121.98079861111</v>
      </c>
      <c r="W2017" t="inlineStr">
        <is>
          <t>2026-Q2</t>
        </is>
      </c>
    </row>
    <row r="2018" ht="25.5" customHeight="1">
      <c r="A2018" t="inlineStr">
        <is>
          <t>宋雨琦同款夏季裤子女款粉色阔腿裤2026新款今年流行爆款运动裤女</t>
        </is>
      </c>
      <c r="B2018" t="inlineStr">
        <is>
          <t>recvgjaKncj4vu.jpg</t>
        </is>
      </c>
      <c r="C2018" s="2" t="str">
        <f>=HYPERLINK("https://xhslink.com/m/5Rjr2Kr5KUi", "https://xhslink.com/m/5Rjr2Kr5KUi")</f>
        <v>https://xhslink.com/m/5Rjr2Kr5KUi</v>
      </c>
      <c r="D2018"/>
      <c r="E2018">
        <v>1025</v>
      </c>
      <c r="F2018">
        <v>158</v>
      </c>
      <c r="G2018"/>
      <c r="H2018">
        <v>200</v>
      </c>
      <c r="I2018" t="inlineStr">
        <is>
          <t>裤子</t>
        </is>
      </c>
      <c r="J2018" t="inlineStr">
        <is>
          <t>0.20</t>
        </is>
      </c>
      <c r="K2018"/>
      <c r="L2018" t="inlineStr">
        <is>
          <t>一棵番薯的店</t>
        </is>
      </c>
      <c r="M2018">
        <v>497</v>
      </c>
      <c r="N2018">
        <v>4.57</v>
      </c>
      <c r="O2018">
        <v>3145</v>
      </c>
      <c r="P2018" t="inlineStr">
        <is>
          <t>69bfa315a20c210001a26b2e</t>
        </is>
      </c>
      <c r="Q2018"/>
      <c r="R2018" t="inlineStr">
        <is>
          <t>15周</t>
        </is>
      </c>
      <c r="S2018" t="inlineStr">
        <is>
          <t>2.06</t>
        </is>
      </c>
      <c r="T2018" t="inlineStr">
        <is>
          <t>服饰穿搭</t>
        </is>
      </c>
      <c r="U2018" t="inlineStr">
        <is>
          <t>女装</t>
        </is>
      </c>
      <c r="V2018" s="3">
        <v>46121.98079861111</v>
      </c>
      <c r="W2018" t="inlineStr">
        <is>
          <t>2026-Q2</t>
        </is>
      </c>
    </row>
    <row r="2019" ht="25.5" customHeight="1">
      <c r="A2019" t="inlineStr">
        <is>
          <t>月如烟缎面阔腿裤</t>
        </is>
      </c>
      <c r="B2019" t="inlineStr">
        <is>
          <t>recvgjaKncOcBH.jpg</t>
        </is>
      </c>
      <c r="C2019" s="2" t="str">
        <f>=HYPERLINK("https://xhslink.com/m/A2NFUqMyi0r", "https://xhslink.com/m/A2NFUqMyi0r")</f>
        <v>https://xhslink.com/m/A2NFUqMyi0r</v>
      </c>
      <c r="D2019"/>
      <c r="E2019">
        <v>8628</v>
      </c>
      <c r="F2019">
        <v>159</v>
      </c>
      <c r="G2019"/>
      <c r="H2019">
        <v>200</v>
      </c>
      <c r="I2019" t="inlineStr">
        <is>
          <t>裤子</t>
        </is>
      </c>
      <c r="J2019" t="inlineStr">
        <is>
          <t>0.02</t>
        </is>
      </c>
      <c r="K2019"/>
      <c r="L2019" t="inlineStr">
        <is>
          <t>知之章旗舰店</t>
        </is>
      </c>
      <c r="M2019">
        <v>85000</v>
      </c>
      <c r="N2019">
        <v>4.66</v>
      </c>
      <c r="O2019">
        <v>324000</v>
      </c>
      <c r="P2019" t="inlineStr">
        <is>
          <t>687e1701ebefca0001a353bc</t>
        </is>
      </c>
      <c r="Q2019" t="inlineStr">
        <is>
          <t>🚫重复</t>
        </is>
      </c>
      <c r="R2019" t="inlineStr">
        <is>
          <t>15周</t>
        </is>
      </c>
      <c r="S2019" t="inlineStr">
        <is>
          <t>0.10</t>
        </is>
      </c>
      <c r="T2019" t="inlineStr">
        <is>
          <t>服饰穿搭</t>
        </is>
      </c>
      <c r="U2019" t="inlineStr">
        <is>
          <t>女装</t>
        </is>
      </c>
      <c r="V2019" s="3">
        <v>46121.98079861111</v>
      </c>
      <c r="W2019" t="inlineStr">
        <is>
          <t>2026-Q2</t>
        </is>
      </c>
    </row>
    <row r="2020" ht="25.5" customHeight="1">
      <c r="A2020" t="inlineStr">
        <is>
          <t>刺绣花朵烫钻牛仔裤女宽松显瘦2026春季新款小个子直筒阔腿裤子</t>
        </is>
      </c>
      <c r="B2020" t="inlineStr">
        <is>
          <t>recvgjaKncHNAx.jpg</t>
        </is>
      </c>
      <c r="C2020" s="2" t="str">
        <f>=HYPERLINK("https://xhslink.com/m/3Jzow0GfZmb", "https://xhslink.com/m/3Jzow0GfZmb")</f>
        <v>https://xhslink.com/m/3Jzow0GfZmb</v>
      </c>
      <c r="D2020"/>
      <c r="E2020">
        <v>849</v>
      </c>
      <c r="F2020">
        <v>159</v>
      </c>
      <c r="G2020">
        <v>126</v>
      </c>
      <c r="H2020">
        <v>200</v>
      </c>
      <c r="I2020" t="inlineStr">
        <is>
          <t>裤子</t>
        </is>
      </c>
      <c r="J2020" t="inlineStr">
        <is>
          <t>0.24</t>
        </is>
      </c>
      <c r="K2020"/>
      <c r="L2020" t="inlineStr">
        <is>
          <t>想想阿卓怎么穿的店</t>
        </is>
      </c>
      <c r="M2020">
        <v>5580</v>
      </c>
      <c r="N2020">
        <v>4.65</v>
      </c>
      <c r="O2020">
        <v>8489</v>
      </c>
      <c r="P2020" t="inlineStr">
        <is>
          <t>69c1311fec666400014afba8</t>
        </is>
      </c>
      <c r="Q2020" t="inlineStr">
        <is>
          <t>🚫重复</t>
        </is>
      </c>
      <c r="R2020" t="inlineStr">
        <is>
          <t>15周</t>
        </is>
      </c>
      <c r="S2020" t="inlineStr">
        <is>
          <t>0.15</t>
        </is>
      </c>
      <c r="T2020" t="inlineStr">
        <is>
          <t>服饰穿搭</t>
        </is>
      </c>
      <c r="U2020" t="inlineStr">
        <is>
          <t>女装</t>
        </is>
      </c>
      <c r="V2020" s="3">
        <v>46121.98079861111</v>
      </c>
      <c r="W2020" t="inlineStr">
        <is>
          <t>2026-Q2</t>
        </is>
      </c>
    </row>
    <row r="2021" ht="25.5" customHeight="1">
      <c r="A2021" t="inlineStr">
        <is>
          <t>【雨露麻】春夏天丝亚麻窄版直筒薄款透气高腰显瘦质感百搭阔腿裤</t>
        </is>
      </c>
      <c r="B2021" t="inlineStr">
        <is>
          <t>recvgjaKncZjeS.jpg</t>
        </is>
      </c>
      <c r="C2021" s="2" t="str">
        <f>=HYPERLINK("https://xhslink.com/m/AvuB7vIsOH", "https://xhslink.com/m/AvuB7vIsOH")</f>
        <v>https://xhslink.com/m/AvuB7vIsOH</v>
      </c>
      <c r="D2021"/>
      <c r="E2021">
        <v>2343</v>
      </c>
      <c r="F2021">
        <v>169.9</v>
      </c>
      <c r="G2021"/>
      <c r="H2021">
        <v>200</v>
      </c>
      <c r="I2021" t="inlineStr">
        <is>
          <t>裤子</t>
        </is>
      </c>
      <c r="J2021" t="inlineStr">
        <is>
          <t>0.09</t>
        </is>
      </c>
      <c r="K2021"/>
      <c r="L2021" t="inlineStr">
        <is>
          <t>K.K轻奢女裤的店</t>
        </is>
      </c>
      <c r="M2021">
        <v>38000</v>
      </c>
      <c r="N2021">
        <v>4.61</v>
      </c>
      <c r="O2021">
        <v>26000</v>
      </c>
      <c r="P2021" t="inlineStr">
        <is>
          <t>68b0d43b71b9e2000136adba</t>
        </is>
      </c>
      <c r="Q2021"/>
      <c r="R2021" t="inlineStr">
        <is>
          <t>15周</t>
        </is>
      </c>
      <c r="S2021" t="inlineStr">
        <is>
          <t>0.06</t>
        </is>
      </c>
      <c r="T2021" t="inlineStr">
        <is>
          <t>服饰穿搭</t>
        </is>
      </c>
      <c r="U2021" t="inlineStr">
        <is>
          <t>女装</t>
        </is>
      </c>
      <c r="V2021" s="3">
        <v>46121.98079861111</v>
      </c>
      <c r="W2021" t="inlineStr">
        <is>
          <t>2026-Q2</t>
        </is>
      </c>
    </row>
    <row r="2022" ht="25.5" customHeight="1">
      <c r="A2022" t="inlineStr">
        <is>
          <t>骷髅小手｜亡灵腐核 哥特亚比挂件 配饰可拆 改耳饰/发夹备注即可</t>
        </is>
      </c>
      <c r="B2022" t="inlineStr">
        <is>
          <t>recvgjaKnc9zmG.jpg</t>
        </is>
      </c>
      <c r="C2022" s="2" t="str">
        <f>=HYPERLINK("https://xhslink.com/m/167pzz8SDLZ", "https://xhslink.com/m/167pzz8SDLZ")</f>
        <v>https://xhslink.com/m/167pzz8SDLZ</v>
      </c>
      <c r="D2022"/>
      <c r="E2022">
        <v>2654</v>
      </c>
      <c r="F2022">
        <v>33.8</v>
      </c>
      <c r="G2022">
        <v>19.8</v>
      </c>
      <c r="H2022">
        <v>200</v>
      </c>
      <c r="I2022" t="inlineStr">
        <is>
          <t>饰品</t>
        </is>
      </c>
      <c r="J2022" t="inlineStr">
        <is>
          <t>0.08</t>
        </is>
      </c>
      <c r="K2022"/>
      <c r="L2022" t="inlineStr">
        <is>
          <t>VORN的店</t>
        </is>
      </c>
      <c r="M2022">
        <v>2463</v>
      </c>
      <c r="N2022">
        <v>4.45</v>
      </c>
      <c r="O2022">
        <v>11000</v>
      </c>
      <c r="P2022" t="inlineStr">
        <is>
          <t>68f4facbf5d0480001f89e97</t>
        </is>
      </c>
      <c r="Q2022" t="inlineStr">
        <is>
          <t>🚫重复</t>
        </is>
      </c>
      <c r="R2022" t="inlineStr">
        <is>
          <t>15周</t>
        </is>
      </c>
      <c r="S2022" t="inlineStr">
        <is>
          <t>1.08</t>
        </is>
      </c>
      <c r="T2022" t="inlineStr">
        <is>
          <t>服饰穿搭</t>
        </is>
      </c>
      <c r="U2022" t="inlineStr">
        <is>
          <t>配饰</t>
        </is>
      </c>
      <c r="V2022" s="3">
        <v>46121.98079861111</v>
      </c>
      <c r="W2022" t="inlineStr">
        <is>
          <t>2026-Q2</t>
        </is>
      </c>
    </row>
    <row r="2023" ht="25.5" customHeight="1">
      <c r="A2023" t="inlineStr">
        <is>
          <t>SDX · 拾度【冯建宇同款】胶原修护颈霜保湿颈膜抗皱淡化脖子去颈纹霜</t>
        </is>
      </c>
      <c r="B2023" t="inlineStr">
        <is>
          <t>recvgjaKncgzQx.jpg</t>
        </is>
      </c>
      <c r="C2023" s="2" t="str">
        <f>=HYPERLINK("https://xhslink.com/m/54df49hpQdo", "https://xhslink.com/m/54df49hpQdo")</f>
        <v>https://xhslink.com/m/54df49hpQdo</v>
      </c>
      <c r="D2023"/>
      <c r="E2023">
        <v>312000</v>
      </c>
      <c r="F2023">
        <v>199.9</v>
      </c>
      <c r="G2023">
        <v>139.9</v>
      </c>
      <c r="H2023">
        <v>200</v>
      </c>
      <c r="I2023" t="inlineStr">
        <is>
          <t>抗衰</t>
        </is>
      </c>
      <c r="J2023" t="inlineStr">
        <is>
          <t>0.00</t>
        </is>
      </c>
      <c r="K2023" t="inlineStr">
        <is>
          <t>🔥低粉爆款</t>
        </is>
      </c>
      <c r="L2023" t="inlineStr">
        <is>
          <t>SDX旗舰店</t>
        </is>
      </c>
      <c r="M2023">
        <v>90000</v>
      </c>
      <c r="N2023">
        <v>4.67</v>
      </c>
      <c r="O2023">
        <v>1620000</v>
      </c>
      <c r="P2023" t="inlineStr">
        <is>
          <t>5f02f306a09141538f80203b</t>
        </is>
      </c>
      <c r="Q2023" t="inlineStr">
        <is>
          <t>🚫重复</t>
        </is>
      </c>
      <c r="R2023" t="inlineStr">
        <is>
          <t>15周</t>
        </is>
      </c>
      <c r="S2023" t="inlineStr">
        <is>
          <t>3.47</t>
        </is>
      </c>
      <c r="T2023" t="inlineStr">
        <is>
          <t>美妆个护</t>
        </is>
      </c>
      <c r="U2023" t="inlineStr">
        <is>
          <t>护肤彩妆</t>
        </is>
      </c>
      <c r="V2023" s="3">
        <v>46121.98079861111</v>
      </c>
      <c r="W2023" t="inlineStr">
        <is>
          <t>2026-Q2</t>
        </is>
      </c>
    </row>
    <row r="2024" ht="25.5" customHeight="1">
      <c r="A2024" t="inlineStr">
        <is>
          <t>江中 · 肝纯片熬夜加班常备</t>
        </is>
      </c>
      <c r="B2024" t="inlineStr">
        <is>
          <t>recvgjaKnchGEE.jpg</t>
        </is>
      </c>
      <c r="C2024" s="2" t="str">
        <f>=HYPERLINK("https://xhslink.com/m/3f2R592xhej", "https://xhslink.com/m/3f2R592xhej")</f>
        <v>https://xhslink.com/m/3f2R592xhej</v>
      </c>
      <c r="D2024"/>
      <c r="E2024">
        <v>35000</v>
      </c>
      <c r="F2024">
        <v>278</v>
      </c>
      <c r="G2024"/>
      <c r="H2024">
        <v>200</v>
      </c>
      <c r="I2024" t="inlineStr">
        <is>
          <t>养生</t>
        </is>
      </c>
      <c r="J2024" t="inlineStr">
        <is>
          <t>0.01</t>
        </is>
      </c>
      <c r="K2024"/>
      <c r="L2024" t="inlineStr">
        <is>
          <t>江中健康食品旗舰店</t>
        </is>
      </c>
      <c r="M2024">
        <v>42000</v>
      </c>
      <c r="N2024">
        <v>4.31</v>
      </c>
      <c r="O2024">
        <v>36000</v>
      </c>
      <c r="P2024" t="inlineStr">
        <is>
          <t>681c43b43ca81b0001866dea</t>
        </is>
      </c>
      <c r="Q2024"/>
      <c r="R2024" t="inlineStr">
        <is>
          <t>15周</t>
        </is>
      </c>
      <c r="S2024" t="inlineStr">
        <is>
          <t>0.83</t>
        </is>
      </c>
      <c r="T2024" t="inlineStr">
        <is>
          <t>美食滋补</t>
        </is>
      </c>
      <c r="U2024" t="inlineStr">
        <is>
          <t>营养滋补</t>
        </is>
      </c>
      <c r="V2024" s="3">
        <v>46121.98079861111</v>
      </c>
      <c r="W2024" t="inlineStr">
        <is>
          <t>2026-Q2</t>
        </is>
      </c>
    </row>
    <row r="2025" ht="25.5" customHeight="1">
      <c r="A2025" t="inlineStr">
        <is>
          <t>intous · 【2盒限时秒杀 】燃燃AK4000小控热白芸豆阻断片剂隔碳糖果压片</t>
        </is>
      </c>
      <c r="B2025" t="inlineStr">
        <is>
          <t>recvgjaKncidMs.jpg</t>
        </is>
      </c>
      <c r="C2025" s="2" t="str">
        <f>=HYPERLINK("https://xhslink.com/m/j4g3iSCmWe", "https://xhslink.com/m/j4g3iSCmWe")</f>
        <v>https://xhslink.com/m/j4g3iSCmWe</v>
      </c>
      <c r="D2025"/>
      <c r="E2025">
        <v>26000</v>
      </c>
      <c r="F2025">
        <v>199</v>
      </c>
      <c r="G2025">
        <v>97.8</v>
      </c>
      <c r="H2025">
        <v>200</v>
      </c>
      <c r="I2025" t="inlineStr">
        <is>
          <t>养生</t>
        </is>
      </c>
      <c r="J2025" t="inlineStr">
        <is>
          <t>0.01</t>
        </is>
      </c>
      <c r="K2025"/>
      <c r="L2025" t="inlineStr">
        <is>
          <t>燃燃咖素intous旗舰店</t>
        </is>
      </c>
      <c r="M2025">
        <v>128000</v>
      </c>
      <c r="N2025">
        <v>4.47</v>
      </c>
      <c r="O2025">
        <v>308000</v>
      </c>
      <c r="P2025" t="inlineStr">
        <is>
          <t>68d52163c7536100015d6942</t>
        </is>
      </c>
      <c r="Q2025"/>
      <c r="R2025" t="inlineStr">
        <is>
          <t>15周</t>
        </is>
      </c>
      <c r="S2025" t="inlineStr">
        <is>
          <t>0.20</t>
        </is>
      </c>
      <c r="T2025" t="inlineStr">
        <is>
          <t>美食滋补</t>
        </is>
      </c>
      <c r="U2025" t="inlineStr">
        <is>
          <t>休闲零食</t>
        </is>
      </c>
      <c r="V2025" s="3">
        <v>46121.98079861111</v>
      </c>
      <c r="W2025" t="inlineStr">
        <is>
          <t>2026-Q2</t>
        </is>
      </c>
    </row>
    <row r="2026" ht="25.5" customHeight="1">
      <c r="A2026" t="inlineStr">
        <is>
          <t>苹果黄芪麦冬桂圆水2.0升级版秋冬天气色茶水熬夜素颜补气养生茶</t>
        </is>
      </c>
      <c r="B2026" t="inlineStr">
        <is>
          <t>recvgoYBVaDldt.jpg</t>
        </is>
      </c>
      <c r="C2026" s="2" t="str">
        <f>=HYPERLINK("https://xhslink.com/m/5hTd7USYYIv", "https://xhslink.com/m/5hTd7USYYIv")</f>
        <v>https://xhslink.com/m/5hTd7USYYIv</v>
      </c>
      <c r="D2026"/>
      <c r="E2026">
        <v>8117</v>
      </c>
      <c r="F2026">
        <v>36.9</v>
      </c>
      <c r="G2026">
        <v>16.9</v>
      </c>
      <c r="H2026">
        <v>200</v>
      </c>
      <c r="I2026" t="inlineStr">
        <is>
          <t>养生茶</t>
        </is>
      </c>
      <c r="J2026" t="inlineStr">
        <is>
          <t>0.02</t>
        </is>
      </c>
      <c r="K2026"/>
      <c r="L2026" t="inlineStr">
        <is>
          <t>萍姐姐爱养生的店</t>
        </is>
      </c>
      <c r="M2026">
        <v>438000</v>
      </c>
      <c r="N2026">
        <v>4.57</v>
      </c>
      <c r="O2026">
        <v>9645</v>
      </c>
      <c r="P2026" t="inlineStr">
        <is>
          <t>68f201bcc074c50001ccad26</t>
        </is>
      </c>
      <c r="Q2026"/>
      <c r="R2026" t="inlineStr">
        <is>
          <t>15周</t>
        </is>
      </c>
      <c r="S2026" t="inlineStr">
        <is>
          <t>0.02</t>
        </is>
      </c>
      <c r="T2026" t="inlineStr">
        <is>
          <t>美食滋补</t>
        </is>
      </c>
      <c r="U2026" t="inlineStr">
        <is>
          <t>酒水冲饮</t>
        </is>
      </c>
      <c r="V2026" s="3">
        <v>46122.973495370374</v>
      </c>
      <c r="W2026" t="inlineStr">
        <is>
          <t>2026-Q2</t>
        </is>
      </c>
    </row>
    <row r="2027" ht="25.5" customHeight="1">
      <c r="A2027" t="inlineStr">
        <is>
          <t>苹果黄芪麦冬桂圆水升级版2.0春夏天气色茶水熬夜素颜养生茶包</t>
        </is>
      </c>
      <c r="B2027" t="inlineStr">
        <is>
          <t>recvgoYCuBNHvg.jpg</t>
        </is>
      </c>
      <c r="C2027" s="2" t="str">
        <f>=HYPERLINK("https://xhslink.com/m/5jdPt2WCbFb", "https://xhslink.com/m/5jdPt2WCbFb")</f>
        <v>https://xhslink.com/m/5jdPt2WCbFb</v>
      </c>
      <c r="D2027"/>
      <c r="E2027">
        <v>60000</v>
      </c>
      <c r="F2027">
        <v>50.9</v>
      </c>
      <c r="G2027">
        <v>16.9</v>
      </c>
      <c r="H2027">
        <v>200</v>
      </c>
      <c r="I2027" t="inlineStr">
        <is>
          <t>养生茶</t>
        </is>
      </c>
      <c r="J2027" t="inlineStr">
        <is>
          <t>0.00</t>
        </is>
      </c>
      <c r="K2027" t="inlineStr">
        <is>
          <t>🔥低粉爆款</t>
        </is>
      </c>
      <c r="L2027" t="inlineStr">
        <is>
          <t>方源茶寮的店</t>
        </is>
      </c>
      <c r="M2027">
        <v>351</v>
      </c>
      <c r="N2027">
        <v>4.44</v>
      </c>
      <c r="O2027">
        <v>62000</v>
      </c>
      <c r="P2027" t="inlineStr">
        <is>
          <t>68c7e29289b74800158eb582</t>
        </is>
      </c>
      <c r="Q2027" t="inlineStr">
        <is>
          <t>🚫重复</t>
        </is>
      </c>
      <c r="R2027" t="inlineStr">
        <is>
          <t>15周</t>
        </is>
      </c>
      <c r="S2027" t="inlineStr">
        <is>
          <t>170.94</t>
        </is>
      </c>
      <c r="T2027" t="inlineStr">
        <is>
          <t>美食滋补</t>
        </is>
      </c>
      <c r="U2027" t="inlineStr">
        <is>
          <t>酒水冲饮</t>
        </is>
      </c>
      <c r="V2027" s="3">
        <v>46122.97351851852</v>
      </c>
      <c r="W2027" t="inlineStr">
        <is>
          <t>2026-Q2</t>
        </is>
      </c>
    </row>
    <row r="2028" ht="25.5" customHeight="1">
      <c r="A2028" t="inlineStr">
        <is>
          <t>收纳柜/小推车/ 护肤品化妆品收纳/ 零食收纳/ 360度旋转</t>
        </is>
      </c>
      <c r="B2028" t="inlineStr">
        <is>
          <t>recvgoYCuBzLtB.jpg</t>
        </is>
      </c>
      <c r="C2028" s="2" t="str">
        <f>=HYPERLINK("https://xhslink.com/m/Ahq2zZELc41", "https://xhslink.com/m/Ahq2zZELc41")</f>
        <v>https://xhslink.com/m/Ahq2zZELc41</v>
      </c>
      <c r="D2028"/>
      <c r="E2028">
        <v>4191</v>
      </c>
      <c r="F2028">
        <v>225</v>
      </c>
      <c r="G2028">
        <v>195</v>
      </c>
      <c r="H2028">
        <v>200</v>
      </c>
      <c r="I2028" t="inlineStr">
        <is>
          <t>卧室收纳</t>
        </is>
      </c>
      <c r="J2028" t="inlineStr">
        <is>
          <t>0.05</t>
        </is>
      </c>
      <c r="K2028" t="inlineStr">
        <is>
          <t>🔥低粉爆款</t>
        </is>
      </c>
      <c r="L2028" t="inlineStr">
        <is>
          <t>Momo的家居好物的店</t>
        </is>
      </c>
      <c r="M2028">
        <v>642</v>
      </c>
      <c r="N2028">
        <v>4.52</v>
      </c>
      <c r="O2028">
        <v>12000</v>
      </c>
      <c r="P2028" t="inlineStr">
        <is>
          <t>67fcb28a1899f10001f7f162</t>
        </is>
      </c>
      <c r="Q2028" t="inlineStr">
        <is>
          <t>🚫重复</t>
        </is>
      </c>
      <c r="R2028" t="inlineStr">
        <is>
          <t>15周</t>
        </is>
      </c>
      <c r="S2028" t="inlineStr">
        <is>
          <t>6.53</t>
        </is>
      </c>
      <c r="T2028" t="inlineStr">
        <is>
          <t>美妆个护</t>
        </is>
      </c>
      <c r="U2028" t="inlineStr">
        <is>
          <t>护肤彩妆</t>
        </is>
      </c>
      <c r="V2028" s="3">
        <v>46122.97351851852</v>
      </c>
      <c r="W2028" t="inlineStr">
        <is>
          <t>2026-Q2</t>
        </is>
      </c>
    </row>
    <row r="2029" ht="25.5" customHeight="1">
      <c r="A2029" t="inlineStr">
        <is>
          <t>家的角落 · 书房办公室桌下可移动置物架书架带滑轮简约学生书本整理收纳箱</t>
        </is>
      </c>
      <c r="B2029" t="inlineStr">
        <is>
          <t>recvgoYCuBXpyx.jpg</t>
        </is>
      </c>
      <c r="C2029" s="2" t="str">
        <f>=HYPERLINK("https://xhslink.com/m/68epo2n2VUF", "https://xhslink.com/m/68epo2n2VUF")</f>
        <v>https://xhslink.com/m/68epo2n2VUF</v>
      </c>
      <c r="D2029"/>
      <c r="E2029">
        <v>14000</v>
      </c>
      <c r="F2029">
        <v>51</v>
      </c>
      <c r="G2029">
        <v>33</v>
      </c>
      <c r="H2029">
        <v>200</v>
      </c>
      <c r="I2029" t="inlineStr">
        <is>
          <t>书桌收纳</t>
        </is>
      </c>
      <c r="J2029" t="inlineStr">
        <is>
          <t>0.01</t>
        </is>
      </c>
      <c r="K2029"/>
      <c r="L2029" t="inlineStr">
        <is>
          <t>家的角落的店</t>
        </is>
      </c>
      <c r="M2029">
        <v>1021000</v>
      </c>
      <c r="N2029">
        <v>4.61</v>
      </c>
      <c r="O2029">
        <v>540000</v>
      </c>
      <c r="P2029" t="inlineStr">
        <is>
          <t>67dfe2636147ac000135d6dc</t>
        </is>
      </c>
      <c r="Q2029" t="inlineStr">
        <is>
          <t>🚫重复</t>
        </is>
      </c>
      <c r="R2029" t="inlineStr">
        <is>
          <t>15周</t>
        </is>
      </c>
      <c r="S2029" t="inlineStr">
        <is>
          <t>0.01</t>
        </is>
      </c>
      <c r="T2029" t="inlineStr">
        <is>
          <t>家居生活</t>
        </is>
      </c>
      <c r="U2029" t="inlineStr">
        <is>
          <t>家居日用</t>
        </is>
      </c>
      <c r="V2029" s="3">
        <v>46122.97351851852</v>
      </c>
      <c r="W2029" t="inlineStr">
        <is>
          <t>2026-Q2</t>
        </is>
      </c>
    </row>
    <row r="2030" ht="25.5" customHeight="1">
      <c r="A2030" t="inlineStr">
        <is>
          <t>德国幼儿专注力培养点读版 全6册 1-4岁 赠七巧板（不含点读笔）</t>
        </is>
      </c>
      <c r="B2030" t="inlineStr">
        <is>
          <t>recvgoYCuBsuCe.jpg</t>
        </is>
      </c>
      <c r="C2030" s="2" t="str">
        <f>=HYPERLINK("https://xhslink.com/m/4tLV1zQ9xYT", "https://xhslink.com/m/4tLV1zQ9xYT")</f>
        <v>https://xhslink.com/m/4tLV1zQ9xYT</v>
      </c>
      <c r="D2030"/>
      <c r="E2030">
        <v>11000</v>
      </c>
      <c r="F2030">
        <v>79</v>
      </c>
      <c r="G2030">
        <v>59</v>
      </c>
      <c r="H2030">
        <v>200</v>
      </c>
      <c r="I2030" t="inlineStr">
        <is>
          <t>原始绘本</t>
        </is>
      </c>
      <c r="J2030" t="inlineStr">
        <is>
          <t>0.02</t>
        </is>
      </c>
      <c r="K2030" t="inlineStr">
        <is>
          <t>🔥低粉爆款</t>
        </is>
      </c>
      <c r="L2030" t="inlineStr">
        <is>
          <t>启航图书的店</t>
        </is>
      </c>
      <c r="M2030">
        <v>443</v>
      </c>
      <c r="N2030">
        <v>4.79</v>
      </c>
      <c r="O2030">
        <v>12000</v>
      </c>
      <c r="P2030" t="inlineStr">
        <is>
          <t>68cabb76aed1a40015a1a404</t>
        </is>
      </c>
      <c r="Q2030"/>
      <c r="R2030" t="inlineStr">
        <is>
          <t>15周</t>
        </is>
      </c>
      <c r="S2030" t="inlineStr">
        <is>
          <t>24.83</t>
        </is>
      </c>
      <c r="T2030" t="inlineStr">
        <is>
          <t>运动潮玩</t>
        </is>
      </c>
      <c r="U2030" t="inlineStr">
        <is>
          <t>图书文创</t>
        </is>
      </c>
      <c r="V2030" s="3">
        <v>46122.97351851852</v>
      </c>
      <c r="W2030" t="inlineStr">
        <is>
          <t>2026-Q2</t>
        </is>
      </c>
    </row>
    <row r="2031" ht="25.5" customHeight="1">
      <c r="A2031" t="inlineStr">
        <is>
          <t>SEN X WANG · 美式百搭宽檐字母刺绣棒球帽男女同款显白2026春夏新款软顶显脸小</t>
        </is>
      </c>
      <c r="B2031" t="inlineStr">
        <is>
          <t>recvgoYCuBsLNI.jpg</t>
        </is>
      </c>
      <c r="C2031" s="2" t="str">
        <f>=HYPERLINK("https://xhslink.com/m/7IVp8mtPz8I", "https://xhslink.com/m/7IVp8mtPz8I")</f>
        <v>https://xhslink.com/m/7IVp8mtPz8I</v>
      </c>
      <c r="D2031"/>
      <c r="E2031">
        <v>83000</v>
      </c>
      <c r="F2031">
        <v>47.8</v>
      </c>
      <c r="G2031">
        <v>43.8</v>
      </c>
      <c r="H2031">
        <v>200</v>
      </c>
      <c r="I2031" t="inlineStr">
        <is>
          <t>运动包配</t>
        </is>
      </c>
      <c r="J2031" t="inlineStr">
        <is>
          <t>0.00</t>
        </is>
      </c>
      <c r="K2031" t="inlineStr">
        <is>
          <t>🔥低粉爆款</t>
        </is>
      </c>
      <c r="L2031" t="inlineStr">
        <is>
          <t>SEN X WANG旗舰店</t>
        </is>
      </c>
      <c r="M2031">
        <v>11000</v>
      </c>
      <c r="N2031">
        <v>4.36</v>
      </c>
      <c r="O2031">
        <v>120000</v>
      </c>
      <c r="P2031" t="inlineStr">
        <is>
          <t>6620e74c967a4b00016aebf9</t>
        </is>
      </c>
      <c r="Q2031" t="inlineStr">
        <is>
          <t>🚫重复</t>
        </is>
      </c>
      <c r="R2031" t="inlineStr">
        <is>
          <t>15周</t>
        </is>
      </c>
      <c r="S2031" t="inlineStr">
        <is>
          <t>7.55</t>
        </is>
      </c>
      <c r="T2031" t="inlineStr">
        <is>
          <t>运动潮玩</t>
        </is>
      </c>
      <c r="U2031" t="inlineStr">
        <is>
          <t>运动户外装备</t>
        </is>
      </c>
      <c r="V2031" s="3">
        <v>46122.97351851852</v>
      </c>
      <c r="W2031" t="inlineStr">
        <is>
          <t>2026-Q2</t>
        </is>
      </c>
    </row>
    <row r="2032" ht="25.5" customHeight="1">
      <c r="A2032" t="inlineStr">
        <is>
          <t>山觅户外机能风轻量化双肩包男女士休闲旅行运动包通勤14寸电脑包</t>
        </is>
      </c>
      <c r="B2032" t="inlineStr">
        <is>
          <t>recvgoYCuByV1b.jpg</t>
        </is>
      </c>
      <c r="C2032" s="2" t="str">
        <f>=HYPERLINK("https://xhslink.com/m/2ZW0vWYyCue", "https://xhslink.com/m/2ZW0vWYyCue")</f>
        <v>https://xhslink.com/m/2ZW0vWYyCue</v>
      </c>
      <c r="D2032"/>
      <c r="E2032">
        <v>4662</v>
      </c>
      <c r="F2032">
        <v>279</v>
      </c>
      <c r="G2032">
        <v>199</v>
      </c>
      <c r="H2032">
        <v>200</v>
      </c>
      <c r="I2032" t="inlineStr">
        <is>
          <t>运动包配</t>
        </is>
      </c>
      <c r="J2032" t="inlineStr">
        <is>
          <t>0.04</t>
        </is>
      </c>
      <c r="K2032"/>
      <c r="L2032" t="inlineStr">
        <is>
          <t>MountainMet 山觅的店</t>
        </is>
      </c>
      <c r="M2032">
        <v>21000</v>
      </c>
      <c r="N2032">
        <v>4.58</v>
      </c>
      <c r="O2032">
        <v>19000</v>
      </c>
      <c r="P2032" t="inlineStr">
        <is>
          <t>69cb74a44ae1e70001a480a6</t>
        </is>
      </c>
      <c r="Q2032" t="inlineStr">
        <is>
          <t>🚫重复</t>
        </is>
      </c>
      <c r="R2032" t="inlineStr">
        <is>
          <t>15周</t>
        </is>
      </c>
      <c r="S2032" t="inlineStr">
        <is>
          <t>0.22</t>
        </is>
      </c>
      <c r="T2032" t="inlineStr">
        <is>
          <t>服饰穿搭</t>
        </is>
      </c>
      <c r="U2032" t="inlineStr">
        <is>
          <t>鞋靴箱包</t>
        </is>
      </c>
      <c r="V2032" s="3">
        <v>46122.97351851852</v>
      </c>
      <c r="W2032" t="inlineStr">
        <is>
          <t>2026-Q2</t>
        </is>
      </c>
    </row>
    <row r="2033" ht="25.5" customHeight="1">
      <c r="A2033" t="inlineStr">
        <is>
          <t>2026春夏季新款显脸小韩系ins风简约蓝色字母刺绣棒球帽鸭舌帽子</t>
        </is>
      </c>
      <c r="B2033" t="inlineStr">
        <is>
          <t>recvgoYCuBXxAL.jpg</t>
        </is>
      </c>
      <c r="C2033" s="2" t="str">
        <f>=HYPERLINK("https://xhslink.com/m/5J2wrLuCJe3", "https://xhslink.com/m/5J2wrLuCJe3")</f>
        <v>https://xhslink.com/m/5J2wrLuCJe3</v>
      </c>
      <c r="D2033"/>
      <c r="E2033">
        <v>2409</v>
      </c>
      <c r="F2033">
        <v>39.9</v>
      </c>
      <c r="G2033">
        <v>36.9</v>
      </c>
      <c r="H2033">
        <v>200</v>
      </c>
      <c r="I2033" t="inlineStr">
        <is>
          <t>运动包配</t>
        </is>
      </c>
      <c r="J2033" t="inlineStr">
        <is>
          <t>0.08</t>
        </is>
      </c>
      <c r="K2033"/>
      <c r="L2033" t="inlineStr">
        <is>
          <t>aaaabanana的店</t>
        </is>
      </c>
      <c r="M2033">
        <v>2037</v>
      </c>
      <c r="N2033">
        <v>4.58</v>
      </c>
      <c r="O2033">
        <v>12000</v>
      </c>
      <c r="P2033" t="inlineStr">
        <is>
          <t>6970eda1b05f880001fa2039</t>
        </is>
      </c>
      <c r="Q2033" t="inlineStr">
        <is>
          <t>🚫重复</t>
        </is>
      </c>
      <c r="R2033" t="inlineStr">
        <is>
          <t>15周</t>
        </is>
      </c>
      <c r="S2033" t="inlineStr">
        <is>
          <t>1.18</t>
        </is>
      </c>
      <c r="T2033" t="inlineStr">
        <is>
          <t>服饰穿搭</t>
        </is>
      </c>
      <c r="U2033" t="inlineStr">
        <is>
          <t>配饰</t>
        </is>
      </c>
      <c r="V2033" s="3">
        <v>46122.97351851852</v>
      </c>
      <c r="W2033" t="inlineStr">
        <is>
          <t>2026-Q2</t>
        </is>
      </c>
    </row>
    <row r="2034" ht="25.5" customHeight="1">
      <c r="A2034" t="inlineStr">
        <is>
          <t>企鹅玩具挂件毛绒玩具玩偶搞怪公仔企鹅背包书包钥匙扣包包挂饰品</t>
        </is>
      </c>
      <c r="B2034" t="inlineStr">
        <is>
          <t>recvguTbC1Wz31.jpg</t>
        </is>
      </c>
      <c r="C2034" s="2" t="str">
        <f>=HYPERLINK("https://xhslink.com/m/39mOGlKTAiM", "https://xhslink.com/m/39mOGlKTAiM")</f>
        <v>https://xhslink.com/m/39mOGlKTAiM</v>
      </c>
      <c r="D2034"/>
      <c r="E2034">
        <v>18000</v>
      </c>
      <c r="F2034">
        <v>21</v>
      </c>
      <c r="G2034">
        <v>11.99</v>
      </c>
      <c r="H2034">
        <v>200</v>
      </c>
      <c r="I2034" t="inlineStr">
        <is>
          <t>包包挂饰</t>
        </is>
      </c>
      <c r="J2034" t="inlineStr">
        <is>
          <t>0.01</t>
        </is>
      </c>
      <c r="K2034" t="inlineStr">
        <is>
          <t>🔥低粉爆款</t>
        </is>
      </c>
      <c r="L2034" t="inlineStr">
        <is>
          <t>包袋魔法师的店</t>
        </is>
      </c>
      <c r="M2034">
        <v>663</v>
      </c>
      <c r="N2034">
        <v>4.6</v>
      </c>
      <c r="O2034">
        <v>21000</v>
      </c>
      <c r="P2034" t="inlineStr">
        <is>
          <t>68d62ec916054d001592b385</t>
        </is>
      </c>
      <c r="Q2034" t="inlineStr">
        <is>
          <t>🚫重复</t>
        </is>
      </c>
      <c r="R2034" t="inlineStr">
        <is>
          <t>15周</t>
        </is>
      </c>
      <c r="S2034" t="inlineStr">
        <is>
          <t>27.15</t>
        </is>
      </c>
      <c r="T2034" t="inlineStr">
        <is>
          <t>服饰穿搭</t>
        </is>
      </c>
      <c r="U2034" t="inlineStr">
        <is>
          <t>鞋靴箱包</t>
        </is>
      </c>
      <c r="V2034" s="3">
        <v>46123.98462962963</v>
      </c>
      <c r="W2034" t="inlineStr">
        <is>
          <t>2026-Q2</t>
        </is>
      </c>
    </row>
    <row r="2035" ht="25.5" customHeight="1">
      <c r="A2035" t="inlineStr">
        <is>
          <t>【儿保推荐】0～3岁认知卡片拼图双语启蒙早教</t>
        </is>
      </c>
      <c r="B2035" t="inlineStr">
        <is>
          <t>recvguTbC1DhPK.jpg</t>
        </is>
      </c>
      <c r="C2035" s="2" t="str">
        <f>=HYPERLINK("https://xhslink.com/m/5NN98w4lcar", "https://xhslink.com/m/5NN98w4lcar")</f>
        <v>https://xhslink.com/m/5NN98w4lcar</v>
      </c>
      <c r="D2035"/>
      <c r="E2035">
        <v>6924</v>
      </c>
      <c r="F2035">
        <v>29.9</v>
      </c>
      <c r="G2035">
        <v>14.9</v>
      </c>
      <c r="H2035">
        <v>200</v>
      </c>
      <c r="I2035" t="inlineStr">
        <is>
          <t>益智玩具</t>
        </is>
      </c>
      <c r="J2035" t="inlineStr">
        <is>
          <t>0.03</t>
        </is>
      </c>
      <c r="K2035" t="inlineStr">
        <is>
          <t>🔥低粉爆款</t>
        </is>
      </c>
      <c r="L2035" t="inlineStr">
        <is>
          <t>多财淘淘的店</t>
        </is>
      </c>
      <c r="M2035">
        <v>248</v>
      </c>
      <c r="N2035">
        <v>4.58</v>
      </c>
      <c r="O2035">
        <v>6918</v>
      </c>
      <c r="P2035" t="inlineStr">
        <is>
          <t>695f4f7f4e15d600014005bb</t>
        </is>
      </c>
      <c r="Q2035" t="inlineStr">
        <is>
          <t>🚫重复</t>
        </is>
      </c>
      <c r="R2035" t="inlineStr">
        <is>
          <t>15周</t>
        </is>
      </c>
      <c r="S2035" t="inlineStr">
        <is>
          <t>27.92</t>
        </is>
      </c>
      <c r="T2035" t="inlineStr">
        <is>
          <t>母婴亲子</t>
        </is>
      </c>
      <c r="U2035" t="inlineStr">
        <is>
          <t>玩具早教</t>
        </is>
      </c>
      <c r="V2035" s="3">
        <v>46123.98462962963</v>
      </c>
      <c r="W2035" t="inlineStr">
        <is>
          <t>2026-Q2</t>
        </is>
      </c>
    </row>
    <row r="2036" ht="25.5" customHeight="1">
      <c r="A2036" t="inlineStr">
        <is>
          <t>【儿保推荐】1～3岁蒙氏早教大块2片式磁吸拼图动物交通益智玩具</t>
        </is>
      </c>
      <c r="B2036" t="inlineStr">
        <is>
          <t>recvguTbC1xQP2.jpg</t>
        </is>
      </c>
      <c r="C2036" s="2" t="str">
        <f>=HYPERLINK("https://xhslink.com/m/43RpnmsgN8s", "https://xhslink.com/m/43RpnmsgN8s")</f>
        <v>https://xhslink.com/m/43RpnmsgN8s</v>
      </c>
      <c r="D2036"/>
      <c r="E2036">
        <v>6737</v>
      </c>
      <c r="F2036">
        <v>38.8</v>
      </c>
      <c r="G2036">
        <v>18.8</v>
      </c>
      <c r="H2036">
        <v>200</v>
      </c>
      <c r="I2036" t="inlineStr">
        <is>
          <t>益智玩具</t>
        </is>
      </c>
      <c r="J2036" t="inlineStr">
        <is>
          <t>0.03</t>
        </is>
      </c>
      <c r="K2036" t="inlineStr">
        <is>
          <t>🔥低粉爆款</t>
        </is>
      </c>
      <c r="L2036" t="inlineStr">
        <is>
          <t>Star Domi的店</t>
        </is>
      </c>
      <c r="M2036">
        <v>1192</v>
      </c>
      <c r="N2036">
        <v>4.63</v>
      </c>
      <c r="O2036">
        <v>7243</v>
      </c>
      <c r="P2036" t="inlineStr">
        <is>
          <t>69242651c34eef001569ac1b</t>
        </is>
      </c>
      <c r="Q2036" t="inlineStr">
        <is>
          <t>🚫重复</t>
        </is>
      </c>
      <c r="R2036" t="inlineStr">
        <is>
          <t>15周</t>
        </is>
      </c>
      <c r="S2036" t="inlineStr">
        <is>
          <t>5.65</t>
        </is>
      </c>
      <c r="T2036" t="inlineStr">
        <is>
          <t>母婴亲子</t>
        </is>
      </c>
      <c r="U2036" t="inlineStr">
        <is>
          <t>玩具早教</t>
        </is>
      </c>
      <c r="V2036" s="3">
        <v>46123.98462962963</v>
      </c>
      <c r="W2036" t="inlineStr">
        <is>
          <t>2026-Q2</t>
        </is>
      </c>
    </row>
    <row r="2037" ht="25.5" customHeight="1">
      <c r="A2037" t="inlineStr">
        <is>
          <t>【24小时内速发】拼豆神H系列2.6mm补充包</t>
        </is>
      </c>
      <c r="B2037" t="inlineStr">
        <is>
          <t>recvguTbC1ML7U.jpg</t>
        </is>
      </c>
      <c r="C2037" s="2" t="str">
        <f>=HYPERLINK("https://xhslink.com/m/l6ZJUFBh7C", "https://xhslink.com/m/l6ZJUFBh7C")</f>
        <v>https://xhslink.com/m/l6ZJUFBh7C</v>
      </c>
      <c r="D2037"/>
      <c r="E2037">
        <v>72000</v>
      </c>
      <c r="F2037">
        <v>8.8</v>
      </c>
      <c r="G2037">
        <v>7.92</v>
      </c>
      <c r="H2037">
        <v>200</v>
      </c>
      <c r="I2037" t="inlineStr">
        <is>
          <t>拼豆</t>
        </is>
      </c>
      <c r="J2037" t="inlineStr">
        <is>
          <t>0.00</t>
        </is>
      </c>
      <c r="K2037" t="inlineStr">
        <is>
          <t>🔥低粉爆款</t>
        </is>
      </c>
      <c r="L2037" t="inlineStr">
        <is>
          <t>我不是拼豆神的店</t>
        </is>
      </c>
      <c r="M2037">
        <v>16000</v>
      </c>
      <c r="N2037">
        <v>4.74</v>
      </c>
      <c r="O2037">
        <v>387000</v>
      </c>
      <c r="P2037" t="inlineStr">
        <is>
          <t>69354bdfaf1ec70001ffbd18</t>
        </is>
      </c>
      <c r="Q2037" t="inlineStr">
        <is>
          <t>🚫重复</t>
        </is>
      </c>
      <c r="R2037" t="inlineStr">
        <is>
          <t>15周</t>
        </is>
      </c>
      <c r="S2037" t="inlineStr">
        <is>
          <t>4.50</t>
        </is>
      </c>
      <c r="T2037" t="inlineStr">
        <is>
          <t>运动潮玩</t>
        </is>
      </c>
      <c r="U2037" t="inlineStr">
        <is>
          <t>潮玩手办</t>
        </is>
      </c>
      <c r="V2037" s="3">
        <v>46123.98462962963</v>
      </c>
      <c r="W2037" t="inlineStr">
        <is>
          <t>2026-Q2</t>
        </is>
      </c>
    </row>
    <row r="2038" ht="25.5" customHeight="1">
      <c r="A2038" t="inlineStr">
        <is>
          <t>长绒棉夏季薄款格雷灰色系光面10色无骨舒适轻薄透气堆堆袜女(55</t>
        </is>
      </c>
      <c r="B2038" t="inlineStr">
        <is>
          <t>recvguTbC1uKqN.jpg</t>
        </is>
      </c>
      <c r="C2038" s="2" t="str">
        <f>=HYPERLINK("https://xhslink.com/m/knh2YnsIOX", "https://xhslink.com/m/knh2YnsIOX")</f>
        <v>https://xhslink.com/m/knh2YnsIOX</v>
      </c>
      <c r="D2038"/>
      <c r="E2038">
        <v>21000</v>
      </c>
      <c r="F2038">
        <v>16.8</v>
      </c>
      <c r="G2038">
        <v>15.8</v>
      </c>
      <c r="H2038">
        <v>200</v>
      </c>
      <c r="I2038" t="inlineStr">
        <is>
          <t>袜子</t>
        </is>
      </c>
      <c r="J2038" t="inlineStr">
        <is>
          <t>0.01</t>
        </is>
      </c>
      <c r="K2038"/>
      <c r="L2038" t="inlineStr">
        <is>
          <t>May3 Socks的店</t>
        </is>
      </c>
      <c r="M2038">
        <v>56000</v>
      </c>
      <c r="N2038">
        <v>4.66</v>
      </c>
      <c r="O2038">
        <v>387000</v>
      </c>
      <c r="P2038" t="inlineStr">
        <is>
          <t>66e8c323eaae2c0001bd9154</t>
        </is>
      </c>
      <c r="Q2038" t="inlineStr">
        <is>
          <t>🚫重复</t>
        </is>
      </c>
      <c r="R2038" t="inlineStr">
        <is>
          <t>15周</t>
        </is>
      </c>
      <c r="S2038" t="inlineStr">
        <is>
          <t>0.38</t>
        </is>
      </c>
      <c r="T2038" t="inlineStr">
        <is>
          <t>服饰穿搭</t>
        </is>
      </c>
      <c r="U2038" t="inlineStr">
        <is>
          <t>鞋靴箱包</t>
        </is>
      </c>
      <c r="V2038" s="3">
        <v>46123.98462962963</v>
      </c>
      <c r="W2038" t="inlineStr">
        <is>
          <t>2026-Q2</t>
        </is>
      </c>
    </row>
    <row r="2039" ht="25.5" customHeight="1">
      <c r="A2039" t="inlineStr">
        <is>
          <t>Enjoy it乐在其中 · 压力显瘦过膝袜女秋冬强压显瘦长袜JK袜子中筒大腿长筒袜</t>
        </is>
      </c>
      <c r="B2039" t="inlineStr">
        <is>
          <t>recvguTbC18pbF.jpg</t>
        </is>
      </c>
      <c r="C2039" s="2" t="str">
        <f>=HYPERLINK("https://xhslink.com/m/5grHY991yz9", "https://xhslink.com/m/5grHY991yz9")</f>
        <v>https://xhslink.com/m/5grHY991yz9</v>
      </c>
      <c r="D2039"/>
      <c r="E2039">
        <v>39000</v>
      </c>
      <c r="F2039">
        <v>29</v>
      </c>
      <c r="G2039">
        <v>25.46</v>
      </c>
      <c r="H2039">
        <v>200</v>
      </c>
      <c r="I2039" t="inlineStr">
        <is>
          <t>袜子</t>
        </is>
      </c>
      <c r="J2039" t="inlineStr">
        <is>
          <t>0.01</t>
        </is>
      </c>
      <c r="K2039"/>
      <c r="L2039" t="inlineStr">
        <is>
          <t>enjoy it旗舰店</t>
        </is>
      </c>
      <c r="M2039">
        <v>79000</v>
      </c>
      <c r="N2039">
        <v>4.69</v>
      </c>
      <c r="O2039">
        <v>489000</v>
      </c>
      <c r="P2039" t="inlineStr">
        <is>
          <t>653b5aa973c5d7000121133a</t>
        </is>
      </c>
      <c r="Q2039" t="inlineStr">
        <is>
          <t>🚫重复</t>
        </is>
      </c>
      <c r="R2039" t="inlineStr">
        <is>
          <t>15周</t>
        </is>
      </c>
      <c r="S2039" t="inlineStr">
        <is>
          <t>0.49</t>
        </is>
      </c>
      <c r="T2039" t="inlineStr">
        <is>
          <t>服饰穿搭</t>
        </is>
      </c>
      <c r="U2039" t="inlineStr">
        <is>
          <t>鞋靴箱包</t>
        </is>
      </c>
      <c r="V2039" s="3">
        <v>46123.98462962963</v>
      </c>
      <c r="W2039" t="inlineStr">
        <is>
          <t>2026-Q2</t>
        </is>
      </c>
    </row>
    <row r="2040" ht="25.5" customHeight="1">
      <c r="A2040" t="inlineStr">
        <is>
          <t>严选正宗广东冰糖心木瓜  清甜多汁 当季新鲜水果</t>
        </is>
      </c>
      <c r="B2040" t="inlineStr">
        <is>
          <t>recvguTbC1mGOL.jpg</t>
        </is>
      </c>
      <c r="C2040" s="2" t="str">
        <f>=HYPERLINK("https://xhslink.com/m/1zgA8CuiRAw", "https://xhslink.com/m/1zgA8CuiRAw")</f>
        <v>https://xhslink.com/m/1zgA8CuiRAw</v>
      </c>
      <c r="D2040"/>
      <c r="E2040">
        <v>1058000</v>
      </c>
      <c r="F2040">
        <v>45.9</v>
      </c>
      <c r="G2040"/>
      <c r="H2040">
        <v>200</v>
      </c>
      <c r="I2040" t="inlineStr">
        <is>
          <t>水果</t>
        </is>
      </c>
      <c r="J2040" t="inlineStr">
        <is>
          <t>0.00</t>
        </is>
      </c>
      <c r="K2040" t="inlineStr">
        <is>
          <t>🔥低粉爆款</t>
        </is>
      </c>
      <c r="L2040" t="inlineStr">
        <is>
          <t>水果董小姐的店</t>
        </is>
      </c>
      <c r="M2040">
        <v>16000</v>
      </c>
      <c r="N2040">
        <v>4.55</v>
      </c>
      <c r="O2040">
        <v>260000</v>
      </c>
      <c r="P2040" t="inlineStr">
        <is>
          <t>64e588ac93d2d00001f69e94</t>
        </is>
      </c>
      <c r="Q2040" t="inlineStr">
        <is>
          <t>🚫重复</t>
        </is>
      </c>
      <c r="R2040" t="inlineStr">
        <is>
          <t>15周</t>
        </is>
      </c>
      <c r="S2040" t="inlineStr">
        <is>
          <t>66.12</t>
        </is>
      </c>
      <c r="T2040" t="inlineStr">
        <is>
          <t>美食滋补</t>
        </is>
      </c>
      <c r="U2040" t="inlineStr">
        <is>
          <t>生鲜特产</t>
        </is>
      </c>
      <c r="V2040" s="3">
        <v>46123.98462962963</v>
      </c>
      <c r="W2040" t="inlineStr">
        <is>
          <t>2026-Q2</t>
        </is>
      </c>
    </row>
    <row r="2041" ht="25.5" customHeight="1">
      <c r="A2041" t="inlineStr">
        <is>
          <t>二合一跑步短裤！男女同款自带打底裤夏户外训练运动速干三分裤</t>
        </is>
      </c>
      <c r="B2041" t="inlineStr">
        <is>
          <t>recvguTbC1Aq7o.jpg</t>
        </is>
      </c>
      <c r="C2041" s="2" t="str">
        <f>=HYPERLINK("https://xhslink.com/m/1UXSZGn7J6y", "https://xhslink.com/m/1UXSZGn7J6y")</f>
        <v>https://xhslink.com/m/1UXSZGn7J6y</v>
      </c>
      <c r="D2041"/>
      <c r="E2041">
        <v>7526</v>
      </c>
      <c r="F2041">
        <v>69</v>
      </c>
      <c r="G2041"/>
      <c r="H2041">
        <v>200</v>
      </c>
      <c r="I2041" t="inlineStr">
        <is>
          <t>运动</t>
        </is>
      </c>
      <c r="J2041" t="inlineStr">
        <is>
          <t>0.03</t>
        </is>
      </c>
      <c r="K2041"/>
      <c r="L2041" t="inlineStr">
        <is>
          <t>福多外贸服饰的店</t>
        </is>
      </c>
      <c r="M2041">
        <v>11000</v>
      </c>
      <c r="N2041">
        <v>4.61</v>
      </c>
      <c r="O2041">
        <v>179000</v>
      </c>
      <c r="P2041" t="inlineStr">
        <is>
          <t>6800fd3c7107a800010d8812</t>
        </is>
      </c>
      <c r="Q2041" t="inlineStr">
        <is>
          <t>🚫重复</t>
        </is>
      </c>
      <c r="R2041" t="inlineStr">
        <is>
          <t>15周</t>
        </is>
      </c>
      <c r="S2041" t="inlineStr">
        <is>
          <t>0.68</t>
        </is>
      </c>
      <c r="T2041" t="inlineStr">
        <is>
          <t>服饰穿搭</t>
        </is>
      </c>
      <c r="U2041" t="inlineStr">
        <is>
          <t>女装</t>
        </is>
      </c>
      <c r="V2041" s="3">
        <v>46123.98462962963</v>
      </c>
      <c r="W2041" t="inlineStr">
        <is>
          <t>2026-Q2</t>
        </is>
      </c>
    </row>
    <row r="2042" ht="25.5" customHeight="1">
      <c r="A2042" t="inlineStr">
        <is>
          <t>前500单89！！粉色碎花半身裙新款高腰显瘦复古遮胯中长款裙子</t>
        </is>
      </c>
      <c r="B2042" t="inlineStr">
        <is>
          <t>recvguTbC19oo2.jpg</t>
        </is>
      </c>
      <c r="C2042" s="2" t="str">
        <f>=HYPERLINK("https://xhslink.com/m/53aHEbTwBk9", "https://xhslink.com/m/53aHEbTwBk9")</f>
        <v>https://xhslink.com/m/53aHEbTwBk9</v>
      </c>
      <c r="D2042"/>
      <c r="E2042">
        <v>6951</v>
      </c>
      <c r="F2042">
        <v>59</v>
      </c>
      <c r="G2042"/>
      <c r="H2042">
        <v>200</v>
      </c>
      <c r="I2042" t="inlineStr">
        <is>
          <t>半身裙</t>
        </is>
      </c>
      <c r="J2042" t="inlineStr">
        <is>
          <t>0.03</t>
        </is>
      </c>
      <c r="K2042"/>
      <c r="L2042" t="inlineStr">
        <is>
          <t>小鱼爱穿搭的店</t>
        </is>
      </c>
      <c r="M2042">
        <v>129000</v>
      </c>
      <c r="N2042">
        <v>4.48</v>
      </c>
      <c r="O2042">
        <v>612000</v>
      </c>
      <c r="P2042" t="inlineStr">
        <is>
          <t>687a1bd479bc470001d2ad81</t>
        </is>
      </c>
      <c r="Q2042" t="inlineStr">
        <is>
          <t>🚫重复</t>
        </is>
      </c>
      <c r="R2042" t="inlineStr">
        <is>
          <t>15周</t>
        </is>
      </c>
      <c r="S2042" t="inlineStr">
        <is>
          <t>0.05</t>
        </is>
      </c>
      <c r="T2042" t="inlineStr">
        <is>
          <t>服饰穿搭</t>
        </is>
      </c>
      <c r="U2042" t="inlineStr">
        <is>
          <t>女装</t>
        </is>
      </c>
      <c r="V2042" s="3">
        <v>46123.98462962963</v>
      </c>
      <c r="W2042" t="inlineStr">
        <is>
          <t>2026-Q2</t>
        </is>
      </c>
    </row>
    <row r="2043" ht="25.5" customHeight="1">
      <c r="A2043" t="inlineStr">
        <is>
          <t>其他 · 韩版复古平底玛丽珍鞋女鞋软底春夏通勤单鞋浅口鞋子法式芭蕾舞鞋</t>
        </is>
      </c>
      <c r="B2043" t="inlineStr">
        <is>
          <t>recvguTbC1TrJS.jpg</t>
        </is>
      </c>
      <c r="C2043" s="2" t="str">
        <f>=HYPERLINK("https://xhslink.com/m/AwCR1gRU0BP", "https://xhslink.com/m/AwCR1gRU0BP")</f>
        <v>https://xhslink.com/m/AwCR1gRU0BP</v>
      </c>
      <c r="D2043"/>
      <c r="E2043">
        <v>13000</v>
      </c>
      <c r="F2043">
        <v>79.9</v>
      </c>
      <c r="G2043">
        <v>69.9</v>
      </c>
      <c r="H2043">
        <v>200</v>
      </c>
      <c r="I2043" t="inlineStr">
        <is>
          <t>鞋靴</t>
        </is>
      </c>
      <c r="J2043" t="inlineStr">
        <is>
          <t>0.02</t>
        </is>
      </c>
      <c r="K2043"/>
      <c r="L2043" t="inlineStr">
        <is>
          <t>筱筱的筱的店</t>
        </is>
      </c>
      <c r="M2043">
        <v>5973</v>
      </c>
      <c r="N2043">
        <v>4.61</v>
      </c>
      <c r="O2043">
        <v>101000</v>
      </c>
      <c r="P2043" t="inlineStr">
        <is>
          <t>67e9025cd2530000010e0ad8</t>
        </is>
      </c>
      <c r="Q2043" t="inlineStr">
        <is>
          <t>🚫重复</t>
        </is>
      </c>
      <c r="R2043" t="inlineStr">
        <is>
          <t>15周</t>
        </is>
      </c>
      <c r="S2043" t="inlineStr">
        <is>
          <t>2.18</t>
        </is>
      </c>
      <c r="T2043" t="inlineStr">
        <is>
          <t>服饰穿搭</t>
        </is>
      </c>
      <c r="U2043" t="inlineStr">
        <is>
          <t>鞋靴箱包</t>
        </is>
      </c>
      <c r="V2043" s="3">
        <v>46123.98462962963</v>
      </c>
      <c r="W2043" t="inlineStr">
        <is>
          <t>2026-Q2</t>
        </is>
      </c>
    </row>
    <row r="2044" ht="25.5" customHeight="1">
      <c r="A2044" t="inlineStr">
        <is>
          <t>ONE TOU 法式复古玛丽珍鞋女浅口方头4cm粗跟配裙子浅口单鞋</t>
        </is>
      </c>
      <c r="B2044" t="inlineStr">
        <is>
          <t>recvguTbC1r26Z.jpg</t>
        </is>
      </c>
      <c r="C2044" s="2" t="str">
        <f>=HYPERLINK("https://xhslink.com/m/8jeK4zP8ROJ", "https://xhslink.com/m/8jeK4zP8ROJ")</f>
        <v>https://xhslink.com/m/8jeK4zP8ROJ</v>
      </c>
      <c r="D2044"/>
      <c r="E2044">
        <v>14000</v>
      </c>
      <c r="F2044">
        <v>75.9</v>
      </c>
      <c r="G2044"/>
      <c r="H2044">
        <v>200</v>
      </c>
      <c r="I2044" t="inlineStr">
        <is>
          <t>鞋靴</t>
        </is>
      </c>
      <c r="J2044" t="inlineStr">
        <is>
          <t>0.01</t>
        </is>
      </c>
      <c r="K2044"/>
      <c r="L2044" t="inlineStr">
        <is>
          <t>小豌豆呀o的店</t>
        </is>
      </c>
      <c r="M2044">
        <v>17000</v>
      </c>
      <c r="N2044">
        <v>4.58</v>
      </c>
      <c r="O2044">
        <v>65000</v>
      </c>
      <c r="P2044" t="inlineStr">
        <is>
          <t>67d7a002e15c9100013b7d3b</t>
        </is>
      </c>
      <c r="Q2044" t="inlineStr">
        <is>
          <t>🚫重复</t>
        </is>
      </c>
      <c r="R2044" t="inlineStr">
        <is>
          <t>15周</t>
        </is>
      </c>
      <c r="S2044" t="inlineStr">
        <is>
          <t>0.82</t>
        </is>
      </c>
      <c r="T2044" t="inlineStr">
        <is>
          <t>服饰穿搭</t>
        </is>
      </c>
      <c r="U2044" t="inlineStr">
        <is>
          <t>鞋靴箱包</t>
        </is>
      </c>
      <c r="V2044" s="3">
        <v>46123.98462962963</v>
      </c>
      <c r="W2044" t="inlineStr">
        <is>
          <t>2026-Q2</t>
        </is>
      </c>
    </row>
    <row r="2045" ht="25.5" customHeight="1">
      <c r="A2045" t="inlineStr">
        <is>
          <t>海外在售109美金！零落差鞋底 宽楦真牛皮透气综训健身运动赤足鞋</t>
        </is>
      </c>
      <c r="B2045" t="inlineStr">
        <is>
          <t>recvguTbC1tCIx.jpg</t>
        </is>
      </c>
      <c r="C2045" s="2" t="str">
        <f>=HYPERLINK("https://xhslink.com/m/8RK8SUn8a3f", "https://xhslink.com/m/8RK8SUn8a3f")</f>
        <v>https://xhslink.com/m/8RK8SUn8a3f</v>
      </c>
      <c r="D2045"/>
      <c r="E2045">
        <v>14000</v>
      </c>
      <c r="F2045">
        <v>158</v>
      </c>
      <c r="G2045"/>
      <c r="H2045">
        <v>200</v>
      </c>
      <c r="I2045" t="inlineStr">
        <is>
          <t>鞋靴</t>
        </is>
      </c>
      <c r="J2045" t="inlineStr">
        <is>
          <t>0.01</t>
        </is>
      </c>
      <c r="K2045"/>
      <c r="L2045" t="inlineStr">
        <is>
          <t>悟空家优选的店</t>
        </is>
      </c>
      <c r="M2045">
        <v>11000</v>
      </c>
      <c r="N2045">
        <v>4.47</v>
      </c>
      <c r="O2045">
        <v>26000</v>
      </c>
      <c r="P2045" t="inlineStr">
        <is>
          <t>68883735403edf0015c4edf8</t>
        </is>
      </c>
      <c r="Q2045" t="inlineStr">
        <is>
          <t>🚫重复</t>
        </is>
      </c>
      <c r="R2045" t="inlineStr">
        <is>
          <t>15周</t>
        </is>
      </c>
      <c r="S2045" t="inlineStr">
        <is>
          <t>1.27</t>
        </is>
      </c>
      <c r="T2045" t="inlineStr">
        <is>
          <t>运动潮玩</t>
        </is>
      </c>
      <c r="U2045" t="inlineStr">
        <is>
          <t>运动户外装备</t>
        </is>
      </c>
      <c r="V2045" s="3">
        <v>46123.98462962963</v>
      </c>
      <c r="W2045" t="inlineStr">
        <is>
          <t>2026-Q2</t>
        </is>
      </c>
    </row>
    <row r="2046" ht="25.5" customHeight="1">
      <c r="A2046" t="inlineStr">
        <is>
          <t>MeiDiaoChan · 2026年新款裸色侧空红底高跟鞋女法式小众设计感尖头黑色细跟单鞋</t>
        </is>
      </c>
      <c r="B2046" t="inlineStr">
        <is>
          <t>recvguTbC1g1WL.jpg</t>
        </is>
      </c>
      <c r="C2046" s="2" t="str">
        <f>=HYPERLINK("https://xhslink.com/m/6O4lYG2zPrR", "https://xhslink.com/m/6O4lYG2zPrR")</f>
        <v>https://xhslink.com/m/6O4lYG2zPrR</v>
      </c>
      <c r="D2046"/>
      <c r="E2046">
        <v>12000</v>
      </c>
      <c r="F2046">
        <v>149.9</v>
      </c>
      <c r="G2046">
        <v>127.9</v>
      </c>
      <c r="H2046">
        <v>200</v>
      </c>
      <c r="I2046" t="inlineStr">
        <is>
          <t>鞋靴</t>
        </is>
      </c>
      <c r="J2046" t="inlineStr">
        <is>
          <t>0.02</t>
        </is>
      </c>
      <c r="K2046"/>
      <c r="L2046" t="inlineStr">
        <is>
          <t>彭小姐的婚礼家2店的店</t>
        </is>
      </c>
      <c r="M2046">
        <v>4073</v>
      </c>
      <c r="N2046">
        <v>4.57</v>
      </c>
      <c r="O2046">
        <v>26000</v>
      </c>
      <c r="P2046" t="inlineStr">
        <is>
          <t>67c039eaf658890001483322</t>
        </is>
      </c>
      <c r="Q2046" t="inlineStr">
        <is>
          <t>🚫重复</t>
        </is>
      </c>
      <c r="R2046" t="inlineStr">
        <is>
          <t>15周</t>
        </is>
      </c>
      <c r="S2046" t="inlineStr">
        <is>
          <t>2.95</t>
        </is>
      </c>
      <c r="T2046" t="inlineStr">
        <is>
          <t>服饰穿搭</t>
        </is>
      </c>
      <c r="U2046" t="inlineStr">
        <is>
          <t>鞋靴箱包</t>
        </is>
      </c>
      <c r="V2046" s="3">
        <v>46123.98462962963</v>
      </c>
      <c r="W2046" t="inlineStr">
        <is>
          <t>2026-Q2</t>
        </is>
      </c>
    </row>
    <row r="2047" ht="25.5" customHeight="1">
      <c r="A2047" t="inlineStr">
        <is>
          <t>PP蛋卷跟高7cm五金帆布高帮鞋</t>
        </is>
      </c>
      <c r="B2047" t="inlineStr">
        <is>
          <t>recvguTbC1Jdyt.jpg</t>
        </is>
      </c>
      <c r="C2047" s="2" t="str">
        <f>=HYPERLINK("https://xhslink.com/m/4MsBw1DQPDl", "https://xhslink.com/m/4MsBw1DQPDl")</f>
        <v>https://xhslink.com/m/4MsBw1DQPDl</v>
      </c>
      <c r="D2047"/>
      <c r="E2047">
        <v>9999</v>
      </c>
      <c r="F2047">
        <v>89</v>
      </c>
      <c r="G2047"/>
      <c r="H2047">
        <v>200</v>
      </c>
      <c r="I2047" t="inlineStr">
        <is>
          <t>鞋靴</t>
        </is>
      </c>
      <c r="J2047" t="inlineStr">
        <is>
          <t>0.02</t>
        </is>
      </c>
      <c r="K2047"/>
      <c r="L2047" t="inlineStr">
        <is>
          <t>PP蛋卷的店</t>
        </is>
      </c>
      <c r="M2047">
        <v>17000</v>
      </c>
      <c r="N2047">
        <v>4.79</v>
      </c>
      <c r="O2047">
        <v>23000</v>
      </c>
      <c r="P2047" t="inlineStr">
        <is>
          <t>68555d14a066020001d6f913</t>
        </is>
      </c>
      <c r="Q2047" t="inlineStr">
        <is>
          <t>🚫重复</t>
        </is>
      </c>
      <c r="R2047" t="inlineStr">
        <is>
          <t>15周</t>
        </is>
      </c>
      <c r="S2047" t="inlineStr">
        <is>
          <t>0.59</t>
        </is>
      </c>
      <c r="T2047" t="inlineStr">
        <is>
          <t>服饰穿搭</t>
        </is>
      </c>
      <c r="U2047" t="inlineStr">
        <is>
          <t>鞋靴箱包</t>
        </is>
      </c>
      <c r="V2047" s="3">
        <v>46123.98462962963</v>
      </c>
      <c r="W2047" t="inlineStr">
        <is>
          <t>2026-Q2</t>
        </is>
      </c>
    </row>
    <row r="2048" ht="25.5" customHeight="1">
      <c r="A2048" t="inlineStr">
        <is>
          <t>法式银色玛丽珍单鞋女2026春季新款百搭浅口配裙子小皮鞋女平底鞋</t>
        </is>
      </c>
      <c r="B2048" t="inlineStr">
        <is>
          <t>recvguTbC1ur9l.jpg</t>
        </is>
      </c>
      <c r="C2048" s="2" t="str">
        <f>=HYPERLINK("https://xhslink.com/m/At0zhywXdgk", "https://xhslink.com/m/At0zhywXdgk")</f>
        <v>https://xhslink.com/m/At0zhywXdgk</v>
      </c>
      <c r="D2048"/>
      <c r="E2048">
        <v>5307</v>
      </c>
      <c r="F2048">
        <v>58.8</v>
      </c>
      <c r="G2048"/>
      <c r="H2048">
        <v>200</v>
      </c>
      <c r="I2048" t="inlineStr">
        <is>
          <t>鞋靴</t>
        </is>
      </c>
      <c r="J2048" t="inlineStr">
        <is>
          <t>0.04</t>
        </is>
      </c>
      <c r="K2048"/>
      <c r="L2048" t="inlineStr">
        <is>
          <t>肥麦麦的店</t>
        </is>
      </c>
      <c r="M2048">
        <v>18000</v>
      </c>
      <c r="N2048">
        <v>4.6</v>
      </c>
      <c r="O2048">
        <v>316000</v>
      </c>
      <c r="P2048" t="inlineStr">
        <is>
          <t>6832e2350bed5600011ee23b</t>
        </is>
      </c>
      <c r="Q2048" t="inlineStr">
        <is>
          <t>🚫重复</t>
        </is>
      </c>
      <c r="R2048" t="inlineStr">
        <is>
          <t>15周</t>
        </is>
      </c>
      <c r="S2048" t="inlineStr">
        <is>
          <t>0.29</t>
        </is>
      </c>
      <c r="T2048" t="inlineStr">
        <is>
          <t>服饰穿搭</t>
        </is>
      </c>
      <c r="U2048" t="inlineStr">
        <is>
          <t>鞋靴箱包</t>
        </is>
      </c>
      <c r="V2048" s="3">
        <v>46123.98462962963</v>
      </c>
      <c r="W2048" t="inlineStr">
        <is>
          <t>2026-Q2</t>
        </is>
      </c>
    </row>
    <row r="2049" ht="25.5" customHeight="1">
      <c r="A2049" t="inlineStr">
        <is>
          <t>Solesophy · 海女渔网镂空平底鞋2026新色</t>
        </is>
      </c>
      <c r="B2049" t="inlineStr">
        <is>
          <t>recvguTbC1egxN.jpg</t>
        </is>
      </c>
      <c r="C2049" s="2" t="str">
        <f>=HYPERLINK("https://xhslink.com/m/8zbQj4bYMIX", "https://xhslink.com/m/8zbQj4bYMIX")</f>
        <v>https://xhslink.com/m/8zbQj4bYMIX</v>
      </c>
      <c r="D2049"/>
      <c r="E2049">
        <v>5641</v>
      </c>
      <c r="F2049">
        <v>790</v>
      </c>
      <c r="G2049">
        <v>740</v>
      </c>
      <c r="H2049">
        <v>200</v>
      </c>
      <c r="I2049" t="inlineStr">
        <is>
          <t>鞋靴</t>
        </is>
      </c>
      <c r="J2049" t="inlineStr">
        <is>
          <t>0.04</t>
        </is>
      </c>
      <c r="K2049"/>
      <c r="L2049" t="inlineStr">
        <is>
          <t>Solesophy鞋履旗舰店</t>
        </is>
      </c>
      <c r="M2049">
        <v>8287</v>
      </c>
      <c r="N2049">
        <v>4.66</v>
      </c>
      <c r="O2049">
        <v>28000</v>
      </c>
      <c r="P2049" t="inlineStr">
        <is>
          <t>684f91daa89f4f0001dd0f96</t>
        </is>
      </c>
      <c r="Q2049"/>
      <c r="R2049" t="inlineStr">
        <is>
          <t>15周</t>
        </is>
      </c>
      <c r="S2049" t="inlineStr">
        <is>
          <t>0.68</t>
        </is>
      </c>
      <c r="T2049" t="inlineStr">
        <is>
          <t>服饰穿搭</t>
        </is>
      </c>
      <c r="U2049" t="inlineStr">
        <is>
          <t>鞋靴箱包</t>
        </is>
      </c>
      <c r="V2049" s="3">
        <v>46123.98462962963</v>
      </c>
      <c r="W2049" t="inlineStr">
        <is>
          <t>2026-Q2</t>
        </is>
      </c>
    </row>
    <row r="2050" ht="25.5" customHeight="1">
      <c r="A2050" t="inlineStr">
        <is>
          <t>软软芭蕾鞋2.0 明媚夏日果汁感超软底平底单鞋 可暴走不磨脚</t>
        </is>
      </c>
      <c r="B2050" t="inlineStr">
        <is>
          <t>recvguTbC1A3i7.jpg</t>
        </is>
      </c>
      <c r="C2050" s="2" t="str">
        <f>=HYPERLINK("https://xhslink.com/m/5fnU1fyaP8m", "https://xhslink.com/m/5fnU1fyaP8m")</f>
        <v>https://xhslink.com/m/5fnU1fyaP8m</v>
      </c>
      <c r="D2050"/>
      <c r="E2050">
        <v>1110</v>
      </c>
      <c r="F2050">
        <v>128</v>
      </c>
      <c r="G2050"/>
      <c r="H2050">
        <v>200</v>
      </c>
      <c r="I2050" t="inlineStr">
        <is>
          <t>鞋靴</t>
        </is>
      </c>
      <c r="J2050" t="inlineStr">
        <is>
          <t>0.18</t>
        </is>
      </c>
      <c r="K2050"/>
      <c r="L2050" t="inlineStr">
        <is>
          <t>猫猫大姐姐的店</t>
        </is>
      </c>
      <c r="M2050">
        <v>23000</v>
      </c>
      <c r="N2050">
        <v>4.61</v>
      </c>
      <c r="O2050">
        <v>67000</v>
      </c>
      <c r="P2050" t="inlineStr">
        <is>
          <t>69cf4e34c8c733000184b8f3</t>
        </is>
      </c>
      <c r="Q2050" t="inlineStr">
        <is>
          <t>🚫重复</t>
        </is>
      </c>
      <c r="R2050" t="inlineStr">
        <is>
          <t>15周</t>
        </is>
      </c>
      <c r="S2050" t="inlineStr">
        <is>
          <t>0.05</t>
        </is>
      </c>
      <c r="T2050" t="inlineStr">
        <is>
          <t>服饰穿搭</t>
        </is>
      </c>
      <c r="U2050" t="inlineStr">
        <is>
          <t>鞋靴箱包</t>
        </is>
      </c>
      <c r="V2050" s="3">
        <v>46123.98462962963</v>
      </c>
      <c r="W2050" t="inlineStr">
        <is>
          <t>2026-Q2</t>
        </is>
      </c>
    </row>
    <row r="2051" ht="25.5" customHeight="1">
      <c r="A2051" t="inlineStr">
        <is>
          <t>氧默 · 黑麦全麦面包整箱吐司代餐饱腹无添蔗糖精粗粮主食脂健康早餐食品</t>
        </is>
      </c>
      <c r="B2051" t="inlineStr">
        <is>
          <t>recvguTbC1TAfW.jpg</t>
        </is>
      </c>
      <c r="C2051" s="2" t="str">
        <f>=HYPERLINK("https://xhslink.com/m/AXdePenuxj6", "https://xhslink.com/m/AXdePenuxj6")</f>
        <v>https://xhslink.com/m/AXdePenuxj6</v>
      </c>
      <c r="D2051"/>
      <c r="E2051">
        <v>107000</v>
      </c>
      <c r="F2051">
        <v>19.9</v>
      </c>
      <c r="G2051"/>
      <c r="H2051">
        <v>200</v>
      </c>
      <c r="I2051" t="inlineStr">
        <is>
          <t>碱水面包</t>
        </is>
      </c>
      <c r="J2051" t="inlineStr">
        <is>
          <t>0.00</t>
        </is>
      </c>
      <c r="K2051" t="inlineStr">
        <is>
          <t>🔥低粉爆款</t>
        </is>
      </c>
      <c r="L2051" t="inlineStr">
        <is>
          <t>氧默旗舰店</t>
        </is>
      </c>
      <c r="M2051">
        <v>26000</v>
      </c>
      <c r="N2051">
        <v>4.56</v>
      </c>
      <c r="O2051">
        <v>264000</v>
      </c>
      <c r="P2051" t="inlineStr">
        <is>
          <t>63fbfa69774c400001762e03</t>
        </is>
      </c>
      <c r="Q2051" t="inlineStr">
        <is>
          <t>🚫重复</t>
        </is>
      </c>
      <c r="R2051" t="inlineStr">
        <is>
          <t>15周</t>
        </is>
      </c>
      <c r="S2051" t="inlineStr">
        <is>
          <t>4.12</t>
        </is>
      </c>
      <c r="T2051" t="inlineStr">
        <is>
          <t>美食滋补</t>
        </is>
      </c>
      <c r="U2051" t="inlineStr">
        <is>
          <t>休闲零食</t>
        </is>
      </c>
      <c r="V2051" s="3">
        <v>46123.98462962963</v>
      </c>
      <c r="W2051" t="inlineStr">
        <is>
          <t>2026-Q2</t>
        </is>
      </c>
    </row>
    <row r="2052" ht="25.5" customHeight="1">
      <c r="A2052" t="inlineStr">
        <is>
          <t>韩国进口海太奶酪压缩芝士饼干饱腹代餐早餐能量棒代餐饱腹</t>
        </is>
      </c>
      <c r="B2052" t="inlineStr">
        <is>
          <t>recvguTbC1T2T1.jpg</t>
        </is>
      </c>
      <c r="C2052" s="2" t="str">
        <f>=HYPERLINK("https://xhslink.com/m/56ZnaBa5My4", "https://xhslink.com/m/56ZnaBa5My4")</f>
        <v>https://xhslink.com/m/56ZnaBa5My4</v>
      </c>
      <c r="D2052"/>
      <c r="E2052">
        <v>46000</v>
      </c>
      <c r="F2052">
        <v>69.9</v>
      </c>
      <c r="G2052">
        <v>49.9</v>
      </c>
      <c r="H2052">
        <v>200</v>
      </c>
      <c r="I2052" t="inlineStr">
        <is>
          <t>饼干</t>
        </is>
      </c>
      <c r="J2052" t="inlineStr">
        <is>
          <t>0.00</t>
        </is>
      </c>
      <c r="K2052"/>
      <c r="L2052" t="inlineStr">
        <is>
          <t>拉面口袋的店</t>
        </is>
      </c>
      <c r="M2052">
        <v>163000</v>
      </c>
      <c r="N2052">
        <v>4.51</v>
      </c>
      <c r="O2052">
        <v>425000</v>
      </c>
      <c r="P2052" t="inlineStr">
        <is>
          <t>67f4fa6438d4700001146b6f</t>
        </is>
      </c>
      <c r="Q2052" t="inlineStr">
        <is>
          <t>🚫重复</t>
        </is>
      </c>
      <c r="R2052" t="inlineStr">
        <is>
          <t>15周</t>
        </is>
      </c>
      <c r="S2052" t="inlineStr">
        <is>
          <t>0.28</t>
        </is>
      </c>
      <c r="T2052" t="inlineStr">
        <is>
          <t>美食滋补</t>
        </is>
      </c>
      <c r="U2052" t="inlineStr">
        <is>
          <t>休闲零食</t>
        </is>
      </c>
      <c r="V2052" s="3">
        <v>46123.98462962963</v>
      </c>
      <c r="W2052" t="inlineStr">
        <is>
          <t>2026-Q2</t>
        </is>
      </c>
    </row>
    <row r="2053" ht="25.5" customHeight="1">
      <c r="A2053" t="inlineStr">
        <is>
          <t>颐之宜 · 当归川芎白芍地黄黄芪 四物汤 红润不上火 无熏硫</t>
        </is>
      </c>
      <c r="B2053" t="inlineStr">
        <is>
          <t>__upload_recvgAET7xQvrZ.jpg</t>
        </is>
      </c>
      <c r="C2053" s="2" t="str">
        <f>=HYPERLINK("https://xhslink.com/m/6eokWclphhr", "https://xhslink.com/m/6eokWclphhr")</f>
        <v>https://xhslink.com/m/6eokWclphhr</v>
      </c>
      <c r="D2053"/>
      <c r="E2053">
        <v>80000</v>
      </c>
      <c r="F2053">
        <v>658</v>
      </c>
      <c r="G2053"/>
      <c r="H2053">
        <v>200</v>
      </c>
      <c r="I2053" t="inlineStr">
        <is>
          <t>气血滋补</t>
        </is>
      </c>
      <c r="J2053" t="inlineStr">
        <is>
          <t>0.00</t>
        </is>
      </c>
      <c r="K2053"/>
      <c r="L2053" t="inlineStr">
        <is>
          <t>颐之宜养生的店</t>
        </is>
      </c>
      <c r="M2053">
        <v>78000</v>
      </c>
      <c r="N2053">
        <v>4.53</v>
      </c>
      <c r="O2053">
        <v>236000</v>
      </c>
      <c r="P2053" t="inlineStr">
        <is>
          <t>671743bfdfab430001a47729</t>
        </is>
      </c>
      <c r="Q2053" t="inlineStr">
        <is>
          <t>🚫重复</t>
        </is>
      </c>
      <c r="R2053" t="inlineStr">
        <is>
          <t>15周</t>
        </is>
      </c>
      <c r="S2053" t="inlineStr">
        <is>
          <t>1.03</t>
        </is>
      </c>
      <c r="T2053" t="inlineStr">
        <is>
          <t>美食滋补</t>
        </is>
      </c>
      <c r="U2053" t="inlineStr">
        <is>
          <t>营养滋补</t>
        </is>
      </c>
      <c r="V2053" s="3">
        <v>46124.971342592595</v>
      </c>
      <c r="W2053" t="inlineStr">
        <is>
          <t>2026-Q2</t>
        </is>
      </c>
    </row>
    <row r="2054" ht="25.5" customHeight="1">
      <c r="A2054" t="inlineStr">
        <is>
          <t>馥近 · 抹茶黑巧奇亚麻籽维生素b2椰子油藜麦运动早管理期代餐零食蛋白棒</t>
        </is>
      </c>
      <c r="B2054" t="inlineStr">
        <is>
          <t>__upload_recvgAET7xy8pk.jpg</t>
        </is>
      </c>
      <c r="C2054" s="2" t="str">
        <f>=HYPERLINK("https://xhslink.com/m/5uYMUnzupFx", "https://xhslink.com/m/5uYMUnzupFx")</f>
        <v>https://xhslink.com/m/5uYMUnzupFx</v>
      </c>
      <c r="D2054"/>
      <c r="E2054">
        <v>8890</v>
      </c>
      <c r="F2054">
        <v>231.9</v>
      </c>
      <c r="G2054">
        <v>182.9</v>
      </c>
      <c r="H2054">
        <v>200</v>
      </c>
      <c r="I2054" t="inlineStr">
        <is>
          <t>低脂零食</t>
        </is>
      </c>
      <c r="J2054" t="inlineStr">
        <is>
          <t>0.02</t>
        </is>
      </c>
      <c r="K2054"/>
      <c r="L2054" t="inlineStr">
        <is>
          <t>馥近NaborFood旗舰店</t>
        </is>
      </c>
      <c r="M2054">
        <v>3411</v>
      </c>
      <c r="N2054">
        <v>4.59</v>
      </c>
      <c r="O2054">
        <v>14000</v>
      </c>
      <c r="P2054" t="inlineStr">
        <is>
          <t>69aeba5214149e0001cdf7ad</t>
        </is>
      </c>
      <c r="Q2054" t="inlineStr">
        <is>
          <t>🚫重复</t>
        </is>
      </c>
      <c r="R2054" t="inlineStr">
        <is>
          <t>15周</t>
        </is>
      </c>
      <c r="S2054" t="inlineStr">
        <is>
          <t>2.61</t>
        </is>
      </c>
      <c r="T2054" t="inlineStr">
        <is>
          <t>美食滋补</t>
        </is>
      </c>
      <c r="U2054" t="inlineStr">
        <is>
          <t>休闲零食</t>
        </is>
      </c>
      <c r="V2054" s="3">
        <v>46124.971342592595</v>
      </c>
      <c r="W2054" t="inlineStr">
        <is>
          <t>2026-Q2</t>
        </is>
      </c>
    </row>
    <row r="2055" ht="25.5" customHeight="1">
      <c r="A2055" t="inlineStr">
        <is>
          <t>水一方 · 0糖烤虾手扒烤虾仁虾干即食低脂零食办公室解馋追剧</t>
        </is>
      </c>
      <c r="B2055" t="inlineStr">
        <is>
          <t>__upload_recvgAET7xLU7Q.jpg</t>
        </is>
      </c>
      <c r="C2055" s="2" t="str">
        <f>=HYPERLINK("https://xhslink.com/m/153tVybFtKR", "https://xhslink.com/m/153tVybFtKR")</f>
        <v>https://xhslink.com/m/153tVybFtKR</v>
      </c>
      <c r="D2055"/>
      <c r="E2055">
        <v>91000</v>
      </c>
      <c r="F2055">
        <v>79.9</v>
      </c>
      <c r="G2055">
        <v>57.9</v>
      </c>
      <c r="H2055">
        <v>200</v>
      </c>
      <c r="I2055" t="inlineStr">
        <is>
          <t>低脂零食</t>
        </is>
      </c>
      <c r="J2055" t="inlineStr">
        <is>
          <t>0.00</t>
        </is>
      </c>
      <c r="K2055"/>
      <c r="L2055" t="inlineStr">
        <is>
          <t>水一方零食旗舰店</t>
        </is>
      </c>
      <c r="M2055">
        <v>68000</v>
      </c>
      <c r="N2055">
        <v>4.56</v>
      </c>
      <c r="O2055">
        <v>354000</v>
      </c>
      <c r="P2055" t="inlineStr">
        <is>
          <t>65965377847b9c0001f53c8c</t>
        </is>
      </c>
      <c r="Q2055" t="inlineStr">
        <is>
          <t>🚫重复</t>
        </is>
      </c>
      <c r="R2055" t="inlineStr">
        <is>
          <t>15周</t>
        </is>
      </c>
      <c r="S2055" t="inlineStr">
        <is>
          <t>1.34</t>
        </is>
      </c>
      <c r="T2055" t="inlineStr">
        <is>
          <t>美食滋补</t>
        </is>
      </c>
      <c r="U2055" t="inlineStr">
        <is>
          <t>休闲零食</t>
        </is>
      </c>
      <c r="V2055" s="3">
        <v>46124.971342592595</v>
      </c>
      <c r="W2055" t="inlineStr">
        <is>
          <t>2026-Q2</t>
        </is>
      </c>
    </row>
    <row r="2056" ht="25.5" customHeight="1">
      <c r="A2056" t="inlineStr">
        <is>
          <t>野人日记 · 【爆款轻卡饺】早餐速食魔芋燕麦鸡胸肉馅蒸饺 500g/袋</t>
        </is>
      </c>
      <c r="B2056" t="inlineStr">
        <is>
          <t>__upload_recvgAET7xyrnw.jpg</t>
        </is>
      </c>
      <c r="C2056" s="2" t="str">
        <f>=HYPERLINK("https://xhslink.com/m/76oaHRJPL5Y", "https://xhslink.com/m/76oaHRJPL5Y")</f>
        <v>https://xhslink.com/m/76oaHRJPL5Y</v>
      </c>
      <c r="D2056"/>
      <c r="E2056">
        <v>38000</v>
      </c>
      <c r="F2056">
        <v>29.9</v>
      </c>
      <c r="G2056"/>
      <c r="H2056">
        <v>200</v>
      </c>
      <c r="I2056" t="inlineStr">
        <is>
          <t>即食早餐</t>
        </is>
      </c>
      <c r="J2056" t="inlineStr">
        <is>
          <t>0.01</t>
        </is>
      </c>
      <c r="K2056"/>
      <c r="L2056" t="inlineStr">
        <is>
          <t>野人日记旗舰店</t>
        </is>
      </c>
      <c r="M2056">
        <v>17000</v>
      </c>
      <c r="N2056">
        <v>4.69</v>
      </c>
      <c r="O2056">
        <v>104000</v>
      </c>
      <c r="P2056" t="inlineStr">
        <is>
          <t>6435044d32f9c8000192229c</t>
        </is>
      </c>
      <c r="Q2056" t="inlineStr">
        <is>
          <t>🚫重复</t>
        </is>
      </c>
      <c r="R2056" t="inlineStr">
        <is>
          <t>15周</t>
        </is>
      </c>
      <c r="S2056" t="inlineStr">
        <is>
          <t>2.24</t>
        </is>
      </c>
      <c r="T2056" t="inlineStr">
        <is>
          <t>美食滋补</t>
        </is>
      </c>
      <c r="U2056" t="inlineStr">
        <is>
          <t>休闲零食</t>
        </is>
      </c>
      <c r="V2056" s="3">
        <v>46124.971342592595</v>
      </c>
      <c r="W2056" t="inlineStr">
        <is>
          <t>2026-Q2</t>
        </is>
      </c>
    </row>
    <row r="2057" ht="25.5" customHeight="1">
      <c r="A2057" t="inlineStr">
        <is>
          <t>周三的情书 天气：小雨 · 手工厚切吐司面包奶香手撕吐司营养早餐糕点代餐零食品整箱即食</t>
        </is>
      </c>
      <c r="B2057" t="inlineStr">
        <is>
          <t>__upload_recvgAET7xsZlM.jpg</t>
        </is>
      </c>
      <c r="C2057" s="2" t="str">
        <f>=HYPERLINK("https://xhslink.com/m/ADLQGDj8ug2", "https://xhslink.com/m/ADLQGDj8ug2")</f>
        <v>https://xhslink.com/m/ADLQGDj8ug2</v>
      </c>
      <c r="D2057"/>
      <c r="E2057">
        <v>184000</v>
      </c>
      <c r="F2057">
        <v>26.9</v>
      </c>
      <c r="G2057">
        <v>17.9</v>
      </c>
      <c r="H2057">
        <v>200</v>
      </c>
      <c r="I2057" t="inlineStr">
        <is>
          <t>即食早餐</t>
        </is>
      </c>
      <c r="J2057" t="inlineStr">
        <is>
          <t>0.00</t>
        </is>
      </c>
      <c r="K2057" t="inlineStr">
        <is>
          <t>🔥低粉爆款</t>
        </is>
      </c>
      <c r="L2057" t="inlineStr">
        <is>
          <t>周三的情书 天气：小雨旗舰店</t>
        </is>
      </c>
      <c r="M2057">
        <v>27000</v>
      </c>
      <c r="N2057">
        <v>3.88</v>
      </c>
      <c r="O2057">
        <v>432000</v>
      </c>
      <c r="P2057" t="inlineStr">
        <is>
          <t>66cf0b43912c5400015b5eae</t>
        </is>
      </c>
      <c r="Q2057" t="inlineStr">
        <is>
          <t>🚫重复</t>
        </is>
      </c>
      <c r="R2057" t="inlineStr">
        <is>
          <t>15周</t>
        </is>
      </c>
      <c r="S2057" t="inlineStr">
        <is>
          <t>6.81</t>
        </is>
      </c>
      <c r="T2057" t="inlineStr">
        <is>
          <t>美食滋补</t>
        </is>
      </c>
      <c r="U2057" t="inlineStr">
        <is>
          <t>休闲零食</t>
        </is>
      </c>
      <c r="V2057" s="3">
        <v>46124.971342592595</v>
      </c>
      <c r="W2057" t="inlineStr">
        <is>
          <t>2026-Q2</t>
        </is>
      </c>
    </row>
    <row r="2058" ht="25.5" customHeight="1">
      <c r="A2058" t="inlineStr">
        <is>
          <t>暴肌独角兽 · &lt;韧性吃全麦棒 &gt; 耐嚼磨牙解馋小钢筋营养消化饼干</t>
        </is>
      </c>
      <c r="B2058" t="inlineStr">
        <is>
          <t>__upload_recvgAET7xVBtZ.jpg</t>
        </is>
      </c>
      <c r="C2058" s="2" t="str">
        <f>=HYPERLINK("https://xhslink.com/m/6uNc9qlXcSc", "https://xhslink.com/m/6uNc9qlXcSc")</f>
        <v>https://xhslink.com/m/6uNc9qlXcSc</v>
      </c>
      <c r="D2058"/>
      <c r="E2058">
        <v>468000</v>
      </c>
      <c r="F2058">
        <v>14.9</v>
      </c>
      <c r="G2058">
        <v>9.9</v>
      </c>
      <c r="H2058">
        <v>200</v>
      </c>
      <c r="I2058" t="inlineStr">
        <is>
          <t>零食</t>
        </is>
      </c>
      <c r="J2058" t="inlineStr">
        <is>
          <t>0.00</t>
        </is>
      </c>
      <c r="K2058" t="inlineStr">
        <is>
          <t>🔥低粉爆款</t>
        </is>
      </c>
      <c r="L2058" t="inlineStr">
        <is>
          <t>暴肌独角兽旗舰店</t>
        </is>
      </c>
      <c r="M2058">
        <v>52000</v>
      </c>
      <c r="N2058">
        <v>4.49</v>
      </c>
      <c r="O2058">
        <v>1138000</v>
      </c>
      <c r="P2058" t="inlineStr">
        <is>
          <t>662b6b514153220001b4d091</t>
        </is>
      </c>
      <c r="Q2058" t="inlineStr">
        <is>
          <t>🚫重复</t>
        </is>
      </c>
      <c r="R2058" t="inlineStr">
        <is>
          <t>15周</t>
        </is>
      </c>
      <c r="S2058" t="inlineStr">
        <is>
          <t>9.00</t>
        </is>
      </c>
      <c r="T2058" t="inlineStr">
        <is>
          <t>美食滋补</t>
        </is>
      </c>
      <c r="U2058" t="inlineStr">
        <is>
          <t>休闲零食</t>
        </is>
      </c>
      <c r="V2058" s="3">
        <v>46124.971342592595</v>
      </c>
      <c r="W2058" t="inlineStr">
        <is>
          <t>2026-Q2</t>
        </is>
      </c>
    </row>
    <row r="2059" ht="25.5" customHeight="1">
      <c r="A2059" t="inlineStr">
        <is>
          <t>【奶呼呼高颜值】S20手机支架全金属桌面旋转学习追剧便携懒人支</t>
        </is>
      </c>
      <c r="B2059" t="inlineStr">
        <is>
          <t>__upload_recvgAET7xLyYi.jpg</t>
        </is>
      </c>
      <c r="C2059" s="2" t="str">
        <f>=HYPERLINK("https://xhslink.com/m/7i3OcWFLJl2", "https://xhslink.com/m/7i3OcWFLJl2")</f>
        <v>https://xhslink.com/m/7i3OcWFLJl2</v>
      </c>
      <c r="D2059"/>
      <c r="E2059">
        <v>82000</v>
      </c>
      <c r="F2059">
        <v>20.5</v>
      </c>
      <c r="G2059">
        <v>12.88</v>
      </c>
      <c r="H2059">
        <v>200</v>
      </c>
      <c r="I2059" t="inlineStr">
        <is>
          <t>手机支架</t>
        </is>
      </c>
      <c r="J2059" t="inlineStr">
        <is>
          <t>0.00</t>
        </is>
      </c>
      <c r="K2059" t="inlineStr">
        <is>
          <t>🔥低粉爆款</t>
        </is>
      </c>
      <c r="L2059" t="inlineStr">
        <is>
          <t>Century&amp;AI ｜生产力的店</t>
        </is>
      </c>
      <c r="M2059">
        <v>7332</v>
      </c>
      <c r="N2059">
        <v>4.63</v>
      </c>
      <c r="O2059">
        <v>132000</v>
      </c>
      <c r="P2059" t="inlineStr">
        <is>
          <t>67a81d1f7e87ac0001c32103</t>
        </is>
      </c>
      <c r="Q2059" t="inlineStr">
        <is>
          <t>🚫重复</t>
        </is>
      </c>
      <c r="R2059" t="inlineStr">
        <is>
          <t>15周</t>
        </is>
      </c>
      <c r="S2059" t="inlineStr">
        <is>
          <t>11.18</t>
        </is>
      </c>
      <c r="T2059" t="inlineStr">
        <is>
          <t>数码家电</t>
        </is>
      </c>
      <c r="U2059" t="inlineStr">
        <is>
          <t>数码配件</t>
        </is>
      </c>
      <c r="V2059" s="3">
        <v>46124.971342592595</v>
      </c>
      <c r="W2059" t="inlineStr">
        <is>
          <t>2026-Q2</t>
        </is>
      </c>
    </row>
    <row r="2060" ht="25.5" customHeight="1">
      <c r="A2060" t="inlineStr">
        <is>
          <t>【前500单特价】双面磁吸mini手机支架学习追剧便携懒人桌面支架</t>
        </is>
      </c>
      <c r="B2060" t="inlineStr">
        <is>
          <t>__upload_recvgAET7x98Rh.jpg</t>
        </is>
      </c>
      <c r="C2060" s="2" t="str">
        <f>=HYPERLINK("https://xhslink.com/m/8EKBMRsNZRk", "https://xhslink.com/m/8EKBMRsNZRk")</f>
        <v>https://xhslink.com/m/8EKBMRsNZRk</v>
      </c>
      <c r="D2060"/>
      <c r="E2060">
        <v>48000</v>
      </c>
      <c r="F2060">
        <v>78</v>
      </c>
      <c r="G2060">
        <v>33.9</v>
      </c>
      <c r="H2060">
        <v>200</v>
      </c>
      <c r="I2060" t="inlineStr">
        <is>
          <t>手机支架</t>
        </is>
      </c>
      <c r="J2060" t="inlineStr">
        <is>
          <t>0.00</t>
        </is>
      </c>
      <c r="K2060" t="inlineStr">
        <is>
          <t>🔥低粉爆款</t>
        </is>
      </c>
      <c r="L2060" t="inlineStr">
        <is>
          <t>Oops条条的店</t>
        </is>
      </c>
      <c r="M2060">
        <v>1506</v>
      </c>
      <c r="N2060">
        <v>4.59</v>
      </c>
      <c r="O2060">
        <v>56000</v>
      </c>
      <c r="P2060" t="inlineStr">
        <is>
          <t>68c16fd7f9d8290001a79723</t>
        </is>
      </c>
      <c r="Q2060" t="inlineStr">
        <is>
          <t>🚫重复</t>
        </is>
      </c>
      <c r="R2060" t="inlineStr">
        <is>
          <t>15周</t>
        </is>
      </c>
      <c r="S2060" t="inlineStr">
        <is>
          <t>31.87</t>
        </is>
      </c>
      <c r="T2060" t="inlineStr">
        <is>
          <t>数码家电</t>
        </is>
      </c>
      <c r="U2060" t="inlineStr">
        <is>
          <t>数码配件</t>
        </is>
      </c>
      <c r="V2060" s="3">
        <v>46124.971342592595</v>
      </c>
      <c r="W2060" t="inlineStr">
        <is>
          <t>2026-Q2</t>
        </is>
      </c>
    </row>
    <row r="2061" ht="25.5" customHeight="1">
      <c r="A2061" t="inlineStr">
        <is>
          <t>U领95棉正肩收腰t恤修身夏季短袖女凉感</t>
        </is>
      </c>
      <c r="B2061" t="inlineStr">
        <is>
          <t>__upload_recvgAET7xzmXH.jpg</t>
        </is>
      </c>
      <c r="C2061" s="2" t="str">
        <f>=HYPERLINK("https://xhslink.com/m/5SgSYaIPZlL", "https://xhslink.com/m/5SgSYaIPZlL")</f>
        <v>https://xhslink.com/m/5SgSYaIPZlL</v>
      </c>
      <c r="D2061"/>
      <c r="E2061">
        <v>10000</v>
      </c>
      <c r="F2061">
        <v>44.9</v>
      </c>
      <c r="G2061"/>
      <c r="H2061">
        <v>200</v>
      </c>
      <c r="I2061" t="inlineStr">
        <is>
          <t>T恤</t>
        </is>
      </c>
      <c r="J2061" t="inlineStr">
        <is>
          <t>0.02</t>
        </is>
      </c>
      <c r="K2061"/>
      <c r="L2061" t="inlineStr">
        <is>
          <t>今天背单词了吗的店</t>
        </is>
      </c>
      <c r="M2061">
        <v>54000</v>
      </c>
      <c r="N2061">
        <v>4.47</v>
      </c>
      <c r="O2061">
        <v>113000</v>
      </c>
      <c r="P2061" t="inlineStr">
        <is>
          <t>69c68fedc675dc00019abf3a</t>
        </is>
      </c>
      <c r="Q2061" t="inlineStr">
        <is>
          <t>🚫重复</t>
        </is>
      </c>
      <c r="R2061" t="inlineStr">
        <is>
          <t>15周</t>
        </is>
      </c>
      <c r="S2061" t="inlineStr">
        <is>
          <t>0.19</t>
        </is>
      </c>
      <c r="T2061" t="inlineStr">
        <is>
          <t>服饰穿搭</t>
        </is>
      </c>
      <c r="U2061" t="inlineStr">
        <is>
          <t>女装</t>
        </is>
      </c>
      <c r="V2061" s="3">
        <v>46124.971342592595</v>
      </c>
      <c r="W2061" t="inlineStr">
        <is>
          <t>2026-Q2</t>
        </is>
      </c>
    </row>
    <row r="2062" ht="25.5" customHeight="1">
      <c r="A2062" t="inlineStr">
        <is>
          <t>米尼尼 韩系辣妹高级感V领修身短袖T恤</t>
        </is>
      </c>
      <c r="B2062" t="inlineStr">
        <is>
          <t>__upload_recvgAET7xHz8x.jpg</t>
        </is>
      </c>
      <c r="C2062" s="2" t="str">
        <f>=HYPERLINK("https://xhslink.com/m/6032XYJqsWC", "https://xhslink.com/m/6032XYJqsWC")</f>
        <v>https://xhslink.com/m/6032XYJqsWC</v>
      </c>
      <c r="D2062"/>
      <c r="E2062">
        <v>56000</v>
      </c>
      <c r="F2062">
        <v>55.9</v>
      </c>
      <c r="G2062">
        <v>45.9</v>
      </c>
      <c r="H2062">
        <v>200</v>
      </c>
      <c r="I2062" t="inlineStr">
        <is>
          <t>T恤</t>
        </is>
      </c>
      <c r="J2062" t="inlineStr">
        <is>
          <t>0.00</t>
        </is>
      </c>
      <c r="K2062"/>
      <c r="L2062" t="inlineStr">
        <is>
          <t>米尼尼studio的店</t>
        </is>
      </c>
      <c r="M2062">
        <v>498000</v>
      </c>
      <c r="N2062">
        <v>4.54</v>
      </c>
      <c r="O2062">
        <v>630000</v>
      </c>
      <c r="P2062" t="inlineStr">
        <is>
          <t>680240071374670001bc5c2a</t>
        </is>
      </c>
      <c r="Q2062" t="inlineStr">
        <is>
          <t>🚫重复</t>
        </is>
      </c>
      <c r="R2062" t="inlineStr">
        <is>
          <t>15周</t>
        </is>
      </c>
      <c r="S2062" t="inlineStr">
        <is>
          <t>0.11</t>
        </is>
      </c>
      <c r="T2062" t="inlineStr">
        <is>
          <t>服饰穿搭</t>
        </is>
      </c>
      <c r="U2062" t="inlineStr">
        <is>
          <t>女装</t>
        </is>
      </c>
      <c r="V2062" s="3">
        <v>46124.971342592595</v>
      </c>
      <c r="W2062" t="inlineStr">
        <is>
          <t>2026-Q2</t>
        </is>
      </c>
    </row>
    <row r="2063" ht="25.5" customHeight="1">
      <c r="A2063" t="inlineStr">
        <is>
          <t>现货｜LUOJIASI圆领中袖针织衫女修身五分袖T恤U领天丝打底上衣</t>
        </is>
      </c>
      <c r="B2063" t="inlineStr">
        <is>
          <t>__upload_recvgAET7xAuap.jpg</t>
        </is>
      </c>
      <c r="C2063" s="2" t="str">
        <f>=HYPERLINK("https://xhslink.com/m/1nqLCepSXl", "https://xhslink.com/m/1nqLCepSXl")</f>
        <v>https://xhslink.com/m/1nqLCepSXl</v>
      </c>
      <c r="D2063"/>
      <c r="E2063">
        <v>4552</v>
      </c>
      <c r="F2063">
        <v>89</v>
      </c>
      <c r="G2063"/>
      <c r="H2063">
        <v>200</v>
      </c>
      <c r="I2063" t="inlineStr">
        <is>
          <t>T恤</t>
        </is>
      </c>
      <c r="J2063" t="inlineStr">
        <is>
          <t>0.04</t>
        </is>
      </c>
      <c r="K2063"/>
      <c r="L2063" t="inlineStr">
        <is>
          <t>LUOJIASI的店</t>
        </is>
      </c>
      <c r="M2063">
        <v>4986</v>
      </c>
      <c r="N2063">
        <v>4.33</v>
      </c>
      <c r="O2063">
        <v>30000</v>
      </c>
      <c r="P2063" t="inlineStr">
        <is>
          <t>687296cab93f0e0015d5b205</t>
        </is>
      </c>
      <c r="Q2063"/>
      <c r="R2063" t="inlineStr">
        <is>
          <t>15周</t>
        </is>
      </c>
      <c r="S2063" t="inlineStr">
        <is>
          <t>0.91</t>
        </is>
      </c>
      <c r="T2063" t="inlineStr">
        <is>
          <t>服饰穿搭</t>
        </is>
      </c>
      <c r="U2063" t="inlineStr">
        <is>
          <t>女装</t>
        </is>
      </c>
      <c r="V2063" s="3">
        <v>46124.971342592595</v>
      </c>
      <c r="W2063" t="inlineStr">
        <is>
          <t>2026-Q2</t>
        </is>
      </c>
    </row>
    <row r="2064" ht="25.5" customHeight="1">
      <c r="A2064" t="inlineStr">
        <is>
          <t>大码女装夏季新款时尚洋气宽松显瘦鱼尾下摆设计感圆领T恤2428</t>
        </is>
      </c>
      <c r="B2064" t="inlineStr">
        <is>
          <t>__upload_recvgAET7xUZR6.jpg</t>
        </is>
      </c>
      <c r="C2064" s="2" t="str">
        <f>=HYPERLINK("https://xhslink.com/m/1Gxgj6ymNvW", "https://xhslink.com/m/1Gxgj6ymNvW")</f>
        <v>https://xhslink.com/m/1Gxgj6ymNvW</v>
      </c>
      <c r="D2064"/>
      <c r="E2064">
        <v>2282</v>
      </c>
      <c r="F2064">
        <v>59.9</v>
      </c>
      <c r="G2064"/>
      <c r="H2064">
        <v>200</v>
      </c>
      <c r="I2064" t="inlineStr">
        <is>
          <t>T恤</t>
        </is>
      </c>
      <c r="J2064" t="inlineStr">
        <is>
          <t>0.09</t>
        </is>
      </c>
      <c r="K2064"/>
      <c r="L2064" t="inlineStr">
        <is>
          <t>汤圆微胖大码女装的店</t>
        </is>
      </c>
      <c r="M2064">
        <v>5513</v>
      </c>
      <c r="N2064">
        <v>4.63</v>
      </c>
      <c r="O2064">
        <v>6381</v>
      </c>
      <c r="P2064" t="inlineStr">
        <is>
          <t>67da97a9bd666b0001727792</t>
        </is>
      </c>
      <c r="Q2064"/>
      <c r="R2064" t="inlineStr">
        <is>
          <t>15周</t>
        </is>
      </c>
      <c r="S2064" t="inlineStr">
        <is>
          <t>0.41</t>
        </is>
      </c>
      <c r="T2064" t="inlineStr">
        <is>
          <t>服饰穿搭</t>
        </is>
      </c>
      <c r="U2064" t="inlineStr">
        <is>
          <t>女装</t>
        </is>
      </c>
      <c r="V2064" s="3">
        <v>46124.971342592595</v>
      </c>
      <c r="W2064" t="inlineStr">
        <is>
          <t>2026-Q2</t>
        </is>
      </c>
    </row>
    <row r="2065" ht="25.5" customHeight="1">
      <c r="A2065" t="inlineStr">
        <is>
          <t>欧货小衫正肩短袖T恤女2026夏季新款爆款纯棉半袖内搭打底衫ins</t>
        </is>
      </c>
      <c r="B2065" t="inlineStr">
        <is>
          <t>__upload_recvgAET7xTicS.jpg</t>
        </is>
      </c>
      <c r="C2065" s="2" t="str">
        <f>=HYPERLINK("https://xhslink.com/m/SbgRYmErM", "https://xhslink.com/m/SbgRYmErM")</f>
        <v>https://xhslink.com/m/SbgRYmErM</v>
      </c>
      <c r="D2065"/>
      <c r="E2065">
        <v>1306</v>
      </c>
      <c r="F2065">
        <v>69.8</v>
      </c>
      <c r="G2065">
        <v>39.8</v>
      </c>
      <c r="H2065">
        <v>200</v>
      </c>
      <c r="I2065" t="inlineStr">
        <is>
          <t>T恤</t>
        </is>
      </c>
      <c r="J2065" t="inlineStr">
        <is>
          <t>0.15</t>
        </is>
      </c>
      <c r="K2065"/>
      <c r="L2065" t="inlineStr">
        <is>
          <t>LAN桉家原创工作室的店</t>
        </is>
      </c>
      <c r="M2065">
        <v>2388</v>
      </c>
      <c r="N2065">
        <v>4.64</v>
      </c>
      <c r="O2065">
        <v>27000</v>
      </c>
      <c r="P2065" t="inlineStr">
        <is>
          <t>68207496beccb100150d1a8f</t>
        </is>
      </c>
      <c r="Q2065" t="inlineStr">
        <is>
          <t>🚫重复</t>
        </is>
      </c>
      <c r="R2065" t="inlineStr">
        <is>
          <t>15周</t>
        </is>
      </c>
      <c r="S2065" t="inlineStr">
        <is>
          <t>0.55</t>
        </is>
      </c>
      <c r="T2065" t="inlineStr">
        <is>
          <t>服饰穿搭</t>
        </is>
      </c>
      <c r="U2065" t="inlineStr">
        <is>
          <t>女装</t>
        </is>
      </c>
      <c r="V2065" s="3">
        <v>46124.971342592595</v>
      </c>
      <c r="W2065" t="inlineStr">
        <is>
          <t>2026-Q2</t>
        </is>
      </c>
    </row>
    <row r="2066" ht="25.5" customHeight="1">
      <c r="A2066" t="inlineStr">
        <is>
          <t>芮娜丝 · cotton系列短袖短款圆领正肩显瘦T恤夏紧身百搭</t>
        </is>
      </c>
      <c r="B2066" t="inlineStr">
        <is>
          <t>__upload_recvgAET7xEV4D.jpg</t>
        </is>
      </c>
      <c r="C2066" s="2" t="str">
        <f>=HYPERLINK("https://xhslink.com/m/AYz3ycRjTmP", "https://xhslink.com/m/AYz3ycRjTmP")</f>
        <v>https://xhslink.com/m/AYz3ycRjTmP</v>
      </c>
      <c r="D2066"/>
      <c r="E2066">
        <v>934</v>
      </c>
      <c r="F2066">
        <v>109.9</v>
      </c>
      <c r="G2066">
        <v>39.9</v>
      </c>
      <c r="H2066">
        <v>200</v>
      </c>
      <c r="I2066" t="inlineStr">
        <is>
          <t>T恤</t>
        </is>
      </c>
      <c r="J2066" t="inlineStr">
        <is>
          <t>0.21</t>
        </is>
      </c>
      <c r="K2066"/>
      <c r="L2066" t="inlineStr">
        <is>
          <t>芮娜丝的店的店</t>
        </is>
      </c>
      <c r="M2066">
        <v>6638</v>
      </c>
      <c r="N2066">
        <v>4.62</v>
      </c>
      <c r="O2066">
        <v>23000</v>
      </c>
      <c r="P2066" t="inlineStr">
        <is>
          <t>6989589f84b90b000117334a</t>
        </is>
      </c>
      <c r="Q2066" t="inlineStr">
        <is>
          <t>🚫重复</t>
        </is>
      </c>
      <c r="R2066" t="inlineStr">
        <is>
          <t>15周</t>
        </is>
      </c>
      <c r="S2066" t="inlineStr">
        <is>
          <t>0.14</t>
        </is>
      </c>
      <c r="T2066" t="inlineStr">
        <is>
          <t>服饰穿搭</t>
        </is>
      </c>
      <c r="U2066" t="inlineStr">
        <is>
          <t>女装</t>
        </is>
      </c>
      <c r="V2066" s="3">
        <v>46124.971342592595</v>
      </c>
      <c r="W2066" t="inlineStr">
        <is>
          <t>2026-Q2</t>
        </is>
      </c>
    </row>
    <row r="2067" ht="25.5" customHeight="1">
      <c r="A2067" t="inlineStr">
        <is>
          <t>【大米饭】凉爽一夏！夏天必备的透气吸汗宽松落肩圆摆t恤凉凉t</t>
        </is>
      </c>
      <c r="B2067" t="inlineStr">
        <is>
          <t>__upload_recvgAET7xjLc0.jpg</t>
        </is>
      </c>
      <c r="C2067" s="2" t="str">
        <f>=HYPERLINK("https://xhslink.com/m/8hdRqv3Xbgx", "https://xhslink.com/m/8hdRqv3Xbgx")</f>
        <v>https://xhslink.com/m/8hdRqv3Xbgx</v>
      </c>
      <c r="D2067"/>
      <c r="E2067">
        <v>1019</v>
      </c>
      <c r="F2067">
        <v>56</v>
      </c>
      <c r="G2067">
        <v>51</v>
      </c>
      <c r="H2067">
        <v>200</v>
      </c>
      <c r="I2067" t="inlineStr">
        <is>
          <t>T恤</t>
        </is>
      </c>
      <c r="J2067" t="inlineStr">
        <is>
          <t>0.20</t>
        </is>
      </c>
      <c r="K2067"/>
      <c r="L2067" t="inlineStr">
        <is>
          <t>大米饭制衣厂（厂长版）的店</t>
        </is>
      </c>
      <c r="M2067">
        <v>64000</v>
      </c>
      <c r="N2067">
        <v>4.7</v>
      </c>
      <c r="O2067">
        <v>168000</v>
      </c>
      <c r="P2067" t="inlineStr">
        <is>
          <t>68eb4577f71ffd0015fc1eaa</t>
        </is>
      </c>
      <c r="Q2067" t="inlineStr">
        <is>
          <t>🚫重复</t>
        </is>
      </c>
      <c r="R2067" t="inlineStr">
        <is>
          <t>15周</t>
        </is>
      </c>
      <c r="S2067" t="inlineStr">
        <is>
          <t>0.02</t>
        </is>
      </c>
      <c r="T2067" t="inlineStr">
        <is>
          <t>服饰穿搭</t>
        </is>
      </c>
      <c r="U2067" t="inlineStr">
        <is>
          <t>女装</t>
        </is>
      </c>
      <c r="V2067" s="3">
        <v>46124.971342592595</v>
      </c>
      <c r="W2067" t="inlineStr">
        <is>
          <t>2026-Q2</t>
        </is>
      </c>
    </row>
    <row r="2068" ht="25.5" customHeight="1">
      <c r="A2068" t="inlineStr">
        <is>
          <t>euri · 轻松生活·短袖T丨100桑蚕丝丨120支长绢真丝宽松直筒T恤-MY6790</t>
        </is>
      </c>
      <c r="B2068" t="inlineStr">
        <is>
          <t>__upload_recvgAET7xEf70.jpg</t>
        </is>
      </c>
      <c r="C2068" s="2" t="str">
        <f>=HYPERLINK("https://xhslink.com/m/9SPFJMAf1SC", "https://xhslink.com/m/9SPFJMAf1SC")</f>
        <v>https://xhslink.com/m/9SPFJMAf1SC</v>
      </c>
      <c r="D2068"/>
      <c r="E2068">
        <v>2204</v>
      </c>
      <c r="F2068">
        <v>199.88</v>
      </c>
      <c r="G2068">
        <v>169.9</v>
      </c>
      <c r="H2068">
        <v>200</v>
      </c>
      <c r="I2068" t="inlineStr">
        <is>
          <t>T恤</t>
        </is>
      </c>
      <c r="J2068" t="inlineStr">
        <is>
          <t>0.09</t>
        </is>
      </c>
      <c r="K2068"/>
      <c r="L2068" t="inlineStr">
        <is>
          <t>真丝郭总(极致性价比)的店</t>
        </is>
      </c>
      <c r="M2068">
        <v>152000</v>
      </c>
      <c r="N2068">
        <v>4.74</v>
      </c>
      <c r="O2068">
        <v>572000</v>
      </c>
      <c r="P2068" t="inlineStr">
        <is>
          <t>69aeaeeef209ba0001038d2b</t>
        </is>
      </c>
      <c r="Q2068"/>
      <c r="R2068" t="inlineStr">
        <is>
          <t>15周</t>
        </is>
      </c>
      <c r="S2068" t="inlineStr">
        <is>
          <t>0.01</t>
        </is>
      </c>
      <c r="T2068" t="inlineStr">
        <is>
          <t>服饰穿搭</t>
        </is>
      </c>
      <c r="U2068" t="inlineStr">
        <is>
          <t>女装</t>
        </is>
      </c>
      <c r="V2068" s="3">
        <v>46124.971342592595</v>
      </c>
      <c r="W2068" t="inlineStr">
        <is>
          <t>2026-Q2</t>
        </is>
      </c>
    </row>
    <row r="2069" ht="25.5" customHeight="1">
      <c r="A2069" t="inlineStr">
        <is>
          <t>sk*m版型超绝显瘦正肩短袖T恤大码女</t>
        </is>
      </c>
      <c r="B2069" t="inlineStr">
        <is>
          <t>__upload_recvgAET7x88N7.jpg</t>
        </is>
      </c>
      <c r="C2069" s="2" t="str">
        <f>=HYPERLINK("https://xhslink.com/m/9USt1At34C7", "https://xhslink.com/m/9USt1At34C7")</f>
        <v>https://xhslink.com/m/9USt1At34C7</v>
      </c>
      <c r="D2069"/>
      <c r="E2069">
        <v>856</v>
      </c>
      <c r="F2069">
        <v>69</v>
      </c>
      <c r="G2069"/>
      <c r="H2069">
        <v>200</v>
      </c>
      <c r="I2069" t="inlineStr">
        <is>
          <t>T恤</t>
        </is>
      </c>
      <c r="J2069" t="inlineStr">
        <is>
          <t>0.23</t>
        </is>
      </c>
      <c r="K2069"/>
      <c r="L2069" t="inlineStr">
        <is>
          <t>夕文的店</t>
        </is>
      </c>
      <c r="M2069">
        <v>58000</v>
      </c>
      <c r="N2069">
        <v>4.63</v>
      </c>
      <c r="O2069">
        <v>288000</v>
      </c>
      <c r="P2069" t="inlineStr">
        <is>
          <t>69c1e0f511534f0001507584</t>
        </is>
      </c>
      <c r="Q2069" t="inlineStr">
        <is>
          <t>🚫重复</t>
        </is>
      </c>
      <c r="R2069" t="inlineStr">
        <is>
          <t>15周</t>
        </is>
      </c>
      <c r="S2069" t="inlineStr">
        <is>
          <t>0.01</t>
        </is>
      </c>
      <c r="T2069" t="inlineStr">
        <is>
          <t>服饰穿搭</t>
        </is>
      </c>
      <c r="U2069" t="inlineStr">
        <is>
          <t>女装</t>
        </is>
      </c>
      <c r="V2069" s="3">
        <v>46124.971342592595</v>
      </c>
      <c r="W2069" t="inlineStr">
        <is>
          <t>2026-Q2</t>
        </is>
      </c>
    </row>
    <row r="2070" ht="25.5" customHeight="1">
      <c r="A2070" t="inlineStr">
        <is>
          <t>ArtValue · 薄荷精灵感！绿色眼影盘清透感薄荷绿低饱和珠光哑光细闪温柔纯欲</t>
        </is>
      </c>
      <c r="B2070" t="inlineStr">
        <is>
          <t>__upload_recvgAET7xeYaG.jpg</t>
        </is>
      </c>
      <c r="C2070" s="2" t="str">
        <f>=HYPERLINK("https://xhslink.com/m/92iElTa2EpT", "https://xhslink.com/m/92iElTa2EpT")</f>
        <v>https://xhslink.com/m/92iElTa2EpT</v>
      </c>
      <c r="D2070"/>
      <c r="E2070">
        <v>4743</v>
      </c>
      <c r="F2070">
        <v>29.9</v>
      </c>
      <c r="G2070">
        <v>9.8</v>
      </c>
      <c r="H2070">
        <v>200</v>
      </c>
      <c r="I2070" t="inlineStr">
        <is>
          <t>美妆</t>
        </is>
      </c>
      <c r="J2070" t="inlineStr">
        <is>
          <t>0.04</t>
        </is>
      </c>
      <c r="K2070" t="inlineStr">
        <is>
          <t>🔥低粉爆款</t>
        </is>
      </c>
      <c r="L2070" t="inlineStr">
        <is>
          <t>嘟嘟打雷啦的店</t>
        </is>
      </c>
      <c r="M2070">
        <v>846</v>
      </c>
      <c r="N2070">
        <v>4.51</v>
      </c>
      <c r="O2070">
        <v>13000</v>
      </c>
      <c r="P2070" t="inlineStr">
        <is>
          <t>68259ed8a7f66700013e0c8a</t>
        </is>
      </c>
      <c r="Q2070"/>
      <c r="R2070" t="inlineStr">
        <is>
          <t>15周</t>
        </is>
      </c>
      <c r="S2070" t="inlineStr">
        <is>
          <t>5.61</t>
        </is>
      </c>
      <c r="T2070" t="inlineStr">
        <is>
          <t>美妆个护</t>
        </is>
      </c>
      <c r="U2070" t="inlineStr">
        <is>
          <t>护肤彩妆</t>
        </is>
      </c>
      <c r="V2070" s="3">
        <v>46124.971342592595</v>
      </c>
      <c r="W2070" t="inlineStr">
        <is>
          <t>2026-Q2</t>
        </is>
      </c>
    </row>
    <row r="2071" ht="25.5" customHeight="1">
      <c r="A2071" t="inlineStr">
        <is>
          <t>酵色 · 【118/2支】固体唇蜜全新不易沾杯镜面时髦口红推荐5585591990</t>
        </is>
      </c>
      <c r="B2071" t="inlineStr">
        <is>
          <t>__upload_recvgAET7xn6Q3.jpg</t>
        </is>
      </c>
      <c r="C2071" s="2" t="str">
        <f>=HYPERLINK("https://xhslink.com/m/5AortpXZqIA", "https://xhslink.com/m/5AortpXZqIA")</f>
        <v>https://xhslink.com/m/5AortpXZqIA</v>
      </c>
      <c r="D2071"/>
      <c r="E2071">
        <v>92000</v>
      </c>
      <c r="F2071">
        <v>158</v>
      </c>
      <c r="G2071">
        <v>118</v>
      </c>
      <c r="H2071">
        <v>200</v>
      </c>
      <c r="I2071" t="inlineStr">
        <is>
          <t>美妆</t>
        </is>
      </c>
      <c r="J2071" t="inlineStr">
        <is>
          <t>0.00</t>
        </is>
      </c>
      <c r="K2071"/>
      <c r="L2071" t="inlineStr">
        <is>
          <t>JOOCYEE酵色旗舰店</t>
        </is>
      </c>
      <c r="M2071">
        <v>163000</v>
      </c>
      <c r="N2071">
        <v>4.78</v>
      </c>
      <c r="O2071">
        <v>847000</v>
      </c>
      <c r="P2071" t="inlineStr">
        <is>
          <t>69a0783787daa000018baf2c</t>
        </is>
      </c>
      <c r="Q2071" t="inlineStr">
        <is>
          <t>🚫重复</t>
        </is>
      </c>
      <c r="R2071" t="inlineStr">
        <is>
          <t>15周</t>
        </is>
      </c>
      <c r="S2071" t="inlineStr">
        <is>
          <t>0.56</t>
        </is>
      </c>
      <c r="T2071" t="inlineStr">
        <is>
          <t>美妆个护</t>
        </is>
      </c>
      <c r="U2071" t="inlineStr">
        <is>
          <t>护肤彩妆</t>
        </is>
      </c>
      <c r="V2071" s="3">
        <v>46124.971342592595</v>
      </c>
      <c r="W2071" t="inlineStr">
        <is>
          <t>2026-Q2</t>
        </is>
      </c>
    </row>
    <row r="2072" ht="25.5" customHeight="1">
      <c r="A2072" t="inlineStr">
        <is>
          <t>新年福福舱｜解压玩具•ADHD•提升专注力</t>
        </is>
      </c>
      <c r="B2072" t="inlineStr">
        <is>
          <t>__upload_recvgAET7xMlVo.jpg</t>
        </is>
      </c>
      <c r="C2072" s="2" t="str">
        <f>=HYPERLINK("https://xhslink.com/m/g5kyhKERjF", "https://xhslink.com/m/g5kyhKERjF")</f>
        <v>https://xhslink.com/m/g5kyhKERjF</v>
      </c>
      <c r="D2072"/>
      <c r="E2072">
        <v>3666</v>
      </c>
      <c r="F2072">
        <v>26.9</v>
      </c>
      <c r="G2072">
        <v>24.9</v>
      </c>
      <c r="H2072">
        <v>200</v>
      </c>
      <c r="I2072" t="inlineStr">
        <is>
          <t>解压玩具</t>
        </is>
      </c>
      <c r="J2072" t="inlineStr">
        <is>
          <t>0.05</t>
        </is>
      </c>
      <c r="K2072"/>
      <c r="L2072" t="inlineStr">
        <is>
          <t>Happy 太平洋的店</t>
        </is>
      </c>
      <c r="M2072">
        <v>30000</v>
      </c>
      <c r="N2072">
        <v>4.42</v>
      </c>
      <c r="O2072">
        <v>45000</v>
      </c>
      <c r="P2072" t="inlineStr">
        <is>
          <t>6957a3b4bfa59100016172d9</t>
        </is>
      </c>
      <c r="Q2072"/>
      <c r="R2072" t="inlineStr">
        <is>
          <t>15周</t>
        </is>
      </c>
      <c r="S2072" t="inlineStr">
        <is>
          <t>0.12</t>
        </is>
      </c>
      <c r="T2072" t="inlineStr">
        <is>
          <t>母婴亲子</t>
        </is>
      </c>
      <c r="U2072" t="inlineStr">
        <is>
          <t>玩具早教</t>
        </is>
      </c>
      <c r="V2072" s="3">
        <v>46124.971342592595</v>
      </c>
      <c r="W2072" t="inlineStr">
        <is>
          <t>2026-Q2</t>
        </is>
      </c>
    </row>
    <row r="2073" ht="25.5" customHeight="1">
      <c r="A2073" t="inlineStr">
        <is>
          <t>Tangle · 温变系列扭扭乐ADHD专注力手指训练神器解压小玩具</t>
        </is>
      </c>
      <c r="B2073" t="inlineStr">
        <is>
          <t>__upload_recvgAET7xEB8Z.jpg</t>
        </is>
      </c>
      <c r="C2073" s="2" t="str">
        <f>=HYPERLINK("https://xhslink.com/m/51KKPdKO3cZ", "https://xhslink.com/m/51KKPdKO3cZ")</f>
        <v>https://xhslink.com/m/51KKPdKO3cZ</v>
      </c>
      <c r="D2073"/>
      <c r="E2073">
        <v>43000</v>
      </c>
      <c r="F2073">
        <v>50</v>
      </c>
      <c r="G2073"/>
      <c r="H2073">
        <v>200</v>
      </c>
      <c r="I2073" t="inlineStr">
        <is>
          <t>解压玩具</t>
        </is>
      </c>
      <c r="J2073" t="inlineStr">
        <is>
          <t>0.00</t>
        </is>
      </c>
      <c r="K2073"/>
      <c r="L2073" t="inlineStr">
        <is>
          <t>Tangle旗舰店</t>
        </is>
      </c>
      <c r="M2073">
        <v>87000</v>
      </c>
      <c r="N2073">
        <v>4.53</v>
      </c>
      <c r="O2073">
        <v>156000</v>
      </c>
      <c r="P2073" t="inlineStr">
        <is>
          <t>69057a707be2990015b75cc0</t>
        </is>
      </c>
      <c r="Q2073" t="inlineStr">
        <is>
          <t>🚫重复</t>
        </is>
      </c>
      <c r="R2073" t="inlineStr">
        <is>
          <t>15周</t>
        </is>
      </c>
      <c r="S2073" t="inlineStr">
        <is>
          <t>0.49</t>
        </is>
      </c>
      <c r="T2073" t="inlineStr">
        <is>
          <t>母婴亲子</t>
        </is>
      </c>
      <c r="U2073" t="inlineStr">
        <is>
          <t>玩具早教</t>
        </is>
      </c>
      <c r="V2073" s="3">
        <v>46124.971342592595</v>
      </c>
      <c r="W2073" t="inlineStr">
        <is>
          <t>2026-Q2</t>
        </is>
      </c>
    </row>
    <row r="2074" ht="25.5" customHeight="1">
      <c r="A2074" t="inlineStr">
        <is>
          <t>Tangle · 扭扭乐宝石Gems系列专注力训练神器解压小玩具</t>
        </is>
      </c>
      <c r="B2074" t="inlineStr">
        <is>
          <t>__upload_recvgAET7xweZY.jpg</t>
        </is>
      </c>
      <c r="C2074" s="2" t="str">
        <f>=HYPERLINK("https://xhslink.com/m/9U40c2sAbtj", "https://xhslink.com/m/9U40c2sAbtj")</f>
        <v>https://xhslink.com/m/9U40c2sAbtj</v>
      </c>
      <c r="D2074"/>
      <c r="E2074">
        <v>29000</v>
      </c>
      <c r="F2074">
        <v>50</v>
      </c>
      <c r="G2074"/>
      <c r="H2074">
        <v>200</v>
      </c>
      <c r="I2074" t="inlineStr">
        <is>
          <t>解压玩具</t>
        </is>
      </c>
      <c r="J2074" t="inlineStr">
        <is>
          <t>0.01</t>
        </is>
      </c>
      <c r="K2074"/>
      <c r="L2074" t="inlineStr">
        <is>
          <t>Tangle旗舰店</t>
        </is>
      </c>
      <c r="M2074">
        <v>87000</v>
      </c>
      <c r="N2074">
        <v>4.53</v>
      </c>
      <c r="O2074">
        <v>156000</v>
      </c>
      <c r="P2074" t="inlineStr">
        <is>
          <t>690579b6ec5b4300154c15ab</t>
        </is>
      </c>
      <c r="Q2074" t="inlineStr">
        <is>
          <t>🚫重复</t>
        </is>
      </c>
      <c r="R2074" t="inlineStr">
        <is>
          <t>15周</t>
        </is>
      </c>
      <c r="S2074" t="inlineStr">
        <is>
          <t>0.33</t>
        </is>
      </c>
      <c r="T2074" t="inlineStr">
        <is>
          <t>母婴亲子</t>
        </is>
      </c>
      <c r="U2074" t="inlineStr">
        <is>
          <t>玩具早教</t>
        </is>
      </c>
      <c r="V2074" s="3">
        <v>46124.971342592595</v>
      </c>
      <c r="W2074" t="inlineStr">
        <is>
          <t>2026-Q2</t>
        </is>
      </c>
    </row>
    <row r="2075" ht="25.5" customHeight="1">
      <c r="A2075" t="inlineStr">
        <is>
          <t>【全款预售】原创花枝鼠捏捏玩具玩偶挂件</t>
        </is>
      </c>
      <c r="B2075" t="inlineStr">
        <is>
          <t>__upload_recvgAET7xS5aS.jpg</t>
        </is>
      </c>
      <c r="C2075" s="2" t="str">
        <f>=HYPERLINK("https://xhslink.com/m/3DgKKx2q3a0", "https://xhslink.com/m/3DgKKx2q3a0")</f>
        <v>https://xhslink.com/m/3DgKKx2q3a0</v>
      </c>
      <c r="D2075"/>
      <c r="E2075">
        <v>5821</v>
      </c>
      <c r="F2075">
        <v>35</v>
      </c>
      <c r="G2075"/>
      <c r="H2075">
        <v>200</v>
      </c>
      <c r="I2075" t="inlineStr">
        <is>
          <t>包挂仔公仔</t>
        </is>
      </c>
      <c r="J2075" t="inlineStr">
        <is>
          <t>0.03</t>
        </is>
      </c>
      <c r="K2075"/>
      <c r="L2075" t="inlineStr">
        <is>
          <t>观雨小狗的店</t>
        </is>
      </c>
      <c r="M2075">
        <v>5102</v>
      </c>
      <c r="N2075">
        <v>4.68</v>
      </c>
      <c r="O2075">
        <v>15000</v>
      </c>
      <c r="P2075" t="inlineStr">
        <is>
          <t>69d774743ff4c80001e7f59e</t>
        </is>
      </c>
      <c r="Q2075"/>
      <c r="R2075" t="inlineStr">
        <is>
          <t>15周</t>
        </is>
      </c>
      <c r="S2075" t="inlineStr">
        <is>
          <t>1.14</t>
        </is>
      </c>
      <c r="T2075" t="inlineStr">
        <is>
          <t>母婴亲子</t>
        </is>
      </c>
      <c r="U2075" t="inlineStr">
        <is>
          <t>玩具早教</t>
        </is>
      </c>
      <c r="V2075" s="3">
        <v>46124.971342592595</v>
      </c>
      <c r="W2075" t="inlineStr">
        <is>
          <t>2026-Q2</t>
        </is>
      </c>
    </row>
    <row r="2076" ht="25.5" customHeight="1">
      <c r="A2076" t="inlineStr">
        <is>
          <t>【四件套带盆】水培九里香富贵椰子金钻玛丽安室内美观懒人绿植物</t>
        </is>
      </c>
      <c r="B2076" t="inlineStr">
        <is>
          <t>recvgGy5hQU0oh.jpg</t>
        </is>
      </c>
      <c r="C2076" s="2" t="str">
        <f>=HYPERLINK("https://xhslink.com/m/Ab253uxmtL", "https://xhslink.com/m/Ab253uxmtL")</f>
        <v>https://xhslink.com/m/Ab253uxmtL</v>
      </c>
      <c r="D2076"/>
      <c r="E2076">
        <v>59000</v>
      </c>
      <c r="F2076">
        <v>29.8</v>
      </c>
      <c r="G2076"/>
      <c r="H2076">
        <v>200</v>
      </c>
      <c r="I2076" t="inlineStr">
        <is>
          <t>绿植</t>
        </is>
      </c>
      <c r="J2076" t="inlineStr">
        <is>
          <t>0.00</t>
        </is>
      </c>
      <c r="K2076" t="inlineStr">
        <is>
          <t>🔥低粉爆款</t>
        </is>
      </c>
      <c r="L2076" t="inlineStr">
        <is>
          <t>蓝是蓝忘机的店</t>
        </is>
      </c>
      <c r="M2076">
        <v>7023</v>
      </c>
      <c r="N2076">
        <v>4.5</v>
      </c>
      <c r="O2076">
        <v>89000</v>
      </c>
      <c r="P2076" t="inlineStr">
        <is>
          <t>66adaaaa5271070001605af2</t>
        </is>
      </c>
      <c r="Q2076" t="inlineStr">
        <is>
          <t>🚫重复</t>
        </is>
      </c>
      <c r="R2076" t="inlineStr">
        <is>
          <t>16周</t>
        </is>
      </c>
      <c r="S2076" t="inlineStr">
        <is>
          <t>8.40</t>
        </is>
      </c>
      <c r="T2076" t="inlineStr">
        <is>
          <t>家居生活</t>
        </is>
      </c>
      <c r="U2076" t="inlineStr">
        <is>
          <t>家具家装</t>
        </is>
      </c>
      <c r="V2076" s="3">
        <v>46125.978738425925</v>
      </c>
      <c r="W2076" t="inlineStr">
        <is>
          <t>2026-Q2</t>
        </is>
      </c>
    </row>
    <row r="2077" ht="25.5" customHeight="1">
      <c r="A2077" t="inlineStr">
        <is>
          <t>长条收纳盒分隔神器桌面收纳盒衣橱柜储物抽屉化妆品手机收纳盒</t>
        </is>
      </c>
      <c r="B2077" t="inlineStr">
        <is>
          <t>recvgGy5hQFhdX.jpg</t>
        </is>
      </c>
      <c r="C2077" s="2" t="str">
        <f>=HYPERLINK("https://xhslink.com/m/3KQa6oCzFy3", "https://xhslink.com/m/3KQa6oCzFy3")</f>
        <v>https://xhslink.com/m/3KQa6oCzFy3</v>
      </c>
      <c r="D2077"/>
      <c r="E2077">
        <v>54000</v>
      </c>
      <c r="F2077">
        <v>29.9</v>
      </c>
      <c r="G2077">
        <v>9.9</v>
      </c>
      <c r="H2077">
        <v>200</v>
      </c>
      <c r="I2077" t="inlineStr">
        <is>
          <t>卧室收纳</t>
        </is>
      </c>
      <c r="J2077" t="inlineStr">
        <is>
          <t>0.00</t>
        </is>
      </c>
      <c r="K2077" t="inlineStr">
        <is>
          <t>🔥低粉爆款</t>
        </is>
      </c>
      <c r="L2077" t="inlineStr">
        <is>
          <t>烟火气研究所的店</t>
        </is>
      </c>
      <c r="M2077">
        <v>1766</v>
      </c>
      <c r="N2077">
        <v>4.49</v>
      </c>
      <c r="O2077">
        <v>67000</v>
      </c>
      <c r="P2077" t="inlineStr">
        <is>
          <t>6888c2e5e08d4d00019b9083</t>
        </is>
      </c>
      <c r="Q2077" t="inlineStr">
        <is>
          <t>🚫重复</t>
        </is>
      </c>
      <c r="R2077" t="inlineStr">
        <is>
          <t>16周</t>
        </is>
      </c>
      <c r="S2077" t="inlineStr">
        <is>
          <t>30.58</t>
        </is>
      </c>
      <c r="T2077" t="inlineStr">
        <is>
          <t>家居生活</t>
        </is>
      </c>
      <c r="U2077" t="inlineStr">
        <is>
          <t>家居日用</t>
        </is>
      </c>
      <c r="V2077" s="3">
        <v>46125.978738425925</v>
      </c>
      <c r="W2077" t="inlineStr">
        <is>
          <t>2026-Q2</t>
        </is>
      </c>
    </row>
    <row r="2078" ht="25.5" customHeight="1">
      <c r="A2078" t="inlineStr">
        <is>
          <t>2026高颜值餐具盲盒陶瓷釉下彩餐盘家用餐具陶瓷ins风盘子碗盘子</t>
        </is>
      </c>
      <c r="B2078" t="inlineStr">
        <is>
          <t>recvgGy5hQ88GZ.jpg</t>
        </is>
      </c>
      <c r="C2078" s="2" t="str">
        <f>=HYPERLINK("https://xhslink.com/m/86jojInVE3I", "https://xhslink.com/m/86jojInVE3I")</f>
        <v>https://xhslink.com/m/86jojInVE3I</v>
      </c>
      <c r="D2078"/>
      <c r="E2078">
        <v>1450</v>
      </c>
      <c r="F2078">
        <v>9.9</v>
      </c>
      <c r="G2078"/>
      <c r="H2078">
        <v>200</v>
      </c>
      <c r="I2078" t="inlineStr">
        <is>
          <t>陶瓷餐具</t>
        </is>
      </c>
      <c r="J2078" t="inlineStr">
        <is>
          <t>0.14</t>
        </is>
      </c>
      <c r="K2078"/>
      <c r="L2078" t="inlineStr">
        <is>
          <t>碗勺碟盘锅回家咯的店</t>
        </is>
      </c>
      <c r="M2078">
        <v>558</v>
      </c>
      <c r="N2078">
        <v>3.89</v>
      </c>
      <c r="O2078">
        <v>5721</v>
      </c>
      <c r="P2078" t="inlineStr">
        <is>
          <t>69c24ddf265269000186b2ac</t>
        </is>
      </c>
      <c r="Q2078"/>
      <c r="R2078" t="inlineStr">
        <is>
          <t>16周</t>
        </is>
      </c>
      <c r="S2078" t="inlineStr">
        <is>
          <t>2.60</t>
        </is>
      </c>
      <c r="T2078" t="inlineStr">
        <is>
          <t>家居生活</t>
        </is>
      </c>
      <c r="U2078" t="inlineStr">
        <is>
          <t>厨房餐饮</t>
        </is>
      </c>
      <c r="V2078" s="3">
        <v>46125.978738425925</v>
      </c>
      <c r="W2078" t="inlineStr">
        <is>
          <t>2026-Q2</t>
        </is>
      </c>
    </row>
    <row r="2079" ht="25.5" customHeight="1">
      <c r="A2079" t="inlineStr">
        <is>
          <t>外贸早教mini磁力片便携式铁盒装儿童益智拼装玩具</t>
        </is>
      </c>
      <c r="B2079" t="inlineStr">
        <is>
          <t>recvgGy5hQIkbT.jpg</t>
        </is>
      </c>
      <c r="C2079" s="2" t="str">
        <f>=HYPERLINK("https://xhslink.com/m/8Rfzt9x75Lw", "https://xhslink.com/m/8Rfzt9x75Lw")</f>
        <v>https://xhslink.com/m/8Rfzt9x75Lw</v>
      </c>
      <c r="D2079"/>
      <c r="E2079">
        <v>1726</v>
      </c>
      <c r="F2079">
        <v>45.9</v>
      </c>
      <c r="G2079">
        <v>33.8</v>
      </c>
      <c r="H2079">
        <v>200</v>
      </c>
      <c r="I2079" t="inlineStr">
        <is>
          <t>积木拼图</t>
        </is>
      </c>
      <c r="J2079" t="inlineStr">
        <is>
          <t>0.12</t>
        </is>
      </c>
      <c r="K2079"/>
      <c r="L2079" t="inlineStr">
        <is>
          <t>喜乐麻麻（双胞胎）的店</t>
        </is>
      </c>
      <c r="M2079">
        <v>18000</v>
      </c>
      <c r="N2079">
        <v>4.62</v>
      </c>
      <c r="O2079">
        <v>132000</v>
      </c>
      <c r="P2079" t="inlineStr">
        <is>
          <t>69a7e701c125ae000150e8a5</t>
        </is>
      </c>
      <c r="Q2079"/>
      <c r="R2079" t="inlineStr">
        <is>
          <t>16周</t>
        </is>
      </c>
      <c r="S2079" t="inlineStr">
        <is>
          <t>0.10</t>
        </is>
      </c>
      <c r="T2079" t="inlineStr">
        <is>
          <t>母婴亲子</t>
        </is>
      </c>
      <c r="U2079" t="inlineStr">
        <is>
          <t>玩具早教</t>
        </is>
      </c>
      <c r="V2079" s="3">
        <v>46125.978738425925</v>
      </c>
      <c r="W2079" t="inlineStr">
        <is>
          <t>2026-Q2</t>
        </is>
      </c>
    </row>
    <row r="2080" ht="25.5" customHeight="1">
      <c r="A2080" t="inlineStr">
        <is>
          <t>【补充包 实付满30元包邮】1000粒袋装2.6mm拼豆DIY拼图材料拼豆</t>
        </is>
      </c>
      <c r="B2080" t="inlineStr">
        <is>
          <t>recvgGy5hQWf7C.jpg</t>
        </is>
      </c>
      <c r="C2080" s="2" t="str">
        <f>=HYPERLINK("https://xhslink.com/m/erhP03acGq", "https://xhslink.com/m/erhP03acGq")</f>
        <v>https://xhslink.com/m/erhP03acGq</v>
      </c>
      <c r="D2080"/>
      <c r="E2080">
        <v>11000</v>
      </c>
      <c r="F2080">
        <v>1.5</v>
      </c>
      <c r="G2080">
        <v>0.5</v>
      </c>
      <c r="H2080">
        <v>200</v>
      </c>
      <c r="I2080" t="inlineStr">
        <is>
          <t>积木拼图</t>
        </is>
      </c>
      <c r="J2080" t="inlineStr">
        <is>
          <t>0.02</t>
        </is>
      </c>
      <c r="K2080"/>
      <c r="L2080" t="inlineStr">
        <is>
          <t>方寸拼豆馆的店</t>
        </is>
      </c>
      <c r="M2080">
        <v>4792</v>
      </c>
      <c r="N2080">
        <v>4.34</v>
      </c>
      <c r="O2080">
        <v>38000</v>
      </c>
      <c r="P2080" t="inlineStr">
        <is>
          <t>69a7de774ab6d30015b6a120</t>
        </is>
      </c>
      <c r="Q2080"/>
      <c r="R2080" t="inlineStr">
        <is>
          <t>16周</t>
        </is>
      </c>
      <c r="S2080" t="inlineStr">
        <is>
          <t>2.30</t>
        </is>
      </c>
      <c r="T2080" t="inlineStr">
        <is>
          <t>母婴亲子</t>
        </is>
      </c>
      <c r="U2080" t="inlineStr">
        <is>
          <t>玩具早教</t>
        </is>
      </c>
      <c r="V2080" s="3">
        <v>46125.978738425925</v>
      </c>
      <c r="W2080" t="inlineStr">
        <is>
          <t>2026-Q2</t>
        </is>
      </c>
    </row>
    <row r="2081" ht="25.5" customHeight="1">
      <c r="A2081" t="inlineStr">
        <is>
          <t>【甜玉米定制毛绒挂件】毛绒挂件/礼物推荐/生日礼物/桌面装饰</t>
        </is>
      </c>
      <c r="B2081" t="inlineStr">
        <is>
          <t>recvgGy5hQrKsa.jpg</t>
        </is>
      </c>
      <c r="C2081" s="2" t="str">
        <f>=HYPERLINK("https://xhslink.com/m/1bjHDmFkj7", "https://xhslink.com/m/1bjHDmFkj7")</f>
        <v>https://xhslink.com/m/1bjHDmFkj7</v>
      </c>
      <c r="D2081"/>
      <c r="E2081">
        <v>426000</v>
      </c>
      <c r="F2081">
        <v>49.9</v>
      </c>
      <c r="G2081"/>
      <c r="H2081">
        <v>200</v>
      </c>
      <c r="I2081" t="inlineStr">
        <is>
          <t>毛绒玩具</t>
        </is>
      </c>
      <c r="J2081" t="inlineStr">
        <is>
          <t>0.00</t>
        </is>
      </c>
      <c r="K2081"/>
      <c r="L2081" t="inlineStr">
        <is>
          <t>Rays潮玩的店</t>
        </is>
      </c>
      <c r="M2081">
        <v>384000</v>
      </c>
      <c r="N2081">
        <v>4.66</v>
      </c>
      <c r="O2081">
        <v>923000</v>
      </c>
      <c r="P2081" t="inlineStr">
        <is>
          <t>6917525060f597000152130a</t>
        </is>
      </c>
      <c r="Q2081" t="inlineStr">
        <is>
          <t>🚫重复</t>
        </is>
      </c>
      <c r="R2081" t="inlineStr">
        <is>
          <t>16周</t>
        </is>
      </c>
      <c r="S2081" t="inlineStr">
        <is>
          <t>1.11</t>
        </is>
      </c>
      <c r="T2081" t="inlineStr">
        <is>
          <t>母婴亲子</t>
        </is>
      </c>
      <c r="U2081" t="inlineStr">
        <is>
          <t>玩具早教</t>
        </is>
      </c>
      <c r="V2081" s="3">
        <v>46125.978738425925</v>
      </c>
      <c r="W2081" t="inlineStr">
        <is>
          <t>2026-Q2</t>
        </is>
      </c>
    </row>
    <row r="2082" ht="25.5" customHeight="1">
      <c r="A2082" t="inlineStr">
        <is>
          <t>可爱小狗豆袋玩偶毛绒玩偶软萌包包配饰送闺蜜送朋友趣味礼物</t>
        </is>
      </c>
      <c r="B2082" t="inlineStr">
        <is>
          <t>recvgGy5hQPPe1.jpg</t>
        </is>
      </c>
      <c r="C2082" s="2" t="str">
        <f>=HYPERLINK("https://xhslink.com/m/ASONmZvHwaP", "https://xhslink.com/m/ASONmZvHwaP")</f>
        <v>https://xhslink.com/m/ASONmZvHwaP</v>
      </c>
      <c r="D2082"/>
      <c r="E2082">
        <v>5262</v>
      </c>
      <c r="F2082">
        <v>27.9</v>
      </c>
      <c r="G2082"/>
      <c r="H2082">
        <v>200</v>
      </c>
      <c r="I2082" t="inlineStr">
        <is>
          <t>毛绒玩具</t>
        </is>
      </c>
      <c r="J2082" t="inlineStr">
        <is>
          <t>0.04</t>
        </is>
      </c>
      <c r="K2082"/>
      <c r="L2082" t="inlineStr">
        <is>
          <t>优翊玩偶的店</t>
        </is>
      </c>
      <c r="M2082">
        <v>4079</v>
      </c>
      <c r="N2082">
        <v>4.63</v>
      </c>
      <c r="O2082">
        <v>17000</v>
      </c>
      <c r="P2082" t="inlineStr">
        <is>
          <t>6955dfe4bfa59100013a98dc</t>
        </is>
      </c>
      <c r="Q2082" t="inlineStr">
        <is>
          <t>🚫重复</t>
        </is>
      </c>
      <c r="R2082" t="inlineStr">
        <is>
          <t>16周</t>
        </is>
      </c>
      <c r="S2082" t="inlineStr">
        <is>
          <t>1.29</t>
        </is>
      </c>
      <c r="T2082" t="inlineStr">
        <is>
          <t>母婴亲子</t>
        </is>
      </c>
      <c r="U2082" t="inlineStr">
        <is>
          <t>玩具早教</t>
        </is>
      </c>
      <c r="V2082" s="3">
        <v>46125.978738425925</v>
      </c>
      <c r="W2082" t="inlineStr">
        <is>
          <t>2026-Q2</t>
        </is>
      </c>
    </row>
    <row r="2083" ht="25.5" customHeight="1">
      <c r="A2083" t="inlineStr">
        <is>
          <t>【正版授权】生态水果掌中宝爆款毛绒玩具送礼物陪伴娃娃挂件玩偶</t>
        </is>
      </c>
      <c r="B2083" t="inlineStr">
        <is>
          <t>recvgGy5hQDqZf.jpg</t>
        </is>
      </c>
      <c r="C2083" s="2" t="str">
        <f>=HYPERLINK("https://xhslink.com/m/E2kCn2CzjY", "https://xhslink.com/m/E2kCn2CzjY")</f>
        <v>https://xhslink.com/m/E2kCn2CzjY</v>
      </c>
      <c r="D2083"/>
      <c r="E2083">
        <v>2281</v>
      </c>
      <c r="F2083">
        <v>29.7</v>
      </c>
      <c r="G2083">
        <v>19.7</v>
      </c>
      <c r="H2083">
        <v>200</v>
      </c>
      <c r="I2083" t="inlineStr">
        <is>
          <t>毛绒玩具</t>
        </is>
      </c>
      <c r="J2083" t="inlineStr">
        <is>
          <t>0.09</t>
        </is>
      </c>
      <c r="K2083" t="inlineStr">
        <is>
          <t>🔥低粉爆款</t>
        </is>
      </c>
      <c r="L2083" t="inlineStr">
        <is>
          <t>Alice 大橙子🍊的店</t>
        </is>
      </c>
      <c r="M2083">
        <v>580</v>
      </c>
      <c r="N2083">
        <v>4.45</v>
      </c>
      <c r="O2083">
        <v>4546</v>
      </c>
      <c r="P2083" t="inlineStr">
        <is>
          <t>69c7910a51d7aa00013712bf</t>
        </is>
      </c>
      <c r="Q2083" t="inlineStr">
        <is>
          <t>🚫重复</t>
        </is>
      </c>
      <c r="R2083" t="inlineStr">
        <is>
          <t>16周</t>
        </is>
      </c>
      <c r="S2083" t="inlineStr">
        <is>
          <t>3.93</t>
        </is>
      </c>
      <c r="T2083" t="inlineStr">
        <is>
          <t>母婴亲子</t>
        </is>
      </c>
      <c r="U2083" t="inlineStr">
        <is>
          <t>玩具早教</t>
        </is>
      </c>
      <c r="V2083" s="3">
        <v>46125.978738425925</v>
      </c>
      <c r="W2083" t="inlineStr">
        <is>
          <t>2026-Q2</t>
        </is>
      </c>
    </row>
    <row r="2084" ht="25.5" customHeight="1">
      <c r="A2084" t="inlineStr">
        <is>
          <t>大树小耳朵 · 睡前聊聊卡、儿童亲子互动游戏抽签益智游戏卡</t>
        </is>
      </c>
      <c r="B2084" t="inlineStr">
        <is>
          <t>recvgGy5hQefFT.jpg</t>
        </is>
      </c>
      <c r="C2084" s="2" t="str">
        <f>=HYPERLINK("https://xhslink.com/m/1aaamtmiNYF", "https://xhslink.com/m/1aaamtmiNYF")</f>
        <v>https://xhslink.com/m/1aaamtmiNYF</v>
      </c>
      <c r="D2084"/>
      <c r="E2084">
        <v>32000</v>
      </c>
      <c r="F2084">
        <v>59.8</v>
      </c>
      <c r="G2084">
        <v>49.8</v>
      </c>
      <c r="H2084">
        <v>200</v>
      </c>
      <c r="I2084" t="inlineStr">
        <is>
          <t>玩具</t>
        </is>
      </c>
      <c r="J2084" t="inlineStr">
        <is>
          <t>0.01</t>
        </is>
      </c>
      <c r="K2084" t="inlineStr">
        <is>
          <t>🔥低粉爆款</t>
        </is>
      </c>
      <c r="L2084" t="inlineStr">
        <is>
          <t>爱娃爱己哇的店</t>
        </is>
      </c>
      <c r="M2084">
        <v>1268</v>
      </c>
      <c r="N2084">
        <v>4.65</v>
      </c>
      <c r="O2084">
        <v>33000</v>
      </c>
      <c r="P2084" t="inlineStr">
        <is>
          <t>69875e3784b90b0001edfd73</t>
        </is>
      </c>
      <c r="Q2084" t="inlineStr">
        <is>
          <t>🚫重复</t>
        </is>
      </c>
      <c r="R2084" t="inlineStr">
        <is>
          <t>16周</t>
        </is>
      </c>
      <c r="S2084" t="inlineStr">
        <is>
          <t>25.24</t>
        </is>
      </c>
      <c r="T2084" t="inlineStr">
        <is>
          <t>母婴亲子</t>
        </is>
      </c>
      <c r="U2084" t="inlineStr">
        <is>
          <t>童装童鞋</t>
        </is>
      </c>
      <c r="V2084" s="3">
        <v>46125.978738425925</v>
      </c>
      <c r="W2084" t="inlineStr">
        <is>
          <t>2026-Q2</t>
        </is>
      </c>
    </row>
    <row r="2085" ht="25.5" customHeight="1">
      <c r="A2085" t="inlineStr">
        <is>
          <t>其他 · Tarot韦斯特经典高颜值78张塔桌罗新款原创学习塔牌粉色蝴蝶卡牌</t>
        </is>
      </c>
      <c r="B2085" t="inlineStr">
        <is>
          <t>recvgGy5hQk7BL.jpg</t>
        </is>
      </c>
      <c r="C2085" s="2" t="str">
        <f>=HYPERLINK("https://xhslink.com/m/6zIOIRstZ6x", "https://xhslink.com/m/6zIOIRstZ6x")</f>
        <v>https://xhslink.com/m/6zIOIRstZ6x</v>
      </c>
      <c r="D2085"/>
      <c r="E2085">
        <v>5089</v>
      </c>
      <c r="F2085">
        <v>21.5</v>
      </c>
      <c r="G2085">
        <v>11.5</v>
      </c>
      <c r="H2085">
        <v>200</v>
      </c>
      <c r="I2085" t="inlineStr">
        <is>
          <t>玩具</t>
        </is>
      </c>
      <c r="J2085" t="inlineStr">
        <is>
          <t>0.04</t>
        </is>
      </c>
      <c r="K2085"/>
      <c r="L2085" t="inlineStr">
        <is>
          <t>皮卡丘的啾的店</t>
        </is>
      </c>
      <c r="M2085">
        <v>2339</v>
      </c>
      <c r="N2085">
        <v>4.33</v>
      </c>
      <c r="O2085">
        <v>6795</v>
      </c>
      <c r="P2085" t="inlineStr">
        <is>
          <t>69a9617870850a0001cc585a</t>
        </is>
      </c>
      <c r="Q2085" t="inlineStr">
        <is>
          <t>🚫重复</t>
        </is>
      </c>
      <c r="R2085" t="inlineStr">
        <is>
          <t>16周</t>
        </is>
      </c>
      <c r="S2085" t="inlineStr">
        <is>
          <t>2.18</t>
        </is>
      </c>
      <c r="T2085" t="inlineStr">
        <is>
          <t>母婴亲子</t>
        </is>
      </c>
      <c r="U2085" t="inlineStr">
        <is>
          <t>玩具早教</t>
        </is>
      </c>
      <c r="V2085" s="3">
        <v>46125.978738425925</v>
      </c>
      <c r="W2085" t="inlineStr">
        <is>
          <t>2026-Q2</t>
        </is>
      </c>
    </row>
    <row r="2086" ht="25.5" customHeight="1">
      <c r="A2086" t="inlineStr">
        <is>
          <t>yukio热门款丑娃娃富士山咖啡许愿星美人鱼四叶草挂件</t>
        </is>
      </c>
      <c r="B2086" t="inlineStr">
        <is>
          <t>recvgGy5hQnXu5.jpg</t>
        </is>
      </c>
      <c r="C2086" s="2" t="str">
        <f>=HYPERLINK("https://xhslink.com/m/6E1aeOSCl1U", "https://xhslink.com/m/6E1aeOSCl1U")</f>
        <v>https://xhslink.com/m/6E1aeOSCl1U</v>
      </c>
      <c r="D2086"/>
      <c r="E2086">
        <v>23000</v>
      </c>
      <c r="F2086">
        <v>32.9</v>
      </c>
      <c r="G2086">
        <v>29.9</v>
      </c>
      <c r="H2086">
        <v>200</v>
      </c>
      <c r="I2086" t="inlineStr">
        <is>
          <t>毛线玩偶</t>
        </is>
      </c>
      <c r="J2086" t="inlineStr">
        <is>
          <t>0.01</t>
        </is>
      </c>
      <c r="K2086" t="inlineStr">
        <is>
          <t>🔥低粉爆款</t>
        </is>
      </c>
      <c r="L2086" t="inlineStr">
        <is>
          <t>萌物统治世界了吗的店</t>
        </is>
      </c>
      <c r="M2086">
        <v>2834</v>
      </c>
      <c r="N2086">
        <v>4.62</v>
      </c>
      <c r="O2086">
        <v>43000</v>
      </c>
      <c r="P2086" t="inlineStr">
        <is>
          <t>695b9f4af7aaae00017cebf5</t>
        </is>
      </c>
      <c r="Q2086" t="inlineStr">
        <is>
          <t>🚫重复</t>
        </is>
      </c>
      <c r="R2086" t="inlineStr">
        <is>
          <t>16周</t>
        </is>
      </c>
      <c r="S2086" t="inlineStr">
        <is>
          <t>8.12</t>
        </is>
      </c>
      <c r="T2086" t="inlineStr">
        <is>
          <t>母婴亲子</t>
        </is>
      </c>
      <c r="U2086" t="inlineStr">
        <is>
          <t>玩具早教</t>
        </is>
      </c>
      <c r="V2086" s="3">
        <v>46125.978738425925</v>
      </c>
      <c r="W2086" t="inlineStr">
        <is>
          <t>2026-Q2</t>
        </is>
      </c>
    </row>
    <row r="2087" ht="25.5" customHeight="1">
      <c r="A2087" t="inlineStr">
        <is>
          <t>【正版授权】生态水果掌中宝爆款毛绒玩具送礼物陪伴娃娃挂件玩偶</t>
        </is>
      </c>
      <c r="B2087" t="inlineStr">
        <is>
          <t>recvgGy5hQs3bg.jpg</t>
        </is>
      </c>
      <c r="C2087" s="2" t="str">
        <f>=HYPERLINK("https://xhslink.com/m/4t6Z0qqXN6c", "https://xhslink.com/m/4t6Z0qqXN6c")</f>
        <v>https://xhslink.com/m/4t6Z0qqXN6c</v>
      </c>
      <c r="D2087"/>
      <c r="E2087">
        <v>2255</v>
      </c>
      <c r="F2087">
        <v>28.7</v>
      </c>
      <c r="G2087">
        <v>18.7</v>
      </c>
      <c r="H2087">
        <v>200</v>
      </c>
      <c r="I2087" t="inlineStr">
        <is>
          <t>挂件</t>
        </is>
      </c>
      <c r="J2087" t="inlineStr">
        <is>
          <t>0.09</t>
        </is>
      </c>
      <c r="K2087" t="inlineStr">
        <is>
          <t>🔥低粉爆款</t>
        </is>
      </c>
      <c r="L2087" t="inlineStr">
        <is>
          <t>Alice 大橙子🍊的店</t>
        </is>
      </c>
      <c r="M2087">
        <v>580</v>
      </c>
      <c r="N2087">
        <v>4.45</v>
      </c>
      <c r="O2087">
        <v>4546</v>
      </c>
      <c r="P2087" t="inlineStr">
        <is>
          <t>69c4a12746fe2a00015b74ac</t>
        </is>
      </c>
      <c r="Q2087" t="inlineStr">
        <is>
          <t>🚫重复</t>
        </is>
      </c>
      <c r="R2087" t="inlineStr">
        <is>
          <t>16周</t>
        </is>
      </c>
      <c r="S2087" t="inlineStr">
        <is>
          <t>3.89</t>
        </is>
      </c>
      <c r="T2087" t="inlineStr">
        <is>
          <t>母婴亲子</t>
        </is>
      </c>
      <c r="U2087" t="inlineStr">
        <is>
          <t>玩具早教</t>
        </is>
      </c>
      <c r="V2087" s="3">
        <v>46125.978738425925</v>
      </c>
      <c r="W2087" t="inlineStr">
        <is>
          <t>2026-Q2</t>
        </is>
      </c>
    </row>
    <row r="2088" ht="25.5" customHeight="1">
      <c r="A2088" t="inlineStr">
        <is>
          <t>Melody淡雪白草莓美乐蒂挂件包包挂件美萌可爱毛绒挂饰少女心</t>
        </is>
      </c>
      <c r="B2088" t="inlineStr">
        <is>
          <t>recvgGy5hQzH2m.jpg</t>
        </is>
      </c>
      <c r="C2088" s="2" t="str">
        <f>=HYPERLINK("https://xhslink.com/m/5OiuVmQqBuv", "https://xhslink.com/m/5OiuVmQqBuv")</f>
        <v>https://xhslink.com/m/5OiuVmQqBuv</v>
      </c>
      <c r="D2088"/>
      <c r="E2088">
        <v>5330</v>
      </c>
      <c r="F2088">
        <v>58.9</v>
      </c>
      <c r="G2088"/>
      <c r="H2088">
        <v>200</v>
      </c>
      <c r="I2088" t="inlineStr">
        <is>
          <t>挂件</t>
        </is>
      </c>
      <c r="J2088" t="inlineStr">
        <is>
          <t>0.04</t>
        </is>
      </c>
      <c r="K2088"/>
      <c r="L2088" t="inlineStr">
        <is>
          <t>放轻松两点的店</t>
        </is>
      </c>
      <c r="M2088">
        <v>97000</v>
      </c>
      <c r="N2088">
        <v>4.51</v>
      </c>
      <c r="O2088">
        <v>303000</v>
      </c>
      <c r="P2088" t="inlineStr">
        <is>
          <t>6903b1691b78790001b37cc5</t>
        </is>
      </c>
      <c r="Q2088"/>
      <c r="R2088" t="inlineStr">
        <is>
          <t>16周</t>
        </is>
      </c>
      <c r="S2088" t="inlineStr">
        <is>
          <t>0.05</t>
        </is>
      </c>
      <c r="T2088" t="inlineStr">
        <is>
          <t>服饰穿搭</t>
        </is>
      </c>
      <c r="U2088" t="inlineStr">
        <is>
          <t>鞋靴箱包</t>
        </is>
      </c>
      <c r="V2088" s="3">
        <v>46125.978738425925</v>
      </c>
      <c r="W2088" t="inlineStr">
        <is>
          <t>2026-Q2</t>
        </is>
      </c>
    </row>
    <row r="2089" ht="25.5" customHeight="1">
      <c r="A2089" t="inlineStr">
        <is>
          <t>GOODSPLAY谷玩 · 正版IP授权温泉馒头君与小伙伴们系列毛绒挂件可爱玩偶迷你小鼻嘎</t>
        </is>
      </c>
      <c r="B2089" t="inlineStr">
        <is>
          <t>recvgGy5hQqX5G.jpg</t>
        </is>
      </c>
      <c r="C2089" s="2" t="str">
        <f>=HYPERLINK("https://xhslink.com/m/6v0CLG2ZWXT", "https://xhslink.com/m/6v0CLG2ZWXT")</f>
        <v>https://xhslink.com/m/6v0CLG2ZWXT</v>
      </c>
      <c r="D2089"/>
      <c r="E2089">
        <v>2859</v>
      </c>
      <c r="F2089">
        <v>90</v>
      </c>
      <c r="G2089">
        <v>86</v>
      </c>
      <c r="H2089">
        <v>200</v>
      </c>
      <c r="I2089" t="inlineStr">
        <is>
          <t>挂件</t>
        </is>
      </c>
      <c r="J2089" t="inlineStr">
        <is>
          <t>0.07</t>
        </is>
      </c>
      <c r="K2089"/>
      <c r="L2089" t="inlineStr">
        <is>
          <t>谷玩GOODSPLAY的店</t>
        </is>
      </c>
      <c r="M2089">
        <v>6349</v>
      </c>
      <c r="N2089">
        <v>4.4</v>
      </c>
      <c r="O2089">
        <v>7016</v>
      </c>
      <c r="P2089" t="inlineStr">
        <is>
          <t>697067dcc3b74e00016438fb</t>
        </is>
      </c>
      <c r="Q2089"/>
      <c r="R2089" t="inlineStr">
        <is>
          <t>16周</t>
        </is>
      </c>
      <c r="S2089" t="inlineStr">
        <is>
          <t>0.45</t>
        </is>
      </c>
      <c r="T2089" t="inlineStr">
        <is>
          <t>母婴亲子</t>
        </is>
      </c>
      <c r="U2089" t="inlineStr">
        <is>
          <t>玩具早教</t>
        </is>
      </c>
      <c r="V2089" s="3">
        <v>46125.978738425925</v>
      </c>
      <c r="W2089" t="inlineStr">
        <is>
          <t>2026-Q2</t>
        </is>
      </c>
    </row>
    <row r="2090" ht="25.5" customHeight="1">
      <c r="A2090" t="inlineStr">
        <is>
          <t>企鹅玩具挂件毛绒玩具玩偶搞怪公仔企鹅背包书包钥匙扣包包挂饰品</t>
        </is>
      </c>
      <c r="B2090" t="inlineStr">
        <is>
          <t>recvgGy5hQkPz5.jpg</t>
        </is>
      </c>
      <c r="C2090" s="2" t="str">
        <f>=HYPERLINK("https://xhslink.com/m/3dD8yHlSlab", "https://xhslink.com/m/3dD8yHlSlab")</f>
        <v>https://xhslink.com/m/3dD8yHlSlab</v>
      </c>
      <c r="D2090"/>
      <c r="E2090">
        <v>18000</v>
      </c>
      <c r="F2090">
        <v>25</v>
      </c>
      <c r="G2090">
        <v>22.99</v>
      </c>
      <c r="H2090">
        <v>200</v>
      </c>
      <c r="I2090" t="inlineStr">
        <is>
          <t>挂件</t>
        </is>
      </c>
      <c r="J2090" t="inlineStr">
        <is>
          <t>0.01</t>
        </is>
      </c>
      <c r="K2090" t="inlineStr">
        <is>
          <t>🔥低粉爆款</t>
        </is>
      </c>
      <c r="L2090" t="inlineStr">
        <is>
          <t>包袋魔法师的店</t>
        </is>
      </c>
      <c r="M2090">
        <v>663</v>
      </c>
      <c r="N2090">
        <v>4.6</v>
      </c>
      <c r="O2090">
        <v>21000</v>
      </c>
      <c r="P2090" t="inlineStr">
        <is>
          <t>68d6348d3f37a90001e1d5a2</t>
        </is>
      </c>
      <c r="Q2090" t="inlineStr">
        <is>
          <t>🚫重复</t>
        </is>
      </c>
      <c r="R2090" t="inlineStr">
        <is>
          <t>16周</t>
        </is>
      </c>
      <c r="S2090" t="inlineStr">
        <is>
          <t>27.15</t>
        </is>
      </c>
      <c r="T2090" t="inlineStr">
        <is>
          <t>服饰穿搭</t>
        </is>
      </c>
      <c r="U2090" t="inlineStr">
        <is>
          <t>鞋靴箱包</t>
        </is>
      </c>
      <c r="V2090" s="3">
        <v>46125.978738425925</v>
      </c>
      <c r="W2090" t="inlineStr">
        <is>
          <t>2026-Q2</t>
        </is>
      </c>
    </row>
    <row r="2091" ht="25.5" customHeight="1">
      <c r="A2091" t="inlineStr">
        <is>
          <t>生态香甜蜜薯地瓜 金香蜜薯 蜜薯 软糯香甜甜糯红薯紫薯5斤</t>
        </is>
      </c>
      <c r="B2091" t="inlineStr">
        <is>
          <t>recvgGy5hQsyK6.jpg</t>
        </is>
      </c>
      <c r="C2091" s="2" t="str">
        <f>=HYPERLINK("https://xhslink.com/m/9p0r4pYaUAk", "https://xhslink.com/m/9p0r4pYaUAk")</f>
        <v>https://xhslink.com/m/9p0r4pYaUAk</v>
      </c>
      <c r="D2091"/>
      <c r="E2091">
        <v>133000</v>
      </c>
      <c r="F2091">
        <v>39.9</v>
      </c>
      <c r="G2091">
        <v>36.9</v>
      </c>
      <c r="H2091">
        <v>200</v>
      </c>
      <c r="I2091" t="inlineStr">
        <is>
          <t>精选蔬菜</t>
        </is>
      </c>
      <c r="J2091" t="inlineStr">
        <is>
          <t>0.00</t>
        </is>
      </c>
      <c r="K2091" t="inlineStr">
        <is>
          <t>🔥低粉爆款</t>
        </is>
      </c>
      <c r="L2091" t="inlineStr">
        <is>
          <t>元元生态农场的店</t>
        </is>
      </c>
      <c r="M2091">
        <v>35000</v>
      </c>
      <c r="N2091">
        <v>4.43</v>
      </c>
      <c r="O2091">
        <v>473000</v>
      </c>
      <c r="P2091" t="inlineStr">
        <is>
          <t>6522db2668104800011167b4</t>
        </is>
      </c>
      <c r="Q2091" t="inlineStr">
        <is>
          <t>🚫重复</t>
        </is>
      </c>
      <c r="R2091" t="inlineStr">
        <is>
          <t>16周</t>
        </is>
      </c>
      <c r="S2091" t="inlineStr">
        <is>
          <t>3.80</t>
        </is>
      </c>
      <c r="T2091" t="inlineStr">
        <is>
          <t>美食滋补</t>
        </is>
      </c>
      <c r="U2091" t="inlineStr">
        <is>
          <t>生鲜特产</t>
        </is>
      </c>
      <c r="V2091" s="3">
        <v>46125.978738425925</v>
      </c>
      <c r="W2091" t="inlineStr">
        <is>
          <t>2026-Q2</t>
        </is>
      </c>
    </row>
    <row r="2092" ht="25.5" customHeight="1">
      <c r="A2092" t="inlineStr">
        <is>
          <t>【冰淇淋红薯】一点红沙地冰激凌紫心番薯粉糯新鲜现挖</t>
        </is>
      </c>
      <c r="B2092" t="inlineStr">
        <is>
          <t>recvgGy5hQv7Bv.jpg</t>
        </is>
      </c>
      <c r="C2092" s="2" t="str">
        <f>=HYPERLINK("https://xhslink.com/m/6jHpFwkaLkg", "https://xhslink.com/m/6jHpFwkaLkg")</f>
        <v>https://xhslink.com/m/6jHpFwkaLkg</v>
      </c>
      <c r="D2092"/>
      <c r="E2092">
        <v>8039</v>
      </c>
      <c r="F2092">
        <v>36.8</v>
      </c>
      <c r="G2092">
        <v>26.9</v>
      </c>
      <c r="H2092">
        <v>200</v>
      </c>
      <c r="I2092" t="inlineStr">
        <is>
          <t>精选蔬菜</t>
        </is>
      </c>
      <c r="J2092" t="inlineStr">
        <is>
          <t>0.02</t>
        </is>
      </c>
      <c r="K2092" t="inlineStr">
        <is>
          <t>🔥低粉爆款</t>
        </is>
      </c>
      <c r="L2092" t="inlineStr">
        <is>
          <t>人间薯坊的店</t>
        </is>
      </c>
      <c r="M2092">
        <v>298</v>
      </c>
      <c r="N2092">
        <v>4.57</v>
      </c>
      <c r="O2092">
        <v>8084</v>
      </c>
      <c r="P2092" t="inlineStr">
        <is>
          <t>68eb2ee8002e7e00013446ca</t>
        </is>
      </c>
      <c r="Q2092"/>
      <c r="R2092" t="inlineStr">
        <is>
          <t>16周</t>
        </is>
      </c>
      <c r="S2092" t="inlineStr">
        <is>
          <t>26.98</t>
        </is>
      </c>
      <c r="T2092" t="inlineStr">
        <is>
          <t>美食滋补</t>
        </is>
      </c>
      <c r="U2092" t="inlineStr">
        <is>
          <t>生鲜特产</t>
        </is>
      </c>
      <c r="V2092" s="3">
        <v>46125.978738425925</v>
      </c>
      <c r="W2092" t="inlineStr">
        <is>
          <t>2026-Q2</t>
        </is>
      </c>
    </row>
    <row r="2093" ht="25.5" customHeight="1">
      <c r="A2093" t="inlineStr">
        <is>
          <t>【顺丰冷链包邮】正宗潮汕牛肉丸牛筋丸无添加手工制作潮汕特产</t>
        </is>
      </c>
      <c r="B2093" t="inlineStr">
        <is>
          <t>recvgGy5hQdhhY.jpg</t>
        </is>
      </c>
      <c r="C2093" s="2" t="str">
        <f>=HYPERLINK("https://xhslink.com/m/5CVfWsbSUMX", "https://xhslink.com/m/5CVfWsbSUMX")</f>
        <v>https://xhslink.com/m/5CVfWsbSUMX</v>
      </c>
      <c r="D2093"/>
      <c r="E2093">
        <v>29000</v>
      </c>
      <c r="F2093">
        <v>48</v>
      </c>
      <c r="G2093">
        <v>38</v>
      </c>
      <c r="H2093">
        <v>200</v>
      </c>
      <c r="I2093" t="inlineStr">
        <is>
          <t>牛肉丸子</t>
        </is>
      </c>
      <c r="J2093" t="inlineStr">
        <is>
          <t>0.01</t>
        </is>
      </c>
      <c r="K2093" t="inlineStr">
        <is>
          <t>🔥低粉爆款</t>
        </is>
      </c>
      <c r="L2093" t="inlineStr">
        <is>
          <t>壮壮爱吃牛的店</t>
        </is>
      </c>
      <c r="M2093">
        <v>2047</v>
      </c>
      <c r="N2093">
        <v>4.87</v>
      </c>
      <c r="O2093">
        <v>35000</v>
      </c>
      <c r="P2093" t="inlineStr">
        <is>
          <t>67dd168029b9f70001df48e1</t>
        </is>
      </c>
      <c r="Q2093"/>
      <c r="R2093" t="inlineStr">
        <is>
          <t>16周</t>
        </is>
      </c>
      <c r="S2093" t="inlineStr">
        <is>
          <t>14.17</t>
        </is>
      </c>
      <c r="T2093" t="inlineStr">
        <is>
          <t>美食滋补</t>
        </is>
      </c>
      <c r="U2093" t="inlineStr">
        <is>
          <t>生鲜特产</t>
        </is>
      </c>
      <c r="V2093" s="3">
        <v>46125.978738425925</v>
      </c>
      <c r="W2093" t="inlineStr">
        <is>
          <t>2026-Q2</t>
        </is>
      </c>
    </row>
    <row r="2094" ht="25.5" customHeight="1">
      <c r="A2094" t="inlineStr">
        <is>
          <t>8cm厚底拖鞋女推荐增高EVA防滑防臭不响纯色百搭马来西亚旅游穿搭</t>
        </is>
      </c>
      <c r="B2094" t="inlineStr">
        <is>
          <t>__upload_recvgMo2ZYPREX.jpg</t>
        </is>
      </c>
      <c r="C2094" s="2" t="str">
        <f>=HYPERLINK("https://xhslink.com/m/3CBC5ZsN6fn", "https://xhslink.com/m/3CBC5ZsN6fn")</f>
        <v>https://xhslink.com/m/3CBC5ZsN6fn</v>
      </c>
      <c r="D2094"/>
      <c r="E2094">
        <v>895</v>
      </c>
      <c r="F2094">
        <v>39.8</v>
      </c>
      <c r="G2094">
        <v>34.8</v>
      </c>
      <c r="H2094">
        <v>200</v>
      </c>
      <c r="I2094" t="inlineStr">
        <is>
          <t>拖鞋</t>
        </is>
      </c>
      <c r="J2094" t="inlineStr">
        <is>
          <t>0.22</t>
        </is>
      </c>
      <c r="K2094"/>
      <c r="L2094" t="inlineStr">
        <is>
          <t>金橘不酸的店</t>
        </is>
      </c>
      <c r="M2094">
        <v>3136</v>
      </c>
      <c r="N2094">
        <v>4.66</v>
      </c>
      <c r="O2094">
        <v>479000</v>
      </c>
      <c r="P2094" t="inlineStr">
        <is>
          <t>69b9092f916f6b0001c49f82</t>
        </is>
      </c>
      <c r="Q2094" t="inlineStr">
        <is>
          <t>🚫重复</t>
        </is>
      </c>
      <c r="R2094" t="inlineStr">
        <is>
          <t>16周</t>
        </is>
      </c>
      <c r="S2094" t="inlineStr">
        <is>
          <t>0.29</t>
        </is>
      </c>
      <c r="T2094" t="inlineStr">
        <is>
          <t>服饰穿搭</t>
        </is>
      </c>
      <c r="U2094" t="inlineStr">
        <is>
          <t>鞋靴箱包</t>
        </is>
      </c>
      <c r="V2094" s="3">
        <v>46126.97719907408</v>
      </c>
      <c r="W2094" t="inlineStr">
        <is>
          <t>2026-Q2</t>
        </is>
      </c>
    </row>
    <row r="2095" ht="25.5" customHeight="1">
      <c r="A2095" t="inlineStr">
        <is>
          <t>带胸垫睡衣夏天女短袖短裤薄款甜美风夏季小个子宽松可外穿</t>
        </is>
      </c>
      <c r="B2095" t="inlineStr">
        <is>
          <t>__upload_recvgMo2ZYFs3v.jpg</t>
        </is>
      </c>
      <c r="C2095" s="2" t="str">
        <f>=HYPERLINK("https://xhslink.com/m/6ywiyP1xiRG", "https://xhslink.com/m/6ywiyP1xiRG")</f>
        <v>https://xhslink.com/m/6ywiyP1xiRG</v>
      </c>
      <c r="D2095"/>
      <c r="E2095">
        <v>1038</v>
      </c>
      <c r="F2095">
        <v>39.9</v>
      </c>
      <c r="G2095"/>
      <c r="H2095">
        <v>200</v>
      </c>
      <c r="I2095" t="inlineStr">
        <is>
          <t>夏天睡衣</t>
        </is>
      </c>
      <c r="J2095" t="inlineStr">
        <is>
          <t>0.19</t>
        </is>
      </c>
      <c r="K2095"/>
      <c r="L2095" t="inlineStr">
        <is>
          <t>李小小服饰的店</t>
        </is>
      </c>
      <c r="M2095">
        <v>933</v>
      </c>
      <c r="N2095">
        <v>4.54</v>
      </c>
      <c r="O2095">
        <v>17000</v>
      </c>
      <c r="P2095" t="inlineStr">
        <is>
          <t>69b2b8d49b4aae0001fe9e0d</t>
        </is>
      </c>
      <c r="Q2095" t="inlineStr">
        <is>
          <t>🚫重复</t>
        </is>
      </c>
      <c r="R2095" t="inlineStr">
        <is>
          <t>16周</t>
        </is>
      </c>
      <c r="S2095" t="inlineStr">
        <is>
          <t>1.11</t>
        </is>
      </c>
      <c r="T2095" t="inlineStr">
        <is>
          <t>服饰穿搭</t>
        </is>
      </c>
      <c r="U2095" t="inlineStr">
        <is>
          <t>女装</t>
        </is>
      </c>
      <c r="V2095" s="3">
        <v>46126.97719907408</v>
      </c>
      <c r="W2095" t="inlineStr">
        <is>
          <t>2026-Q2</t>
        </is>
      </c>
    </row>
    <row r="2096" ht="25.5" customHeight="1">
      <c r="A2096" t="inlineStr">
        <is>
          <t>夏季2026新款睡衣女可爱卡通韩系慵懒感可外穿短袖长裤家居服套装</t>
        </is>
      </c>
      <c r="B2096" t="inlineStr">
        <is>
          <t>__upload_recvgMo2ZYcVhS.jpg</t>
        </is>
      </c>
      <c r="C2096" s="2" t="str">
        <f>=HYPERLINK("https://xhslink.com/m/7OzZAo5cLsv", "https://xhslink.com/m/7OzZAo5cLsv")</f>
        <v>https://xhslink.com/m/7OzZAo5cLsv</v>
      </c>
      <c r="D2096"/>
      <c r="E2096">
        <v>377</v>
      </c>
      <c r="F2096">
        <v>108</v>
      </c>
      <c r="G2096">
        <v>59.9</v>
      </c>
      <c r="H2096">
        <v>200</v>
      </c>
      <c r="I2096" t="inlineStr">
        <is>
          <t>夏天睡衣</t>
        </is>
      </c>
      <c r="J2096" t="inlineStr">
        <is>
          <t>0.53</t>
        </is>
      </c>
      <c r="K2096"/>
      <c r="L2096" t="inlineStr">
        <is>
          <t>月爆爆要开心呀的店</t>
        </is>
      </c>
      <c r="M2096">
        <v>1131</v>
      </c>
      <c r="N2096">
        <v>4.53</v>
      </c>
      <c r="O2096">
        <v>16000</v>
      </c>
      <c r="P2096" t="inlineStr">
        <is>
          <t>69caafdf4ae1e7000189200f</t>
        </is>
      </c>
      <c r="Q2096"/>
      <c r="R2096" t="inlineStr">
        <is>
          <t>16周</t>
        </is>
      </c>
      <c r="S2096" t="inlineStr">
        <is>
          <t>0.33</t>
        </is>
      </c>
      <c r="T2096" t="inlineStr">
        <is>
          <t>服饰穿搭</t>
        </is>
      </c>
      <c r="U2096" t="inlineStr">
        <is>
          <t>女装</t>
        </is>
      </c>
      <c r="V2096" s="3">
        <v>46126.97719907408</v>
      </c>
      <c r="W2096" t="inlineStr">
        <is>
          <t>2026-Q2</t>
        </is>
      </c>
    </row>
    <row r="2097" ht="25.5" customHeight="1">
      <c r="A2097" t="inlineStr">
        <is>
          <t>轻薄显脸小字母鸭舌女帽软顶大头围加深百搭做旧棒球帽遮阳帽子男</t>
        </is>
      </c>
      <c r="B2097" t="inlineStr">
        <is>
          <t>__upload_recvgMo2ZYrHiy.jpg</t>
        </is>
      </c>
      <c r="C2097" s="2" t="str">
        <f>=HYPERLINK("https://xhslink.com/m/9u5lTaF3H6Q", "https://xhslink.com/m/9u5lTaF3H6Q")</f>
        <v>https://xhslink.com/m/9u5lTaF3H6Q</v>
      </c>
      <c r="D2097"/>
      <c r="E2097">
        <v>36000</v>
      </c>
      <c r="F2097">
        <v>32.5</v>
      </c>
      <c r="G2097">
        <v>30.5</v>
      </c>
      <c r="H2097">
        <v>200</v>
      </c>
      <c r="I2097" t="inlineStr">
        <is>
          <t>帽子</t>
        </is>
      </c>
      <c r="J2097" t="inlineStr">
        <is>
          <t>0.01</t>
        </is>
      </c>
      <c r="K2097"/>
      <c r="L2097" t="inlineStr">
        <is>
          <t>帽大户帽行的店</t>
        </is>
      </c>
      <c r="M2097">
        <v>24000</v>
      </c>
      <c r="N2097">
        <v>4.56</v>
      </c>
      <c r="O2097">
        <v>97000</v>
      </c>
      <c r="P2097" t="inlineStr">
        <is>
          <t>66875cf849c6f40001b81993</t>
        </is>
      </c>
      <c r="Q2097" t="inlineStr">
        <is>
          <t>🚫重复</t>
        </is>
      </c>
      <c r="R2097" t="inlineStr">
        <is>
          <t>16周</t>
        </is>
      </c>
      <c r="S2097" t="inlineStr">
        <is>
          <t>1.50</t>
        </is>
      </c>
      <c r="T2097" t="inlineStr">
        <is>
          <t>服饰穿搭</t>
        </is>
      </c>
      <c r="U2097" t="inlineStr">
        <is>
          <t>配饰</t>
        </is>
      </c>
      <c r="V2097" s="3">
        <v>46126.97719907408</v>
      </c>
      <c r="W2097" t="inlineStr">
        <is>
          <t>2026-Q2</t>
        </is>
      </c>
    </row>
    <row r="2098" ht="25.5" customHeight="1">
      <c r="A2098" t="inlineStr">
        <is>
          <t>【前30000单立减30】BM风春夏新品定制棉质素调慵懒宽松内搭背心</t>
        </is>
      </c>
      <c r="B2098" t="inlineStr">
        <is>
          <t>__upload_recvgMo2ZYEc5R.jpg</t>
        </is>
      </c>
      <c r="C2098" s="2" t="str">
        <f>=HYPERLINK("https://xhslink.com/m/7UrO5D2xCdE", "https://xhslink.com/m/7UrO5D2xCdE")</f>
        <v>https://xhslink.com/m/7UrO5D2xCdE</v>
      </c>
      <c r="D2098"/>
      <c r="E2098">
        <v>37000</v>
      </c>
      <c r="F2098">
        <v>59.9</v>
      </c>
      <c r="G2098">
        <v>29.9</v>
      </c>
      <c r="H2098">
        <v>200</v>
      </c>
      <c r="I2098" t="inlineStr">
        <is>
          <t>背心吊带</t>
        </is>
      </c>
      <c r="J2098" t="inlineStr">
        <is>
          <t>0.01</t>
        </is>
      </c>
      <c r="K2098"/>
      <c r="L2098" t="inlineStr">
        <is>
          <t>小野栀栀的店</t>
        </is>
      </c>
      <c r="M2098">
        <v>26000</v>
      </c>
      <c r="N2098">
        <v>4.54</v>
      </c>
      <c r="O2098">
        <v>506000</v>
      </c>
      <c r="P2098" t="inlineStr">
        <is>
          <t>67c1297ecb5e420001542243</t>
        </is>
      </c>
      <c r="Q2098" t="inlineStr">
        <is>
          <t>🚫重复</t>
        </is>
      </c>
      <c r="R2098" t="inlineStr">
        <is>
          <t>16周</t>
        </is>
      </c>
      <c r="S2098" t="inlineStr">
        <is>
          <t>1.42</t>
        </is>
      </c>
      <c r="T2098" t="inlineStr">
        <is>
          <t>服饰穿搭</t>
        </is>
      </c>
      <c r="U2098" t="inlineStr">
        <is>
          <t>女装</t>
        </is>
      </c>
      <c r="V2098" s="3">
        <v>46126.97719907408</v>
      </c>
      <c r="W2098" t="inlineStr">
        <is>
          <t>2026-Q2</t>
        </is>
      </c>
    </row>
    <row r="2099" ht="25.5" customHeight="1">
      <c r="A2099" t="inlineStr">
        <is>
          <t>韩系少女粉色猫爪印花短袖纯棉T恤女2026夏减龄百搭宽松上衣半袖</t>
        </is>
      </c>
      <c r="B2099" t="inlineStr">
        <is>
          <t>__upload_recvgMo2ZYuSoT.jpg</t>
        </is>
      </c>
      <c r="C2099" s="2" t="str">
        <f>=HYPERLINK("https://xhslink.com/m/9NbI6KuRWaJ", "https://xhslink.com/m/9NbI6KuRWaJ")</f>
        <v>https://xhslink.com/m/9NbI6KuRWaJ</v>
      </c>
      <c r="D2099"/>
      <c r="E2099">
        <v>1743</v>
      </c>
      <c r="F2099">
        <v>37.9</v>
      </c>
      <c r="G2099">
        <v>36.9</v>
      </c>
      <c r="H2099">
        <v>200</v>
      </c>
      <c r="I2099" t="inlineStr">
        <is>
          <t>上衣</t>
        </is>
      </c>
      <c r="J2099" t="inlineStr">
        <is>
          <t>0.11</t>
        </is>
      </c>
      <c r="K2099"/>
      <c r="L2099" t="inlineStr">
        <is>
          <t>HSYE原创工作室的店</t>
        </is>
      </c>
      <c r="M2099">
        <v>86000</v>
      </c>
      <c r="N2099">
        <v>4.69</v>
      </c>
      <c r="O2099">
        <v>470000</v>
      </c>
      <c r="P2099" t="inlineStr">
        <is>
          <t>68789e6d86c0df0001cbf9b3</t>
        </is>
      </c>
      <c r="Q2099" t="inlineStr">
        <is>
          <t>🚫重复</t>
        </is>
      </c>
      <c r="R2099" t="inlineStr">
        <is>
          <t>16周</t>
        </is>
      </c>
      <c r="S2099" t="inlineStr">
        <is>
          <t>0.02</t>
        </is>
      </c>
      <c r="T2099" t="inlineStr">
        <is>
          <t>服饰穿搭</t>
        </is>
      </c>
      <c r="U2099" t="inlineStr">
        <is>
          <t>女装</t>
        </is>
      </c>
      <c r="V2099" s="3">
        <v>46126.97719907408</v>
      </c>
      <c r="W2099" t="inlineStr">
        <is>
          <t>2026-Q2</t>
        </is>
      </c>
    </row>
    <row r="2100" ht="25.5" customHeight="1">
      <c r="A2100" t="inlineStr">
        <is>
          <t>抗皱紧致法令纹贴深层补水淡化细纹川字抬头纹保湿</t>
        </is>
      </c>
      <c r="B2100" t="inlineStr">
        <is>
          <t>__upload_recvgMo2ZYJzMJ.jpg</t>
        </is>
      </c>
      <c r="C2100" s="2" t="str">
        <f>=HYPERLINK("https://xhslink.com/m/3sZ34UJsSTp", "https://xhslink.com/m/3sZ34UJsSTp")</f>
        <v>https://xhslink.com/m/3sZ34UJsSTp</v>
      </c>
      <c r="D2100"/>
      <c r="E2100">
        <v>14000</v>
      </c>
      <c r="F2100">
        <v>59.9</v>
      </c>
      <c r="G2100"/>
      <c r="H2100">
        <v>200</v>
      </c>
      <c r="I2100" t="inlineStr">
        <is>
          <t>皱纹</t>
        </is>
      </c>
      <c r="J2100" t="inlineStr">
        <is>
          <t>0.01</t>
        </is>
      </c>
      <c r="K2100" t="inlineStr">
        <is>
          <t>🔥低粉爆款</t>
        </is>
      </c>
      <c r="L2100" t="inlineStr">
        <is>
          <t>轻予舟在路上的店</t>
        </is>
      </c>
      <c r="M2100">
        <v>2801</v>
      </c>
      <c r="N2100">
        <v>4.35</v>
      </c>
      <c r="O2100">
        <v>14000</v>
      </c>
      <c r="P2100" t="inlineStr">
        <is>
          <t>695f71b18510c00001ca51b7</t>
        </is>
      </c>
      <c r="Q2100"/>
      <c r="R2100" t="inlineStr">
        <is>
          <t>16周</t>
        </is>
      </c>
      <c r="S2100" t="inlineStr">
        <is>
          <t>5.00</t>
        </is>
      </c>
      <c r="T2100" t="inlineStr">
        <is>
          <t>美妆个护</t>
        </is>
      </c>
      <c r="U2100" t="inlineStr">
        <is>
          <t>护肤彩妆</t>
        </is>
      </c>
      <c r="V2100" s="3">
        <v>46126.97719907408</v>
      </c>
      <c r="W2100" t="inlineStr">
        <is>
          <t>2026-Q2</t>
        </is>
      </c>
    </row>
    <row r="2101" ht="25.5" customHeight="1">
      <c r="A2101" t="inlineStr">
        <is>
          <t>4月10号New!【三件5.8折】「发饰合集」古风花朵发夹女头饰发簪</t>
        </is>
      </c>
      <c r="B2101" t="inlineStr">
        <is>
          <t>__upload_recvgMo2ZYMZmS.jpg</t>
        </is>
      </c>
      <c r="C2101" s="2" t="str">
        <f>=HYPERLINK("https://xhslink.com/m/6VzqOSUIU71", "https://xhslink.com/m/6VzqOSUIU71")</f>
        <v>https://xhslink.com/m/6VzqOSUIU71</v>
      </c>
      <c r="D2101"/>
      <c r="E2101">
        <v>21000</v>
      </c>
      <c r="F2101">
        <v>20.88</v>
      </c>
      <c r="G2101">
        <v>14.62</v>
      </c>
      <c r="H2101">
        <v>200</v>
      </c>
      <c r="I2101" t="inlineStr">
        <is>
          <t>头饰</t>
        </is>
      </c>
      <c r="J2101" t="inlineStr">
        <is>
          <t>0.01</t>
        </is>
      </c>
      <c r="K2101"/>
      <c r="L2101" t="inlineStr">
        <is>
          <t>ponyponypony的店</t>
        </is>
      </c>
      <c r="M2101">
        <v>464000</v>
      </c>
      <c r="N2101">
        <v>4.62</v>
      </c>
      <c r="O2101">
        <v>349000</v>
      </c>
      <c r="P2101" t="inlineStr">
        <is>
          <t>694cf068b2492100017c90cd</t>
        </is>
      </c>
      <c r="Q2101"/>
      <c r="R2101" t="inlineStr">
        <is>
          <t>16周</t>
        </is>
      </c>
      <c r="S2101" t="inlineStr">
        <is>
          <t>0.05</t>
        </is>
      </c>
      <c r="T2101" t="inlineStr">
        <is>
          <t>服饰穿搭</t>
        </is>
      </c>
      <c r="U2101" t="inlineStr">
        <is>
          <t>配饰</t>
        </is>
      </c>
      <c r="V2101" s="3">
        <v>46126.97719907408</v>
      </c>
      <c r="W2101" t="inlineStr">
        <is>
          <t>2026-Q2</t>
        </is>
      </c>
    </row>
    <row r="2102" ht="25.5" customHeight="1">
      <c r="A2102" t="inlineStr">
        <is>
          <t>【现货】小陪伴猫猫日常盲盒办公室桌面摆件可爱女生生日礼物</t>
        </is>
      </c>
      <c r="B2102" t="inlineStr">
        <is>
          <t>__upload_recvgMo2ZYupIc.jpg</t>
        </is>
      </c>
      <c r="C2102" s="2" t="str">
        <f>=HYPERLINK("https://xhslink.com/m/4UCo5hWFf4R", "https://xhslink.com/m/4UCo5hWFf4R")</f>
        <v>https://xhslink.com/m/4UCo5hWFf4R</v>
      </c>
      <c r="D2102"/>
      <c r="E2102">
        <v>56000</v>
      </c>
      <c r="F2102">
        <v>118.8</v>
      </c>
      <c r="G2102"/>
      <c r="H2102">
        <v>200</v>
      </c>
      <c r="I2102" t="inlineStr">
        <is>
          <t>潮玩</t>
        </is>
      </c>
      <c r="J2102" t="inlineStr">
        <is>
          <t>0.00</t>
        </is>
      </c>
      <c r="K2102" t="inlineStr">
        <is>
          <t>🔥低粉爆款</t>
        </is>
      </c>
      <c r="L2102" t="inlineStr">
        <is>
          <t>咪咪使者的店</t>
        </is>
      </c>
      <c r="M2102">
        <v>7490</v>
      </c>
      <c r="N2102">
        <v>4.65</v>
      </c>
      <c r="O2102">
        <v>72000</v>
      </c>
      <c r="P2102" t="inlineStr">
        <is>
          <t>693a324e266b95000115ae6e</t>
        </is>
      </c>
      <c r="Q2102" t="inlineStr">
        <is>
          <t>🚫重复</t>
        </is>
      </c>
      <c r="R2102" t="inlineStr">
        <is>
          <t>16周</t>
        </is>
      </c>
      <c r="S2102" t="inlineStr">
        <is>
          <t>7.48</t>
        </is>
      </c>
      <c r="T2102" t="inlineStr">
        <is>
          <t>家居生活</t>
        </is>
      </c>
      <c r="U2102" t="inlineStr">
        <is>
          <t>家具家装</t>
        </is>
      </c>
      <c r="V2102" s="3">
        <v>46126.97719907408</v>
      </c>
      <c r="W2102" t="inlineStr">
        <is>
          <t>2026-Q2</t>
        </is>
      </c>
    </row>
    <row r="2103" ht="25.5" customHeight="1">
      <c r="A2103" t="inlineStr">
        <is>
          <t>真丝发圈100%桑蚕丝睡眠发圈重磅大发圈大肠发圈护发特价百搭时尚</t>
        </is>
      </c>
      <c r="B2103" t="inlineStr">
        <is>
          <t>__upload_recvgMo2ZYEkap.jpg</t>
        </is>
      </c>
      <c r="C2103" s="2" t="str">
        <f>=HYPERLINK("https://xhslink.com/m/99ETHdX7HY6", "https://xhslink.com/m/99ETHdX7HY6")</f>
        <v>https://xhslink.com/m/99ETHdX7HY6</v>
      </c>
      <c r="D2103"/>
      <c r="E2103">
        <v>41000</v>
      </c>
      <c r="F2103">
        <v>89</v>
      </c>
      <c r="G2103">
        <v>33.9</v>
      </c>
      <c r="H2103">
        <v>200</v>
      </c>
      <c r="I2103" t="inlineStr">
        <is>
          <t>头饰</t>
        </is>
      </c>
      <c r="J2103" t="inlineStr">
        <is>
          <t>0.00</t>
        </is>
      </c>
      <c r="K2103" t="inlineStr">
        <is>
          <t>🔥低粉爆款</t>
        </is>
      </c>
      <c r="L2103" t="inlineStr">
        <is>
          <t>拾忆真丝的店</t>
        </is>
      </c>
      <c r="M2103">
        <v>4973</v>
      </c>
      <c r="N2103">
        <v>4.7</v>
      </c>
      <c r="O2103">
        <v>43000</v>
      </c>
      <c r="P2103" t="inlineStr">
        <is>
          <t>680a4721a2951700019f7b91</t>
        </is>
      </c>
      <c r="Q2103" t="inlineStr">
        <is>
          <t>🚫重复</t>
        </is>
      </c>
      <c r="R2103" t="inlineStr">
        <is>
          <t>16周</t>
        </is>
      </c>
      <c r="S2103" t="inlineStr">
        <is>
          <t>8.24</t>
        </is>
      </c>
      <c r="T2103" t="inlineStr">
        <is>
          <t>美妆个护</t>
        </is>
      </c>
      <c r="U2103" t="inlineStr">
        <is>
          <t>个人护理</t>
        </is>
      </c>
      <c r="V2103" s="3">
        <v>46126.97719907408</v>
      </c>
      <c r="W2103" t="inlineStr">
        <is>
          <t>2026-Q2</t>
        </is>
      </c>
    </row>
    <row r="2104" ht="25.5" customHeight="1">
      <c r="A2104" t="inlineStr">
        <is>
          <t>甜心糖果～炫彩冰糖小众手链</t>
        </is>
      </c>
      <c r="B2104" t="inlineStr">
        <is>
          <t>__upload_recvgMo2ZY8mzR.jpg</t>
        </is>
      </c>
      <c r="C2104" s="2" t="str">
        <f>=HYPERLINK("https://xhslink.com/m/6pQoFAaCbsg", "https://xhslink.com/m/6pQoFAaCbsg")</f>
        <v>https://xhslink.com/m/6pQoFAaCbsg</v>
      </c>
      <c r="D2104"/>
      <c r="E2104">
        <v>14000</v>
      </c>
      <c r="F2104">
        <v>55</v>
      </c>
      <c r="G2104">
        <v>36</v>
      </c>
      <c r="H2104">
        <v>200</v>
      </c>
      <c r="I2104" t="inlineStr">
        <is>
          <t>手饰</t>
        </is>
      </c>
      <c r="J2104" t="inlineStr">
        <is>
          <t>0.01</t>
        </is>
      </c>
      <c r="K2104"/>
      <c r="L2104" t="inlineStr">
        <is>
          <t>Lamb Star小羊星冰乐的店</t>
        </is>
      </c>
      <c r="M2104">
        <v>176000</v>
      </c>
      <c r="N2104">
        <v>4.73</v>
      </c>
      <c r="O2104">
        <v>44000</v>
      </c>
      <c r="P2104" t="inlineStr">
        <is>
          <t>674c8882747310000160eb26</t>
        </is>
      </c>
      <c r="Q2104"/>
      <c r="R2104" t="inlineStr">
        <is>
          <t>16周</t>
        </is>
      </c>
      <c r="S2104" t="inlineStr">
        <is>
          <t>0.08</t>
        </is>
      </c>
      <c r="T2104" t="inlineStr">
        <is>
          <t>服饰穿搭</t>
        </is>
      </c>
      <c r="U2104" t="inlineStr">
        <is>
          <t>配饰</t>
        </is>
      </c>
      <c r="V2104" s="3">
        <v>46126.97719907408</v>
      </c>
      <c r="W2104" t="inlineStr">
        <is>
          <t>2026-Q2</t>
        </is>
      </c>
    </row>
    <row r="2105" ht="25.5" customHeight="1">
      <c r="A2105" t="inlineStr">
        <is>
          <t>【新店福利】天然水晶黄水晶黄塔晶手串素串送闺蜜朋友礼物8-12mm</t>
        </is>
      </c>
      <c r="B2105" t="inlineStr">
        <is>
          <t>__upload_recvgMo2ZYmbLL.jpg</t>
        </is>
      </c>
      <c r="C2105" s="2" t="str">
        <f>=HYPERLINK("https://xhslink.com/m/2FLKAxxinrt", "https://xhslink.com/m/2FLKAxxinrt")</f>
        <v>https://xhslink.com/m/2FLKAxxinrt</v>
      </c>
      <c r="D2105"/>
      <c r="E2105">
        <v>8953</v>
      </c>
      <c r="F2105">
        <v>138</v>
      </c>
      <c r="G2105">
        <v>73</v>
      </c>
      <c r="H2105">
        <v>200</v>
      </c>
      <c r="I2105" t="inlineStr">
        <is>
          <t>手饰</t>
        </is>
      </c>
      <c r="J2105" t="inlineStr">
        <is>
          <t>0.02</t>
        </is>
      </c>
      <c r="K2105" t="inlineStr">
        <is>
          <t>🔥低粉爆款</t>
        </is>
      </c>
      <c r="L2105" t="inlineStr">
        <is>
          <t>有晶喜水晶的店</t>
        </is>
      </c>
      <c r="M2105">
        <v>2852</v>
      </c>
      <c r="N2105">
        <v>4.5</v>
      </c>
      <c r="O2105">
        <v>13000</v>
      </c>
      <c r="P2105" t="inlineStr">
        <is>
          <t>69115370dcedc70001429db3</t>
        </is>
      </c>
      <c r="Q2105" t="inlineStr">
        <is>
          <t>🚫重复</t>
        </is>
      </c>
      <c r="R2105" t="inlineStr">
        <is>
          <t>16周</t>
        </is>
      </c>
      <c r="S2105" t="inlineStr">
        <is>
          <t>3.14</t>
        </is>
      </c>
      <c r="T2105" t="inlineStr">
        <is>
          <t>服饰穿搭</t>
        </is>
      </c>
      <c r="U2105" t="inlineStr">
        <is>
          <t>配饰</t>
        </is>
      </c>
      <c r="V2105" s="3">
        <v>46126.97719907408</v>
      </c>
      <c r="W2105" t="inlineStr">
        <is>
          <t>2026-Q2</t>
        </is>
      </c>
    </row>
    <row r="2106" ht="25.5" customHeight="1">
      <c r="A2106" t="inlineStr">
        <is>
          <t>四叶草红绳手链本命年幸运手绳法国幸运极细手链</t>
        </is>
      </c>
      <c r="B2106" t="inlineStr">
        <is>
          <t>__upload_recvgMo2ZYdpzr.jpg</t>
        </is>
      </c>
      <c r="C2106" s="2" t="str">
        <f>=HYPERLINK("https://xhslink.com/m/90ofKUhRRYL", "https://xhslink.com/m/90ofKUhRRYL")</f>
        <v>https://xhslink.com/m/90ofKUhRRYL</v>
      </c>
      <c r="D2106"/>
      <c r="E2106">
        <v>1533</v>
      </c>
      <c r="F2106">
        <v>29.9</v>
      </c>
      <c r="G2106">
        <v>24.9</v>
      </c>
      <c r="H2106">
        <v>200</v>
      </c>
      <c r="I2106" t="inlineStr">
        <is>
          <t>手饰</t>
        </is>
      </c>
      <c r="J2106" t="inlineStr">
        <is>
          <t>0.13</t>
        </is>
      </c>
      <c r="K2106"/>
      <c r="L2106" t="inlineStr">
        <is>
          <t>REACHIC瑞时的店</t>
        </is>
      </c>
      <c r="M2106">
        <v>3017</v>
      </c>
      <c r="N2106">
        <v>4.71</v>
      </c>
      <c r="O2106">
        <v>8048</v>
      </c>
      <c r="P2106" t="inlineStr">
        <is>
          <t>68ae851b6f3f7200019cf7df</t>
        </is>
      </c>
      <c r="Q2106"/>
      <c r="R2106" t="inlineStr">
        <is>
          <t>16周</t>
        </is>
      </c>
      <c r="S2106" t="inlineStr">
        <is>
          <t>0.51</t>
        </is>
      </c>
      <c r="T2106" t="inlineStr">
        <is>
          <t>服饰穿搭</t>
        </is>
      </c>
      <c r="U2106" t="inlineStr">
        <is>
          <t>配饰</t>
        </is>
      </c>
      <c r="V2106" s="3">
        <v>46126.97719907408</v>
      </c>
      <c r="W2106" t="inlineStr">
        <is>
          <t>2026-Q2</t>
        </is>
      </c>
    </row>
    <row r="2107" ht="25.5" customHeight="1">
      <c r="A2107" t="inlineStr">
        <is>
          <t>30姆米100%桑蚕丝真丝发圈大肠发圈皮筋不伤发头绳伴手礼无填充</t>
        </is>
      </c>
      <c r="B2107" t="inlineStr">
        <is>
          <t>__upload_recvgMo2ZY9BEq.jpg</t>
        </is>
      </c>
      <c r="C2107" s="2" t="str">
        <f>=HYPERLINK("https://xhslink.com/m/7tfKOmWdGlu", "https://xhslink.com/m/7tfKOmWdGlu")</f>
        <v>https://xhslink.com/m/7tfKOmWdGlu</v>
      </c>
      <c r="D2107"/>
      <c r="E2107">
        <v>36000</v>
      </c>
      <c r="F2107">
        <v>39.9</v>
      </c>
      <c r="G2107">
        <v>37.9</v>
      </c>
      <c r="H2107">
        <v>200</v>
      </c>
      <c r="I2107" t="inlineStr">
        <is>
          <t>头饰</t>
        </is>
      </c>
      <c r="J2107" t="inlineStr">
        <is>
          <t>0.01</t>
        </is>
      </c>
      <c r="K2107" t="inlineStr">
        <is>
          <t>🔥低粉爆款</t>
        </is>
      </c>
      <c r="L2107" t="inlineStr">
        <is>
          <t>Sue Silk的店</t>
        </is>
      </c>
      <c r="M2107">
        <v>10000</v>
      </c>
      <c r="N2107">
        <v>4.58</v>
      </c>
      <c r="O2107">
        <v>144000</v>
      </c>
      <c r="P2107" t="inlineStr">
        <is>
          <t>671f4cc5d29f550001cee59c</t>
        </is>
      </c>
      <c r="Q2107" t="inlineStr">
        <is>
          <t>🚫重复</t>
        </is>
      </c>
      <c r="R2107" t="inlineStr">
        <is>
          <t>16周</t>
        </is>
      </c>
      <c r="S2107" t="inlineStr">
        <is>
          <t>3.60</t>
        </is>
      </c>
      <c r="T2107" t="inlineStr">
        <is>
          <t>服饰穿搭</t>
        </is>
      </c>
      <c r="U2107" t="inlineStr">
        <is>
          <t>配饰</t>
        </is>
      </c>
      <c r="V2107" s="3">
        <v>46126.97719907408</v>
      </c>
      <c r="W2107" t="inlineStr">
        <is>
          <t>2026-Q2</t>
        </is>
      </c>
    </row>
    <row r="2108" ht="25.5" customHeight="1">
      <c r="A2108" t="inlineStr">
        <is>
          <t>弹力高腰阔腿窄版直筒拖地牛仔裤女</t>
        </is>
      </c>
      <c r="B2108" t="inlineStr">
        <is>
          <t>__upload_recvgMo2ZYw9kV.jpg</t>
        </is>
      </c>
      <c r="C2108" s="2" t="str">
        <f>=HYPERLINK("https://xhslink.com/m/391tFKCF4fw", "https://xhslink.com/m/391tFKCF4fw")</f>
        <v>https://xhslink.com/m/391tFKCF4fw</v>
      </c>
      <c r="D2108"/>
      <c r="E2108">
        <v>171000</v>
      </c>
      <c r="F2108">
        <v>90</v>
      </c>
      <c r="G2108">
        <v>79</v>
      </c>
      <c r="H2108">
        <v>200</v>
      </c>
      <c r="I2108" t="inlineStr">
        <is>
          <t>牛仔裤</t>
        </is>
      </c>
      <c r="J2108" t="inlineStr">
        <is>
          <t>0.00</t>
        </is>
      </c>
      <c r="K2108" t="inlineStr">
        <is>
          <t>🔥低粉爆款</t>
        </is>
      </c>
      <c r="L2108" t="inlineStr">
        <is>
          <t>a奶爸小店的店</t>
        </is>
      </c>
      <c r="M2108">
        <v>25000</v>
      </c>
      <c r="N2108">
        <v>4.63</v>
      </c>
      <c r="O2108">
        <v>286000</v>
      </c>
      <c r="P2108" t="inlineStr">
        <is>
          <t>6364cf8a8d683100017bcd2e</t>
        </is>
      </c>
      <c r="Q2108" t="inlineStr">
        <is>
          <t>🚫重复</t>
        </is>
      </c>
      <c r="R2108" t="inlineStr">
        <is>
          <t>16周</t>
        </is>
      </c>
      <c r="S2108" t="inlineStr">
        <is>
          <t>6.84</t>
        </is>
      </c>
      <c r="T2108" t="inlineStr">
        <is>
          <t>服饰穿搭</t>
        </is>
      </c>
      <c r="U2108" t="inlineStr">
        <is>
          <t>女装</t>
        </is>
      </c>
      <c r="V2108" s="3">
        <v>46126.97719907408</v>
      </c>
      <c r="W2108" t="inlineStr">
        <is>
          <t>2026-Q2</t>
        </is>
      </c>
    </row>
    <row r="2109" ht="25.5" customHeight="1">
      <c r="A2109" t="inlineStr">
        <is>
          <t>高腰美式复古设计感女直筒裤牛仔裤女宽松休闲显瘦阔腿裤</t>
        </is>
      </c>
      <c r="B2109" t="inlineStr">
        <is>
          <t>__upload_recvgMo2ZYmtJT.jpg</t>
        </is>
      </c>
      <c r="C2109" s="2" t="str">
        <f>=HYPERLINK("https://xhslink.com/m/7AZFnnTI29E", "https://xhslink.com/m/7AZFnnTI29E")</f>
        <v>https://xhslink.com/m/7AZFnnTI29E</v>
      </c>
      <c r="D2109"/>
      <c r="E2109">
        <v>23000</v>
      </c>
      <c r="F2109">
        <v>109.99</v>
      </c>
      <c r="G2109">
        <v>99.99</v>
      </c>
      <c r="H2109">
        <v>200</v>
      </c>
      <c r="I2109" t="inlineStr">
        <is>
          <t>牛仔裤</t>
        </is>
      </c>
      <c r="J2109" t="inlineStr">
        <is>
          <t>0.01</t>
        </is>
      </c>
      <c r="K2109"/>
      <c r="L2109" t="inlineStr">
        <is>
          <t>酷酷裤裤吖的店</t>
        </is>
      </c>
      <c r="M2109">
        <v>36000</v>
      </c>
      <c r="N2109">
        <v>4.57</v>
      </c>
      <c r="O2109">
        <v>210000</v>
      </c>
      <c r="P2109" t="inlineStr">
        <is>
          <t>67f8da7d2a334f0001e4dcb0</t>
        </is>
      </c>
      <c r="Q2109" t="inlineStr">
        <is>
          <t>🚫重复</t>
        </is>
      </c>
      <c r="R2109" t="inlineStr">
        <is>
          <t>16周</t>
        </is>
      </c>
      <c r="S2109" t="inlineStr">
        <is>
          <t>0.64</t>
        </is>
      </c>
      <c r="T2109" t="inlineStr">
        <is>
          <t>服饰穿搭</t>
        </is>
      </c>
      <c r="U2109" t="inlineStr">
        <is>
          <t>女装</t>
        </is>
      </c>
      <c r="V2109" s="3">
        <v>46126.97719907408</v>
      </c>
      <c r="W2109" t="inlineStr">
        <is>
          <t>2026-Q2</t>
        </is>
      </c>
    </row>
    <row r="2110" ht="25.5" customHeight="1">
      <c r="A2110" t="inlineStr">
        <is>
          <t>不皱黑科技面料春夏新款窄版阔腿喇叭牛仔裤女宽松直筒垂感显瘦裤</t>
        </is>
      </c>
      <c r="B2110" t="inlineStr">
        <is>
          <t>__upload_recvgMo2ZY8xlM.jpg</t>
        </is>
      </c>
      <c r="C2110" s="2" t="str">
        <f>=HYPERLINK("https://xhslink.com/m/78FUE6wYgoI", "https://xhslink.com/m/78FUE6wYgoI")</f>
        <v>https://xhslink.com/m/78FUE6wYgoI</v>
      </c>
      <c r="D2110"/>
      <c r="E2110">
        <v>51000</v>
      </c>
      <c r="F2110">
        <v>129.9</v>
      </c>
      <c r="G2110">
        <v>99.9</v>
      </c>
      <c r="H2110">
        <v>200</v>
      </c>
      <c r="I2110" t="inlineStr">
        <is>
          <t>牛仔裤</t>
        </is>
      </c>
      <c r="J2110" t="inlineStr">
        <is>
          <t>0.00</t>
        </is>
      </c>
      <c r="K2110"/>
      <c r="L2110" t="inlineStr">
        <is>
          <t>财气紫阿的店</t>
        </is>
      </c>
      <c r="M2110">
        <v>21000</v>
      </c>
      <c r="N2110">
        <v>4.55</v>
      </c>
      <c r="O2110">
        <v>119000</v>
      </c>
      <c r="P2110" t="inlineStr">
        <is>
          <t>67fa4f91b2c30c00018ce918</t>
        </is>
      </c>
      <c r="Q2110" t="inlineStr">
        <is>
          <t>🚫重复</t>
        </is>
      </c>
      <c r="R2110" t="inlineStr">
        <is>
          <t>16周</t>
        </is>
      </c>
      <c r="S2110" t="inlineStr">
        <is>
          <t>2.43</t>
        </is>
      </c>
      <c r="T2110" t="inlineStr">
        <is>
          <t>服饰穿搭</t>
        </is>
      </c>
      <c r="U2110" t="inlineStr">
        <is>
          <t>女装</t>
        </is>
      </c>
      <c r="V2110" s="3">
        <v>46126.97719907408</v>
      </c>
      <c r="W2110" t="inlineStr">
        <is>
          <t>2026-Q2</t>
        </is>
      </c>
    </row>
    <row r="2111" ht="25.5" customHeight="1">
      <c r="A2111" t="inlineStr">
        <is>
          <t>【逃跑计划】小个子梨形身材高腰牛仔裤女显瘦直筒垂感宽松阔腿裤</t>
        </is>
      </c>
      <c r="B2111" t="inlineStr">
        <is>
          <t>__upload_recvgMo2ZYwPq2.jpg</t>
        </is>
      </c>
      <c r="C2111" s="2" t="str">
        <f>=HYPERLINK("https://xhslink.com/m/9qL0M37qZdc", "https://xhslink.com/m/9qL0M37qZdc")</f>
        <v>https://xhslink.com/m/9qL0M37qZdc</v>
      </c>
      <c r="D2111"/>
      <c r="E2111">
        <v>42000</v>
      </c>
      <c r="F2111">
        <v>89.99</v>
      </c>
      <c r="G2111"/>
      <c r="H2111">
        <v>200</v>
      </c>
      <c r="I2111" t="inlineStr">
        <is>
          <t>牛仔裤</t>
        </is>
      </c>
      <c r="J2111" t="inlineStr">
        <is>
          <t>0.00</t>
        </is>
      </c>
      <c r="K2111"/>
      <c r="L2111" t="inlineStr">
        <is>
          <t>李空空的店</t>
        </is>
      </c>
      <c r="M2111">
        <v>103000</v>
      </c>
      <c r="N2111">
        <v>4.58</v>
      </c>
      <c r="O2111">
        <v>570000</v>
      </c>
      <c r="P2111" t="inlineStr">
        <is>
          <t>666ad210cd6d1400016f10d5</t>
        </is>
      </c>
      <c r="Q2111" t="inlineStr">
        <is>
          <t>🚫重复</t>
        </is>
      </c>
      <c r="R2111" t="inlineStr">
        <is>
          <t>16周</t>
        </is>
      </c>
      <c r="S2111" t="inlineStr">
        <is>
          <t>0.41</t>
        </is>
      </c>
      <c r="T2111" t="inlineStr">
        <is>
          <t>服饰穿搭</t>
        </is>
      </c>
      <c r="U2111" t="inlineStr">
        <is>
          <t>女装</t>
        </is>
      </c>
      <c r="V2111" s="3">
        <v>46126.97719907408</v>
      </c>
      <c r="W2111" t="inlineStr">
        <is>
          <t>2026-Q2</t>
        </is>
      </c>
    </row>
    <row r="2112" ht="25.5" customHeight="1">
      <c r="A2112" t="inlineStr">
        <is>
          <t>天丝凉感～夏季小直筒牛仔裤女微胖梨型高腰宽松显瘦小个子九分裤</t>
        </is>
      </c>
      <c r="B2112" t="inlineStr">
        <is>
          <t>__upload_recvgMo2ZYYVmK.jpg</t>
        </is>
      </c>
      <c r="C2112" s="2" t="str">
        <f>=HYPERLINK("https://xhslink.com/m/4jyvburpGYm", "https://xhslink.com/m/4jyvburpGYm")</f>
        <v>https://xhslink.com/m/4jyvburpGYm</v>
      </c>
      <c r="D2112"/>
      <c r="E2112">
        <v>20000</v>
      </c>
      <c r="F2112">
        <v>99.9</v>
      </c>
      <c r="G2112">
        <v>89.9</v>
      </c>
      <c r="H2112">
        <v>200</v>
      </c>
      <c r="I2112" t="inlineStr">
        <is>
          <t>牛仔裤</t>
        </is>
      </c>
      <c r="J2112" t="inlineStr">
        <is>
          <t>0.01</t>
        </is>
      </c>
      <c r="K2112"/>
      <c r="L2112" t="inlineStr">
        <is>
          <t>沫小甜的店</t>
        </is>
      </c>
      <c r="M2112">
        <v>14000</v>
      </c>
      <c r="N2112">
        <v>4.52</v>
      </c>
      <c r="O2112">
        <v>171000</v>
      </c>
      <c r="P2112" t="inlineStr">
        <is>
          <t>68a97e38acb11600016d8a70</t>
        </is>
      </c>
      <c r="Q2112"/>
      <c r="R2112" t="inlineStr">
        <is>
          <t>16周</t>
        </is>
      </c>
      <c r="S2112" t="inlineStr">
        <is>
          <t>1.43</t>
        </is>
      </c>
      <c r="T2112" t="inlineStr">
        <is>
          <t>服饰穿搭</t>
        </is>
      </c>
      <c r="U2112" t="inlineStr">
        <is>
          <t>女装</t>
        </is>
      </c>
      <c r="V2112" s="3">
        <v>46126.97719907408</v>
      </c>
      <c r="W2112" t="inlineStr">
        <is>
          <t>2026-Q2</t>
        </is>
      </c>
    </row>
    <row r="2113" ht="25.5" customHeight="1">
      <c r="A2113" t="inlineStr">
        <is>
          <t>酷酷裤裤不贴腿百搭喇叭裤拖地牛仔裤女常规美式辣妹阔腿裤</t>
        </is>
      </c>
      <c r="B2113" t="inlineStr">
        <is>
          <t>__upload_recvgMo2ZYmNiu.jpg</t>
        </is>
      </c>
      <c r="C2113" s="2" t="str">
        <f>=HYPERLINK("https://xhslink.com/m/3oSi7KUGULp", "https://xhslink.com/m/3oSi7KUGULp")</f>
        <v>https://xhslink.com/m/3oSi7KUGULp</v>
      </c>
      <c r="D2113"/>
      <c r="E2113">
        <v>23000</v>
      </c>
      <c r="F2113">
        <v>108.99</v>
      </c>
      <c r="G2113">
        <v>98.99</v>
      </c>
      <c r="H2113">
        <v>200</v>
      </c>
      <c r="I2113" t="inlineStr">
        <is>
          <t>牛仔裤</t>
        </is>
      </c>
      <c r="J2113" t="inlineStr">
        <is>
          <t>0.01</t>
        </is>
      </c>
      <c r="K2113"/>
      <c r="L2113" t="inlineStr">
        <is>
          <t>酷酷裤裤吖的店</t>
        </is>
      </c>
      <c r="M2113">
        <v>36000</v>
      </c>
      <c r="N2113">
        <v>4.57</v>
      </c>
      <c r="O2113">
        <v>210000</v>
      </c>
      <c r="P2113" t="inlineStr">
        <is>
          <t>6927fc93b644e400018cd8b6</t>
        </is>
      </c>
      <c r="Q2113" t="inlineStr">
        <is>
          <t>🚫重复</t>
        </is>
      </c>
      <c r="R2113" t="inlineStr">
        <is>
          <t>16周</t>
        </is>
      </c>
      <c r="S2113" t="inlineStr">
        <is>
          <t>0.64</t>
        </is>
      </c>
      <c r="T2113" t="inlineStr">
        <is>
          <t>服饰穿搭</t>
        </is>
      </c>
      <c r="U2113" t="inlineStr">
        <is>
          <t>女装</t>
        </is>
      </c>
      <c r="V2113" s="3">
        <v>46126.97719907408</v>
      </c>
      <c r="W2113" t="inlineStr">
        <is>
          <t>2026-Q2</t>
        </is>
      </c>
    </row>
    <row r="2114" ht="25.5" customHeight="1">
      <c r="A2114" t="inlineStr">
        <is>
          <t>【通勤·烟管裤】小直筒显瘦九分牛仔裤女高腰弹力梨形遮胯显瘦</t>
        </is>
      </c>
      <c r="B2114" t="inlineStr">
        <is>
          <t>__upload_recvgMo2ZYyV1R.jpg</t>
        </is>
      </c>
      <c r="C2114" s="2" t="str">
        <f>=HYPERLINK("https://xhslink.com/m/AejlyJzyKn1", "https://xhslink.com/m/AejlyJzyKn1")</f>
        <v>https://xhslink.com/m/AejlyJzyKn1</v>
      </c>
      <c r="D2114"/>
      <c r="E2114">
        <v>16000</v>
      </c>
      <c r="F2114">
        <v>169.9</v>
      </c>
      <c r="G2114">
        <v>149.9</v>
      </c>
      <c r="H2114">
        <v>200</v>
      </c>
      <c r="I2114" t="inlineStr">
        <is>
          <t>牛仔裤</t>
        </is>
      </c>
      <c r="J2114" t="inlineStr">
        <is>
          <t>0.01</t>
        </is>
      </c>
      <c r="K2114"/>
      <c r="L2114" t="inlineStr">
        <is>
          <t>ChouMei品质女裤的店</t>
        </is>
      </c>
      <c r="M2114">
        <v>44000</v>
      </c>
      <c r="N2114">
        <v>4.58</v>
      </c>
      <c r="O2114">
        <v>172000</v>
      </c>
      <c r="P2114" t="inlineStr">
        <is>
          <t>69b79d4de95b340001af3d81</t>
        </is>
      </c>
      <c r="Q2114" t="inlineStr">
        <is>
          <t>🚫重复</t>
        </is>
      </c>
      <c r="R2114" t="inlineStr">
        <is>
          <t>16周</t>
        </is>
      </c>
      <c r="S2114" t="inlineStr">
        <is>
          <t>0.36</t>
        </is>
      </c>
      <c r="T2114" t="inlineStr">
        <is>
          <t>服饰穿搭</t>
        </is>
      </c>
      <c r="U2114" t="inlineStr">
        <is>
          <t>女装</t>
        </is>
      </c>
      <c r="V2114" s="3">
        <v>46126.97719907408</v>
      </c>
      <c r="W2114" t="inlineStr">
        <is>
          <t>2026-Q2</t>
        </is>
      </c>
    </row>
    <row r="2115" ht="25.5" customHeight="1">
      <c r="A2115" t="inlineStr">
        <is>
          <t>FF&amp;X.春夏高腰四面弹梨形显瘦遮垮直筒微喇女士牛仔裤5100</t>
        </is>
      </c>
      <c r="B2115" t="inlineStr">
        <is>
          <t>__upload_recvgMo2ZYustb.jpg</t>
        </is>
      </c>
      <c r="C2115" s="2" t="str">
        <f>=HYPERLINK("https://xhslink.com/m/6rVT4aXK9Mu", "https://xhslink.com/m/6rVT4aXK9Mu")</f>
        <v>https://xhslink.com/m/6rVT4aXK9Mu</v>
      </c>
      <c r="D2115"/>
      <c r="E2115">
        <v>4792</v>
      </c>
      <c r="F2115">
        <v>285</v>
      </c>
      <c r="G2115"/>
      <c r="H2115">
        <v>200</v>
      </c>
      <c r="I2115" t="inlineStr">
        <is>
          <t>牛仔裤</t>
        </is>
      </c>
      <c r="J2115" t="inlineStr">
        <is>
          <t>0.04</t>
        </is>
      </c>
      <c r="K2115" t="inlineStr">
        <is>
          <t>🔥低粉爆款</t>
        </is>
      </c>
      <c r="L2115" t="inlineStr">
        <is>
          <t>方方夏的店</t>
        </is>
      </c>
      <c r="M2115">
        <v>313</v>
      </c>
      <c r="N2115">
        <v>4.62</v>
      </c>
      <c r="O2115">
        <v>5107</v>
      </c>
      <c r="P2115" t="inlineStr">
        <is>
          <t>699c78e59814200001a5f2a9</t>
        </is>
      </c>
      <c r="Q2115" t="inlineStr">
        <is>
          <t>🚫重复</t>
        </is>
      </c>
      <c r="R2115" t="inlineStr">
        <is>
          <t>16周</t>
        </is>
      </c>
      <c r="S2115" t="inlineStr">
        <is>
          <t>15.31</t>
        </is>
      </c>
      <c r="T2115" t="inlineStr">
        <is>
          <t>服饰穿搭</t>
        </is>
      </c>
      <c r="U2115" t="inlineStr">
        <is>
          <t>女装</t>
        </is>
      </c>
      <c r="V2115" s="3">
        <v>46126.97719907408</v>
      </c>
      <c r="W2115" t="inlineStr">
        <is>
          <t>2026-Q2</t>
        </is>
      </c>
    </row>
    <row r="2116" ht="25.5" customHeight="1">
      <c r="A2116" t="inlineStr">
        <is>
          <t>美式刺绣拼接弯刀牛仔裤女2026春夏新款高腰直筒显瘦拖地阔腿裤子</t>
        </is>
      </c>
      <c r="B2116" t="inlineStr">
        <is>
          <t>__upload_recvgMo2ZYSjDj.jpg</t>
        </is>
      </c>
      <c r="C2116" s="2" t="str">
        <f>=HYPERLINK("https://xhslink.com/m/1AmdfptUlWb", "https://xhslink.com/m/1AmdfptUlWb")</f>
        <v>https://xhslink.com/m/1AmdfptUlWb</v>
      </c>
      <c r="D2116"/>
      <c r="E2116">
        <v>1433</v>
      </c>
      <c r="F2116">
        <v>119</v>
      </c>
      <c r="G2116">
        <v>88</v>
      </c>
      <c r="H2116">
        <v>200</v>
      </c>
      <c r="I2116" t="inlineStr">
        <is>
          <t>牛仔裤</t>
        </is>
      </c>
      <c r="J2116" t="inlineStr">
        <is>
          <t>0.14</t>
        </is>
      </c>
      <c r="K2116"/>
      <c r="L2116" t="inlineStr">
        <is>
          <t>圈圈不转圈⭕的店</t>
        </is>
      </c>
      <c r="M2116">
        <v>34000</v>
      </c>
      <c r="N2116">
        <v>4.45</v>
      </c>
      <c r="O2116">
        <v>253000</v>
      </c>
      <c r="P2116" t="inlineStr">
        <is>
          <t>69b988dae6196b00015cb671</t>
        </is>
      </c>
      <c r="Q2116" t="inlineStr">
        <is>
          <t>🚫重复</t>
        </is>
      </c>
      <c r="R2116" t="inlineStr">
        <is>
          <t>16周</t>
        </is>
      </c>
      <c r="S2116" t="inlineStr">
        <is>
          <t>0.04</t>
        </is>
      </c>
      <c r="T2116" t="inlineStr">
        <is>
          <t>服饰穿搭</t>
        </is>
      </c>
      <c r="U2116" t="inlineStr">
        <is>
          <t>女装</t>
        </is>
      </c>
      <c r="V2116" s="3">
        <v>46126.97719907408</v>
      </c>
      <c r="W2116" t="inlineStr">
        <is>
          <t>2026-Q2</t>
        </is>
      </c>
    </row>
    <row r="2117" ht="25.5" customHeight="1">
      <c r="A2117" t="inlineStr">
        <is>
          <t>右单元 · Rightcell「回春丹系列001」四面弹阔腿牛仔裤女春高腰宽松直筒裤</t>
        </is>
      </c>
      <c r="B2117" t="inlineStr">
        <is>
          <t>__upload_recvgMo2ZY1jrS.jpg</t>
        </is>
      </c>
      <c r="C2117" s="2" t="str">
        <f>=HYPERLINK("https://xhslink.com/m/1poV0eG4cGw", "https://xhslink.com/m/1poV0eG4cGw")</f>
        <v>https://xhslink.com/m/1poV0eG4cGw</v>
      </c>
      <c r="D2117"/>
      <c r="E2117">
        <v>5580</v>
      </c>
      <c r="F2117">
        <v>419.99</v>
      </c>
      <c r="G2117">
        <v>369.59</v>
      </c>
      <c r="H2117">
        <v>200</v>
      </c>
      <c r="I2117" t="inlineStr">
        <is>
          <t>牛仔裤</t>
        </is>
      </c>
      <c r="J2117" t="inlineStr">
        <is>
          <t>0.04</t>
        </is>
      </c>
      <c r="K2117"/>
      <c r="L2117" t="inlineStr">
        <is>
          <t>右单元 Rightcell旗舰店</t>
        </is>
      </c>
      <c r="M2117">
        <v>55000</v>
      </c>
      <c r="N2117">
        <v>4.6</v>
      </c>
      <c r="O2117">
        <v>396000</v>
      </c>
      <c r="P2117" t="inlineStr">
        <is>
          <t>69ba54d1ff00dc00013218e9</t>
        </is>
      </c>
      <c r="Q2117" t="inlineStr">
        <is>
          <t>🚫重复</t>
        </is>
      </c>
      <c r="R2117" t="inlineStr">
        <is>
          <t>16周</t>
        </is>
      </c>
      <c r="S2117" t="inlineStr">
        <is>
          <t>0.10</t>
        </is>
      </c>
      <c r="T2117" t="inlineStr">
        <is>
          <t>服饰穿搭</t>
        </is>
      </c>
      <c r="U2117" t="inlineStr">
        <is>
          <t>女装</t>
        </is>
      </c>
      <c r="V2117" s="3">
        <v>46126.97719907408</v>
      </c>
      <c r="W2117" t="inlineStr">
        <is>
          <t>2026-Q2</t>
        </is>
      </c>
    </row>
    <row r="2118" ht="25.5" customHeight="1">
      <c r="A2118" t="inlineStr">
        <is>
          <t>twosweet · 【魔力白牛】抗皱/垂坠/防透简约通勤阔腿白色休闲牛仔裤</t>
        </is>
      </c>
      <c r="B2118" t="inlineStr">
        <is>
          <t>__upload_recvgMo2ZYSYkd.jpg</t>
        </is>
      </c>
      <c r="C2118" s="2" t="str">
        <f>=HYPERLINK("https://xhslink.com/m/8Jr22ZqVltk", "https://xhslink.com/m/8Jr22ZqVltk")</f>
        <v>https://xhslink.com/m/8Jr22ZqVltk</v>
      </c>
      <c r="D2118"/>
      <c r="E2118">
        <v>2159</v>
      </c>
      <c r="F2118">
        <v>229</v>
      </c>
      <c r="G2118"/>
      <c r="H2118">
        <v>200</v>
      </c>
      <c r="I2118" t="inlineStr">
        <is>
          <t>牛仔裤</t>
        </is>
      </c>
      <c r="J2118" t="inlineStr">
        <is>
          <t>0.09</t>
        </is>
      </c>
      <c r="K2118"/>
      <c r="L2118" t="inlineStr">
        <is>
          <t>twosweet旗舰店</t>
        </is>
      </c>
      <c r="M2118">
        <v>16000</v>
      </c>
      <c r="N2118">
        <v>4.68</v>
      </c>
      <c r="O2118">
        <v>66000</v>
      </c>
      <c r="P2118" t="inlineStr">
        <is>
          <t>68a2a0124dbac20001db04f0</t>
        </is>
      </c>
      <c r="Q2118" t="inlineStr">
        <is>
          <t>🚫重复</t>
        </is>
      </c>
      <c r="R2118" t="inlineStr">
        <is>
          <t>16周</t>
        </is>
      </c>
      <c r="S2118" t="inlineStr">
        <is>
          <t>0.13</t>
        </is>
      </c>
      <c r="T2118" t="inlineStr">
        <is>
          <t>服饰穿搭</t>
        </is>
      </c>
      <c r="U2118" t="inlineStr">
        <is>
          <t>女装</t>
        </is>
      </c>
      <c r="V2118" s="3">
        <v>46126.97719907408</v>
      </c>
      <c r="W2118" t="inlineStr">
        <is>
          <t>2026-Q2</t>
        </is>
      </c>
    </row>
    <row r="2119" ht="25.5" customHeight="1">
      <c r="A2119" t="inlineStr">
        <is>
          <t>【新店福利】天然水晶黄水晶黄塔晶手串素串送闺蜜朋友礼物8-12mm</t>
        </is>
      </c>
      <c r="B2119" t="inlineStr">
        <is>
          <t>__upload_recvgMo2ZYPyzq.jpg</t>
        </is>
      </c>
      <c r="C2119" s="2" t="str">
        <f>=HYPERLINK("https://xhslink.com/m/8E5UIFW5Yi2", "https://xhslink.com/m/8E5UIFW5Yi2")</f>
        <v>https://xhslink.com/m/8E5UIFW5Yi2</v>
      </c>
      <c r="D2119"/>
      <c r="E2119">
        <v>8899</v>
      </c>
      <c r="F2119">
        <v>208</v>
      </c>
      <c r="G2119">
        <v>127</v>
      </c>
      <c r="H2119">
        <v>200</v>
      </c>
      <c r="I2119" t="inlineStr">
        <is>
          <t>配饰</t>
        </is>
      </c>
      <c r="J2119" t="inlineStr">
        <is>
          <t>0.02</t>
        </is>
      </c>
      <c r="K2119" t="inlineStr">
        <is>
          <t>🔥低粉爆款</t>
        </is>
      </c>
      <c r="L2119" t="inlineStr">
        <is>
          <t>有晶喜水晶的店</t>
        </is>
      </c>
      <c r="M2119">
        <v>2852</v>
      </c>
      <c r="N2119">
        <v>4.5</v>
      </c>
      <c r="O2119">
        <v>13000</v>
      </c>
      <c r="P2119" t="inlineStr">
        <is>
          <t>69115370dcedc70001429dbc</t>
        </is>
      </c>
      <c r="Q2119" t="inlineStr">
        <is>
          <t>🚫重复</t>
        </is>
      </c>
      <c r="R2119" t="inlineStr">
        <is>
          <t>16周</t>
        </is>
      </c>
      <c r="S2119" t="inlineStr">
        <is>
          <t>3.12</t>
        </is>
      </c>
      <c r="T2119" t="inlineStr">
        <is>
          <t>服饰穿搭</t>
        </is>
      </c>
      <c r="U2119" t="inlineStr">
        <is>
          <t>配饰</t>
        </is>
      </c>
      <c r="V2119" s="3">
        <v>46126.97719907408</v>
      </c>
      <c r="W2119" t="inlineStr">
        <is>
          <t>2026-Q2</t>
        </is>
      </c>
    </row>
    <row r="2120" ht="25.5" customHeight="1">
      <c r="A2120" t="inlineStr">
        <is>
          <t>【木兮手作】6.0版 19.9r 七件套文玩手串福袋｜礼物手串</t>
        </is>
      </c>
      <c r="B2120" t="inlineStr">
        <is>
          <t>__upload_recvgMo2ZYjQLc.jpg</t>
        </is>
      </c>
      <c r="C2120" s="2" t="str">
        <f>=HYPERLINK("https://xhslink.com/m/A51LmR9fs56", "https://xhslink.com/m/A51LmR9fs56")</f>
        <v>https://xhslink.com/m/A51LmR9fs56</v>
      </c>
      <c r="D2120"/>
      <c r="E2120">
        <v>36000</v>
      </c>
      <c r="F2120">
        <v>19.9</v>
      </c>
      <c r="G2120"/>
      <c r="H2120">
        <v>200</v>
      </c>
      <c r="I2120" t="inlineStr">
        <is>
          <t>手工</t>
        </is>
      </c>
      <c r="J2120" t="inlineStr">
        <is>
          <t>0.01</t>
        </is>
      </c>
      <c r="K2120"/>
      <c r="L2120" t="inlineStr">
        <is>
          <t>木兮手作店的店</t>
        </is>
      </c>
      <c r="M2120">
        <v>32000</v>
      </c>
      <c r="N2120">
        <v>4.23</v>
      </c>
      <c r="O2120">
        <v>52000</v>
      </c>
      <c r="P2120" t="inlineStr">
        <is>
          <t>664f50a5c0d6440001286b95</t>
        </is>
      </c>
      <c r="Q2120"/>
      <c r="R2120" t="inlineStr">
        <is>
          <t>16周</t>
        </is>
      </c>
      <c r="S2120" t="inlineStr">
        <is>
          <t>1.12</t>
        </is>
      </c>
      <c r="T2120" t="inlineStr">
        <is>
          <t>运动潮玩</t>
        </is>
      </c>
      <c r="U2120" t="inlineStr">
        <is>
          <t>潮玩手办</t>
        </is>
      </c>
      <c r="V2120" s="3">
        <v>46126.97719907408</v>
      </c>
      <c r="W2120" t="inlineStr">
        <is>
          <t>2026-Q2</t>
        </is>
      </c>
    </row>
    <row r="2121" ht="25.5" customHeight="1">
      <c r="A2121" t="inlineStr">
        <is>
          <t>【18.8R到手7枚】全麦0蔗糖早八党贝果早餐大学生</t>
        </is>
      </c>
      <c r="B2121" t="inlineStr">
        <is>
          <t>__upload_recvgSimhW7Uf8.jpg</t>
        </is>
      </c>
      <c r="C2121" s="2" t="str">
        <f>=HYPERLINK("https://xhslink.com/m/AYLlDjUowDG", "https://xhslink.com/m/AYLlDjUowDG")</f>
        <v>https://xhslink.com/m/AYLlDjUowDG</v>
      </c>
      <c r="D2121"/>
      <c r="E2121">
        <v>63000</v>
      </c>
      <c r="F2121">
        <v>37.8</v>
      </c>
      <c r="G2121">
        <v>18.8</v>
      </c>
      <c r="H2121">
        <v>200</v>
      </c>
      <c r="I2121" t="inlineStr">
        <is>
          <t>减脂零食</t>
        </is>
      </c>
      <c r="J2121" t="inlineStr">
        <is>
          <t>0.00</t>
        </is>
      </c>
      <c r="K2121" t="inlineStr">
        <is>
          <t>🔥低粉爆款</t>
        </is>
      </c>
      <c r="L2121" t="inlineStr">
        <is>
          <t>麦语烘焙坊的店</t>
        </is>
      </c>
      <c r="M2121">
        <v>3991</v>
      </c>
      <c r="N2121">
        <v>4.5</v>
      </c>
      <c r="O2121">
        <v>107000</v>
      </c>
      <c r="P2121" t="inlineStr">
        <is>
          <t>67bdc5d6f6588900013033bb</t>
        </is>
      </c>
      <c r="Q2121" t="inlineStr">
        <is>
          <t>🚫重复</t>
        </is>
      </c>
      <c r="R2121" t="inlineStr">
        <is>
          <t>16周</t>
        </is>
      </c>
      <c r="S2121" t="inlineStr">
        <is>
          <t>15.79</t>
        </is>
      </c>
      <c r="T2121" t="inlineStr">
        <is>
          <t>美食滋补</t>
        </is>
      </c>
      <c r="U2121" t="inlineStr">
        <is>
          <t>休闲零食</t>
        </is>
      </c>
      <c r="V2121" s="3">
        <v>46127.98767361111</v>
      </c>
      <c r="W2121" t="inlineStr">
        <is>
          <t>2026-Q2</t>
        </is>
      </c>
    </row>
    <row r="2122" ht="25.5" customHeight="1">
      <c r="A2122" t="inlineStr">
        <is>
          <t>汐谷轻岚 · 纯黑巧克力无蔗糖饱腹感进口纯可可脂液块烘焙原料健身零食学生</t>
        </is>
      </c>
      <c r="B2122" t="inlineStr">
        <is>
          <t>__upload_recvgSimhW56KJ.jpg</t>
        </is>
      </c>
      <c r="C2122" s="2" t="str">
        <f>=HYPERLINK("https://xhslink.com/m/34SzfRGSC0L", "https://xhslink.com/m/34SzfRGSC0L")</f>
        <v>https://xhslink.com/m/34SzfRGSC0L</v>
      </c>
      <c r="D2122"/>
      <c r="E2122">
        <v>87000</v>
      </c>
      <c r="F2122">
        <v>35.8</v>
      </c>
      <c r="G2122"/>
      <c r="H2122">
        <v>200</v>
      </c>
      <c r="I2122" t="inlineStr">
        <is>
          <t>减脂零食</t>
        </is>
      </c>
      <c r="J2122" t="inlineStr">
        <is>
          <t>0.00</t>
        </is>
      </c>
      <c r="K2122" t="inlineStr">
        <is>
          <t>🔥低粉爆款</t>
        </is>
      </c>
      <c r="L2122" t="inlineStr">
        <is>
          <t>铭铭好吃宝的店</t>
        </is>
      </c>
      <c r="M2122">
        <v>10000</v>
      </c>
      <c r="N2122">
        <v>4.68</v>
      </c>
      <c r="O2122">
        <v>92000</v>
      </c>
      <c r="P2122" t="inlineStr">
        <is>
          <t>6440edc57bea240001e1c237</t>
        </is>
      </c>
      <c r="Q2122" t="inlineStr">
        <is>
          <t>🚫重复</t>
        </is>
      </c>
      <c r="R2122" t="inlineStr">
        <is>
          <t>16周</t>
        </is>
      </c>
      <c r="S2122" t="inlineStr">
        <is>
          <t>8.70</t>
        </is>
      </c>
      <c r="T2122" t="inlineStr">
        <is>
          <t>美食滋补</t>
        </is>
      </c>
      <c r="U2122" t="inlineStr">
        <is>
          <t>休闲零食</t>
        </is>
      </c>
      <c r="V2122" s="3">
        <v>46127.98767361111</v>
      </c>
      <c r="W2122" t="inlineStr">
        <is>
          <t>2026-Q2</t>
        </is>
      </c>
    </row>
    <row r="2123" ht="25.5" customHeight="1">
      <c r="A2123" t="inlineStr">
        <is>
          <t>颐之宜 · 当归川芎白芍地黄黄芪 四物汤 红润不上火 无熏硫</t>
        </is>
      </c>
      <c r="B2123" t="inlineStr">
        <is>
          <t>__upload_recvgSimhW3fYG.jpg</t>
        </is>
      </c>
      <c r="C2123" s="2" t="str">
        <f>=HYPERLINK("https://xhslink.com/m/2YuLFSHAQTh", "https://xhslink.com/m/2YuLFSHAQTh")</f>
        <v>https://xhslink.com/m/2YuLFSHAQTh</v>
      </c>
      <c r="D2123"/>
      <c r="E2123">
        <v>81000</v>
      </c>
      <c r="F2123">
        <v>88</v>
      </c>
      <c r="G2123"/>
      <c r="H2123">
        <v>200</v>
      </c>
      <c r="I2123" t="inlineStr">
        <is>
          <t>气血滋补</t>
        </is>
      </c>
      <c r="J2123" t="inlineStr">
        <is>
          <t>0.00</t>
        </is>
      </c>
      <c r="K2123"/>
      <c r="L2123" t="inlineStr">
        <is>
          <t>颐之宜养生的店</t>
        </is>
      </c>
      <c r="M2123">
        <v>79000</v>
      </c>
      <c r="N2123">
        <v>4.54</v>
      </c>
      <c r="O2123">
        <v>237000</v>
      </c>
      <c r="P2123" t="inlineStr">
        <is>
          <t>64c8b8cdc9f72f000119e59e</t>
        </is>
      </c>
      <c r="Q2123" t="inlineStr">
        <is>
          <t>🚫重复</t>
        </is>
      </c>
      <c r="R2123" t="inlineStr">
        <is>
          <t>16周</t>
        </is>
      </c>
      <c r="S2123" t="inlineStr">
        <is>
          <t>1.03</t>
        </is>
      </c>
      <c r="T2123" t="inlineStr">
        <is>
          <t>美食滋补</t>
        </is>
      </c>
      <c r="U2123" t="inlineStr">
        <is>
          <t>营养滋补</t>
        </is>
      </c>
      <c r="V2123" s="3">
        <v>46127.98767361111</v>
      </c>
      <c r="W2123" t="inlineStr">
        <is>
          <t>2026-Q2</t>
        </is>
      </c>
    </row>
    <row r="2124" ht="25.5" customHeight="1">
      <c r="A2124" t="inlineStr">
        <is>
          <t>【加购满15包邮】无熏硫可检测 黄芪当归枸杞麦冬茯苓红大枣玫瑰</t>
        </is>
      </c>
      <c r="B2124" t="inlineStr">
        <is>
          <t>__upload_recvgSimhWnlPJ.jpg</t>
        </is>
      </c>
      <c r="C2124" s="2" t="str">
        <f>=HYPERLINK("https://xhslink.com/m/57mYR17DXW7", "https://xhslink.com/m/57mYR17DXW7")</f>
        <v>https://xhslink.com/m/57mYR17DXW7</v>
      </c>
      <c r="D2124"/>
      <c r="E2124">
        <v>43000</v>
      </c>
      <c r="F2124">
        <v>6</v>
      </c>
      <c r="G2124"/>
      <c r="H2124">
        <v>200</v>
      </c>
      <c r="I2124" t="inlineStr">
        <is>
          <t>气血滋补</t>
        </is>
      </c>
      <c r="J2124" t="inlineStr">
        <is>
          <t>0.00</t>
        </is>
      </c>
      <c r="K2124" t="inlineStr">
        <is>
          <t>🔥低粉爆款</t>
        </is>
      </c>
      <c r="L2124" t="inlineStr">
        <is>
          <t>事事顺滋补的店</t>
        </is>
      </c>
      <c r="M2124">
        <v>11000</v>
      </c>
      <c r="N2124">
        <v>4.7</v>
      </c>
      <c r="O2124">
        <v>62000</v>
      </c>
      <c r="P2124" t="inlineStr">
        <is>
          <t>681d6269791e9400152a2cce</t>
        </is>
      </c>
      <c r="Q2124" t="inlineStr">
        <is>
          <t>🚫重复</t>
        </is>
      </c>
      <c r="R2124" t="inlineStr">
        <is>
          <t>16周</t>
        </is>
      </c>
      <c r="S2124" t="inlineStr">
        <is>
          <t>3.91</t>
        </is>
      </c>
      <c r="T2124" t="inlineStr">
        <is>
          <t>美食滋补</t>
        </is>
      </c>
      <c r="U2124" t="inlineStr">
        <is>
          <t>营养滋补</t>
        </is>
      </c>
      <c r="V2124" s="3">
        <v>46127.98767361111</v>
      </c>
      <c r="W2124" t="inlineStr">
        <is>
          <t>2026-Q2</t>
        </is>
      </c>
    </row>
    <row r="2125" ht="25.5" customHeight="1">
      <c r="A2125" t="inlineStr">
        <is>
          <t>七分增高鞋垫男女士隐形内增高足弓增高垫</t>
        </is>
      </c>
      <c r="B2125" t="inlineStr">
        <is>
          <t>__upload_recvgSimhWiWxc.jpg</t>
        </is>
      </c>
      <c r="C2125" s="2" t="str">
        <f>=HYPERLINK("https://xhslink.com/m/47RZoo0sHbQ", "https://xhslink.com/m/47RZoo0sHbQ")</f>
        <v>https://xhslink.com/m/47RZoo0sHbQ</v>
      </c>
      <c r="D2125"/>
      <c r="E2125">
        <v>33000</v>
      </c>
      <c r="F2125">
        <v>13.8</v>
      </c>
      <c r="G2125"/>
      <c r="H2125">
        <v>200</v>
      </c>
      <c r="I2125" t="inlineStr">
        <is>
          <t>鞋垫</t>
        </is>
      </c>
      <c r="J2125" t="inlineStr">
        <is>
          <t>0.01</t>
        </is>
      </c>
      <c r="K2125" t="inlineStr">
        <is>
          <t>🔥低粉爆款</t>
        </is>
      </c>
      <c r="L2125" t="inlineStr">
        <is>
          <t>虾米小啾咪的店</t>
        </is>
      </c>
      <c r="M2125">
        <v>217</v>
      </c>
      <c r="N2125">
        <v>4.7</v>
      </c>
      <c r="O2125">
        <v>35000</v>
      </c>
      <c r="P2125" t="inlineStr">
        <is>
          <t>67b8359b7198db0001066e28</t>
        </is>
      </c>
      <c r="Q2125"/>
      <c r="R2125" t="inlineStr">
        <is>
          <t>16周</t>
        </is>
      </c>
      <c r="S2125" t="inlineStr">
        <is>
          <t>152.07</t>
        </is>
      </c>
      <c r="T2125" t="inlineStr">
        <is>
          <t>服饰穿搭</t>
        </is>
      </c>
      <c r="U2125" t="inlineStr">
        <is>
          <t>鞋靴箱包</t>
        </is>
      </c>
      <c r="V2125" s="3">
        <v>46127.98767361111</v>
      </c>
      <c r="W2125" t="inlineStr">
        <is>
          <t>2026-Q2</t>
        </is>
      </c>
    </row>
    <row r="2126" ht="25.5" customHeight="1">
      <c r="A2126" t="inlineStr">
        <is>
          <t>操心多上热下寒易上火，用吴茱萸涌泉贴晚贴早取</t>
        </is>
      </c>
      <c r="B2126" t="inlineStr">
        <is>
          <t>__upload_recvgSimhW0egc.jpg</t>
        </is>
      </c>
      <c r="C2126" s="2" t="str">
        <f>=HYPERLINK("https://xhslink.com/m/AbJW4uKeLo9", "https://xhslink.com/m/AbJW4uKeLo9")</f>
        <v>https://xhslink.com/m/AbJW4uKeLo9</v>
      </c>
      <c r="D2126"/>
      <c r="E2126">
        <v>16000</v>
      </c>
      <c r="F2126">
        <v>58.6</v>
      </c>
      <c r="G2126"/>
      <c r="H2126">
        <v>200</v>
      </c>
      <c r="I2126" t="inlineStr">
        <is>
          <t>上热下寒</t>
        </is>
      </c>
      <c r="J2126" t="inlineStr">
        <is>
          <t>0.01</t>
        </is>
      </c>
      <c r="K2126"/>
      <c r="L2126" t="inlineStr">
        <is>
          <t>艾灸16年的李艾琳的店</t>
        </is>
      </c>
      <c r="M2126">
        <v>321000</v>
      </c>
      <c r="N2126">
        <v>4.69</v>
      </c>
      <c r="O2126">
        <v>52000</v>
      </c>
      <c r="P2126" t="inlineStr">
        <is>
          <t>68249c7d529cff00015f0e6c</t>
        </is>
      </c>
      <c r="Q2126" t="inlineStr">
        <is>
          <t>🚫重复</t>
        </is>
      </c>
      <c r="R2126" t="inlineStr">
        <is>
          <t>16周</t>
        </is>
      </c>
      <c r="S2126" t="inlineStr">
        <is>
          <t>0.05</t>
        </is>
      </c>
      <c r="T2126" t="inlineStr">
        <is>
          <t>美食滋补</t>
        </is>
      </c>
      <c r="U2126" t="inlineStr">
        <is>
          <t>营养滋补</t>
        </is>
      </c>
      <c r="V2126" s="3">
        <v>46127.98767361111</v>
      </c>
      <c r="W2126" t="inlineStr">
        <is>
          <t>2026-Q2</t>
        </is>
      </c>
    </row>
    <row r="2127" ht="25.5" customHeight="1">
      <c r="A2127" t="inlineStr">
        <is>
          <t>100%新疆长绒纯棉夏季冰凉感高支液氨抗皱丝光双面大牌简约U领T恤</t>
        </is>
      </c>
      <c r="B2127" t="inlineStr">
        <is>
          <t>__upload_recvgSimhWL4rp.jpg</t>
        </is>
      </c>
      <c r="C2127" s="2" t="str">
        <f>=HYPERLINK("https://xhslink.com/m/3nRrMPDztNL", "https://xhslink.com/m/3nRrMPDztNL")</f>
        <v>https://xhslink.com/m/3nRrMPDztNL</v>
      </c>
      <c r="D2127"/>
      <c r="E2127">
        <v>11000</v>
      </c>
      <c r="F2127">
        <v>178</v>
      </c>
      <c r="G2127">
        <v>89</v>
      </c>
      <c r="H2127">
        <v>200</v>
      </c>
      <c r="I2127" t="inlineStr">
        <is>
          <t>短袖</t>
        </is>
      </c>
      <c r="J2127" t="inlineStr">
        <is>
          <t>0.02</t>
        </is>
      </c>
      <c r="K2127"/>
      <c r="L2127" t="inlineStr">
        <is>
          <t>一只只是我的店</t>
        </is>
      </c>
      <c r="M2127">
        <v>17000</v>
      </c>
      <c r="N2127">
        <v>4.69</v>
      </c>
      <c r="O2127">
        <v>122000</v>
      </c>
      <c r="P2127" t="inlineStr">
        <is>
          <t>67e57e72d253000001ead77b</t>
        </is>
      </c>
      <c r="Q2127" t="inlineStr">
        <is>
          <t>🚫重复</t>
        </is>
      </c>
      <c r="R2127" t="inlineStr">
        <is>
          <t>16周</t>
        </is>
      </c>
      <c r="S2127" t="inlineStr">
        <is>
          <t>0.65</t>
        </is>
      </c>
      <c r="T2127" t="inlineStr">
        <is>
          <t>服饰穿搭</t>
        </is>
      </c>
      <c r="U2127" t="inlineStr">
        <is>
          <t>女装</t>
        </is>
      </c>
      <c r="V2127" s="3">
        <v>46127.98767361111</v>
      </c>
      <c r="W2127" t="inlineStr">
        <is>
          <t>2026-Q2</t>
        </is>
      </c>
    </row>
    <row r="2128" ht="25.5" customHeight="1">
      <c r="A2128" t="inlineStr">
        <is>
          <t>春夏宽松慵懒感V领正肩长短袖t恤打底大码显瘦单穿内搭</t>
        </is>
      </c>
      <c r="B2128" t="inlineStr">
        <is>
          <t>__upload_recvgSimhWHVxX.jpg</t>
        </is>
      </c>
      <c r="C2128" s="2" t="str">
        <f>=HYPERLINK("https://xhslink.com/m/6wjNgkR7ahS", "https://xhslink.com/m/6wjNgkR7ahS")</f>
        <v>https://xhslink.com/m/6wjNgkR7ahS</v>
      </c>
      <c r="D2128"/>
      <c r="E2128">
        <v>70000</v>
      </c>
      <c r="F2128">
        <v>69.9</v>
      </c>
      <c r="G2128">
        <v>39.9</v>
      </c>
      <c r="H2128">
        <v>200</v>
      </c>
      <c r="I2128" t="inlineStr">
        <is>
          <t>短袖</t>
        </is>
      </c>
      <c r="J2128" t="inlineStr">
        <is>
          <t>0.00</t>
        </is>
      </c>
      <c r="K2128"/>
      <c r="L2128" t="inlineStr">
        <is>
          <t>半甜吐司的店</t>
        </is>
      </c>
      <c r="M2128">
        <v>28000</v>
      </c>
      <c r="N2128">
        <v>4.52</v>
      </c>
      <c r="O2128">
        <v>522000</v>
      </c>
      <c r="P2128" t="inlineStr">
        <is>
          <t>666d29ccd7177900011fcb88</t>
        </is>
      </c>
      <c r="Q2128" t="inlineStr">
        <is>
          <t>🚫重复</t>
        </is>
      </c>
      <c r="R2128" t="inlineStr">
        <is>
          <t>16周</t>
        </is>
      </c>
      <c r="S2128" t="inlineStr">
        <is>
          <t>2.50</t>
        </is>
      </c>
      <c r="T2128" t="inlineStr">
        <is>
          <t>服饰穿搭</t>
        </is>
      </c>
      <c r="U2128" t="inlineStr">
        <is>
          <t>女装</t>
        </is>
      </c>
      <c r="V2128" s="3">
        <v>46127.98767361111</v>
      </c>
      <c r="W2128" t="inlineStr">
        <is>
          <t>2026-Q2</t>
        </is>
      </c>
    </row>
    <row r="2129" ht="25.5" customHeight="1">
      <c r="A2129" t="inlineStr">
        <is>
          <t>2026年春夏新款韩版滑板小狗圆领短袖正肩T恤宽松打底上衣女</t>
        </is>
      </c>
      <c r="B2129" t="inlineStr">
        <is>
          <t>__upload_recvgSimhWlAr0.jpg</t>
        </is>
      </c>
      <c r="C2129" s="2" t="str">
        <f>=HYPERLINK("https://xhslink.com/m/636Cw0X1rxJ", "https://xhslink.com/m/636Cw0X1rxJ")</f>
        <v>https://xhslink.com/m/636Cw0X1rxJ</v>
      </c>
      <c r="D2129"/>
      <c r="E2129">
        <v>3753</v>
      </c>
      <c r="F2129">
        <v>38.9</v>
      </c>
      <c r="G2129"/>
      <c r="H2129">
        <v>200</v>
      </c>
      <c r="I2129" t="inlineStr">
        <is>
          <t>短袖</t>
        </is>
      </c>
      <c r="J2129" t="inlineStr">
        <is>
          <t>0.05</t>
        </is>
      </c>
      <c r="K2129"/>
      <c r="L2129" t="inlineStr">
        <is>
          <t>拾壹 工作室的店</t>
        </is>
      </c>
      <c r="M2129">
        <v>34000</v>
      </c>
      <c r="N2129">
        <v>4.62</v>
      </c>
      <c r="O2129">
        <v>86000</v>
      </c>
      <c r="P2129" t="inlineStr">
        <is>
          <t>694de6ffb2492100018f502f</t>
        </is>
      </c>
      <c r="Q2129" t="inlineStr">
        <is>
          <t>🚫重复</t>
        </is>
      </c>
      <c r="R2129" t="inlineStr">
        <is>
          <t>16周</t>
        </is>
      </c>
      <c r="S2129" t="inlineStr">
        <is>
          <t>0.11</t>
        </is>
      </c>
      <c r="T2129" t="inlineStr">
        <is>
          <t>服饰穿搭</t>
        </is>
      </c>
      <c r="U2129" t="inlineStr">
        <is>
          <t>女装</t>
        </is>
      </c>
      <c r="V2129" s="3">
        <v>46127.98767361111</v>
      </c>
      <c r="W2129" t="inlineStr">
        <is>
          <t>2026-Q2</t>
        </is>
      </c>
    </row>
    <row r="2130" ht="25.5" customHeight="1">
      <c r="A2130" t="inlineStr">
        <is>
          <t>2026新款百搭显白印花正肩t恤女短袖胖mm大码显瘦遮肉圆领上衣夏</t>
        </is>
      </c>
      <c r="B2130" t="inlineStr">
        <is>
          <t>__upload_recvgSimhW2YoV.jpg</t>
        </is>
      </c>
      <c r="C2130" s="2" t="str">
        <f>=HYPERLINK("https://xhslink.com/m/5oOkgdH4TtR", "https://xhslink.com/m/5oOkgdH4TtR")</f>
        <v>https://xhslink.com/m/5oOkgdH4TtR</v>
      </c>
      <c r="D2130"/>
      <c r="E2130">
        <v>1148</v>
      </c>
      <c r="F2130">
        <v>39.9</v>
      </c>
      <c r="G2130">
        <v>29.9</v>
      </c>
      <c r="H2130">
        <v>200</v>
      </c>
      <c r="I2130" t="inlineStr">
        <is>
          <t>短袖</t>
        </is>
      </c>
      <c r="J2130" t="inlineStr">
        <is>
          <t>0.17</t>
        </is>
      </c>
      <c r="K2130"/>
      <c r="L2130" t="inlineStr">
        <is>
          <t>葵秋潮牌的店</t>
        </is>
      </c>
      <c r="M2130">
        <v>54000</v>
      </c>
      <c r="N2130">
        <v>4.64</v>
      </c>
      <c r="O2130">
        <v>420000</v>
      </c>
      <c r="P2130" t="inlineStr">
        <is>
          <t>69bd540b7c9c8f000103cdd6</t>
        </is>
      </c>
      <c r="Q2130" t="inlineStr">
        <is>
          <t>🚫重复</t>
        </is>
      </c>
      <c r="R2130" t="inlineStr">
        <is>
          <t>16周</t>
        </is>
      </c>
      <c r="S2130" t="inlineStr">
        <is>
          <t>0.02</t>
        </is>
      </c>
      <c r="T2130" t="inlineStr">
        <is>
          <t>服饰穿搭</t>
        </is>
      </c>
      <c r="U2130" t="inlineStr">
        <is>
          <t>女装</t>
        </is>
      </c>
      <c r="V2130" s="3">
        <v>46127.98767361111</v>
      </c>
      <c r="W2130" t="inlineStr">
        <is>
          <t>2026-Q2</t>
        </is>
      </c>
    </row>
    <row r="2131" ht="25.5" customHeight="1">
      <c r="A2131" t="inlineStr">
        <is>
          <t>麻仁 · 100%纯棉美式连笔星星灰色短袖t恤女2026原创夏季宽松重磅ins上衣</t>
        </is>
      </c>
      <c r="B2131" t="inlineStr">
        <is>
          <t>__upload_recvgSimhWEwue.jpg</t>
        </is>
      </c>
      <c r="C2131" s="2" t="str">
        <f>=HYPERLINK("https://xhslink.com/m/893g6vV0LmA", "https://xhslink.com/m/893g6vV0LmA")</f>
        <v>https://xhslink.com/m/893g6vV0LmA</v>
      </c>
      <c r="D2131"/>
      <c r="E2131">
        <v>5270</v>
      </c>
      <c r="F2131">
        <v>39.8</v>
      </c>
      <c r="G2131">
        <v>37.8</v>
      </c>
      <c r="H2131">
        <v>200</v>
      </c>
      <c r="I2131" t="inlineStr">
        <is>
          <t>短袖</t>
        </is>
      </c>
      <c r="J2131" t="inlineStr">
        <is>
          <t>0.04</t>
        </is>
      </c>
      <c r="K2131"/>
      <c r="L2131" t="inlineStr">
        <is>
          <t>麻仁旗舰店</t>
        </is>
      </c>
      <c r="M2131">
        <v>27000</v>
      </c>
      <c r="N2131">
        <v>4.67</v>
      </c>
      <c r="O2131">
        <v>218000</v>
      </c>
      <c r="P2131" t="inlineStr">
        <is>
          <t>699151021dbf920001a46dea</t>
        </is>
      </c>
      <c r="Q2131" t="inlineStr">
        <is>
          <t>🚫重复</t>
        </is>
      </c>
      <c r="R2131" t="inlineStr">
        <is>
          <t>16周</t>
        </is>
      </c>
      <c r="S2131" t="inlineStr">
        <is>
          <t>0.20</t>
        </is>
      </c>
      <c r="T2131" t="inlineStr">
        <is>
          <t>服饰穿搭</t>
        </is>
      </c>
      <c r="U2131" t="inlineStr">
        <is>
          <t>女装</t>
        </is>
      </c>
      <c r="V2131" s="3">
        <v>46127.98767361111</v>
      </c>
      <c r="W2131" t="inlineStr">
        <is>
          <t>2026-Q2</t>
        </is>
      </c>
    </row>
    <row r="2132" ht="25.5" customHeight="1">
      <c r="A2132" t="inlineStr">
        <is>
          <t>Brandy BM新款甜美粉色亚麻泡泡袖短袖上衣女bm百搭显瘦减龄T恤夏</t>
        </is>
      </c>
      <c r="B2132" t="inlineStr">
        <is>
          <t>__upload_recvgSimhWD8EI.jpg</t>
        </is>
      </c>
      <c r="C2132" s="2" t="str">
        <f>=HYPERLINK("https://xhslink.com/m/1marjp1SZLB", "https://xhslink.com/m/1marjp1SZLB")</f>
        <v>https://xhslink.com/m/1marjp1SZLB</v>
      </c>
      <c r="D2132"/>
      <c r="E2132">
        <v>5760</v>
      </c>
      <c r="F2132">
        <v>65</v>
      </c>
      <c r="G2132"/>
      <c r="H2132">
        <v>200</v>
      </c>
      <c r="I2132" t="inlineStr">
        <is>
          <t>短袖</t>
        </is>
      </c>
      <c r="J2132" t="inlineStr">
        <is>
          <t>0.03</t>
        </is>
      </c>
      <c r="K2132"/>
      <c r="L2132" t="inlineStr">
        <is>
          <t>浅浅家的BM的店</t>
        </is>
      </c>
      <c r="M2132">
        <v>52000</v>
      </c>
      <c r="N2132">
        <v>4.69</v>
      </c>
      <c r="O2132">
        <v>178000</v>
      </c>
      <c r="P2132" t="inlineStr">
        <is>
          <t>66a07ece5cf22c0001d4469f</t>
        </is>
      </c>
      <c r="Q2132" t="inlineStr">
        <is>
          <t>🚫重复</t>
        </is>
      </c>
      <c r="R2132" t="inlineStr">
        <is>
          <t>16周</t>
        </is>
      </c>
      <c r="S2132" t="inlineStr">
        <is>
          <t>0.11</t>
        </is>
      </c>
      <c r="T2132" t="inlineStr">
        <is>
          <t>服饰穿搭</t>
        </is>
      </c>
      <c r="U2132" t="inlineStr">
        <is>
          <t>女装</t>
        </is>
      </c>
      <c r="V2132" s="3">
        <v>46127.98767361111</v>
      </c>
      <c r="W2132" t="inlineStr">
        <is>
          <t>2026-Q2</t>
        </is>
      </c>
    </row>
    <row r="2133" ht="25.5" customHeight="1">
      <c r="A2133" t="inlineStr">
        <is>
          <t>显瘦纯色正肩短袖T恤女夏休闲百搭修身上衣</t>
        </is>
      </c>
      <c r="B2133" t="inlineStr">
        <is>
          <t>__upload_recvgSimhWr4DO.jpg</t>
        </is>
      </c>
      <c r="C2133" s="2" t="str">
        <f>=HYPERLINK("https://xhslink.com/m/5Jk774QqNK3", "https://xhslink.com/m/5Jk774QqNK3")</f>
        <v>https://xhslink.com/m/5Jk774QqNK3</v>
      </c>
      <c r="D2133"/>
      <c r="E2133">
        <v>109000</v>
      </c>
      <c r="F2133">
        <v>29.9</v>
      </c>
      <c r="G2133"/>
      <c r="H2133">
        <v>200</v>
      </c>
      <c r="I2133" t="inlineStr">
        <is>
          <t>短袖</t>
        </is>
      </c>
      <c r="J2133" t="inlineStr">
        <is>
          <t>0.00</t>
        </is>
      </c>
      <c r="K2133" t="inlineStr">
        <is>
          <t>🔥低粉爆款</t>
        </is>
      </c>
      <c r="L2133" t="inlineStr">
        <is>
          <t>野GUGU女装服饰的店</t>
        </is>
      </c>
      <c r="M2133">
        <v>8249</v>
      </c>
      <c r="N2133">
        <v>4.61</v>
      </c>
      <c r="O2133">
        <v>128000</v>
      </c>
      <c r="P2133" t="inlineStr">
        <is>
          <t>65e0454db3f28d000103e161</t>
        </is>
      </c>
      <c r="Q2133" t="inlineStr">
        <is>
          <t>🚫重复</t>
        </is>
      </c>
      <c r="R2133" t="inlineStr">
        <is>
          <t>16周</t>
        </is>
      </c>
      <c r="S2133" t="inlineStr">
        <is>
          <t>13.21</t>
        </is>
      </c>
      <c r="T2133" t="inlineStr">
        <is>
          <t>服饰穿搭</t>
        </is>
      </c>
      <c r="U2133" t="inlineStr">
        <is>
          <t>女装</t>
        </is>
      </c>
      <c r="V2133" s="3">
        <v>46127.98767361111</v>
      </c>
      <c r="W2133" t="inlineStr">
        <is>
          <t>2026-Q2</t>
        </is>
      </c>
    </row>
    <row r="2134" ht="25.5" customHeight="1">
      <c r="A2134" t="inlineStr">
        <is>
          <t>「慕斯棉9色短袖T」韩系！简约纯色显瘦女士短袖T恤</t>
        </is>
      </c>
      <c r="B2134" t="inlineStr">
        <is>
          <t>__upload_recvgSimhWcj4P.jpg</t>
        </is>
      </c>
      <c r="C2134" s="2" t="str">
        <f>=HYPERLINK("https://xhslink.com/m/Aa9iT1FEfeq", "https://xhslink.com/m/Aa9iT1FEfeq")</f>
        <v>https://xhslink.com/m/Aa9iT1FEfeq</v>
      </c>
      <c r="D2134"/>
      <c r="E2134">
        <v>15000</v>
      </c>
      <c r="F2134">
        <v>49.9</v>
      </c>
      <c r="G2134">
        <v>29.9</v>
      </c>
      <c r="H2134">
        <v>200</v>
      </c>
      <c r="I2134" t="inlineStr">
        <is>
          <t>短袖</t>
        </is>
      </c>
      <c r="J2134" t="inlineStr">
        <is>
          <t>0.01</t>
        </is>
      </c>
      <c r="K2134" t="inlineStr">
        <is>
          <t>🔥低粉爆款</t>
        </is>
      </c>
      <c r="L2134" t="inlineStr">
        <is>
          <t>有有studio三号店的店</t>
        </is>
      </c>
      <c r="M2134">
        <v>187</v>
      </c>
      <c r="N2134">
        <v>4.69</v>
      </c>
      <c r="O2134">
        <v>107000</v>
      </c>
      <c r="P2134" t="inlineStr">
        <is>
          <t>69b8fd200775cd0015a846bf</t>
        </is>
      </c>
      <c r="Q2134" t="inlineStr">
        <is>
          <t>🚫重复</t>
        </is>
      </c>
      <c r="R2134" t="inlineStr">
        <is>
          <t>16周</t>
        </is>
      </c>
      <c r="S2134" t="inlineStr">
        <is>
          <t>80.21</t>
        </is>
      </c>
      <c r="T2134" t="inlineStr">
        <is>
          <t>服饰穿搭</t>
        </is>
      </c>
      <c r="U2134" t="inlineStr">
        <is>
          <t>女装</t>
        </is>
      </c>
      <c r="V2134" s="3">
        <v>46127.98767361111</v>
      </c>
      <c r="W2134" t="inlineStr">
        <is>
          <t>2026-Q2</t>
        </is>
      </c>
    </row>
    <row r="2135" ht="25.5" customHeight="1">
      <c r="A2135" t="inlineStr">
        <is>
          <t>现货！镂空亮片亚麻短袖</t>
        </is>
      </c>
      <c r="B2135" t="inlineStr">
        <is>
          <t>__upload_recvgSimhWKup7.jpg</t>
        </is>
      </c>
      <c r="C2135" s="2" t="str">
        <f>=HYPERLINK("https://xhslink.com/m/7rrRFp7rzD", "https://xhslink.com/m/7rrRFp7rzD")</f>
        <v>https://xhslink.com/m/7rrRFp7rzD</v>
      </c>
      <c r="D2135"/>
      <c r="E2135">
        <v>1625</v>
      </c>
      <c r="F2135">
        <v>398</v>
      </c>
      <c r="G2135"/>
      <c r="H2135">
        <v>200</v>
      </c>
      <c r="I2135" t="inlineStr">
        <is>
          <t>短袖</t>
        </is>
      </c>
      <c r="J2135" t="inlineStr">
        <is>
          <t>0.12</t>
        </is>
      </c>
      <c r="K2135"/>
      <c r="L2135" t="inlineStr">
        <is>
          <t>高坂大叔的店</t>
        </is>
      </c>
      <c r="M2135">
        <v>116000</v>
      </c>
      <c r="N2135">
        <v>4.76</v>
      </c>
      <c r="O2135">
        <v>470000</v>
      </c>
      <c r="P2135" t="inlineStr">
        <is>
          <t>69c149d5180bf400016a8475</t>
        </is>
      </c>
      <c r="Q2135" t="inlineStr">
        <is>
          <t>🚫重复</t>
        </is>
      </c>
      <c r="R2135" t="inlineStr">
        <is>
          <t>16周</t>
        </is>
      </c>
      <c r="S2135" t="inlineStr">
        <is>
          <t>0.01</t>
        </is>
      </c>
      <c r="T2135" t="inlineStr">
        <is>
          <t>服饰穿搭</t>
        </is>
      </c>
      <c r="U2135" t="inlineStr">
        <is>
          <t>女装</t>
        </is>
      </c>
      <c r="V2135" s="3">
        <v>46127.98767361111</v>
      </c>
      <c r="W2135" t="inlineStr">
        <is>
          <t>2026-Q2</t>
        </is>
      </c>
    </row>
    <row r="2136" ht="25.5" customHeight="1">
      <c r="A2136" t="inlineStr">
        <is>
          <t>Brandy BM新款美式三粒扣粉色条纹长袖T恤bm修身显瘦百搭上衣女</t>
        </is>
      </c>
      <c r="B2136" t="inlineStr">
        <is>
          <t>__upload_recvgSimhWNlLK.jpg</t>
        </is>
      </c>
      <c r="C2136" s="2" t="str">
        <f>=HYPERLINK("https://xhslink.com/m/7PWYuTC3CZs", "https://xhslink.com/m/7PWYuTC3CZs")</f>
        <v>https://xhslink.com/m/7PWYuTC3CZs</v>
      </c>
      <c r="D2136"/>
      <c r="E2136">
        <v>1884</v>
      </c>
      <c r="F2136">
        <v>59</v>
      </c>
      <c r="G2136"/>
      <c r="H2136">
        <v>200</v>
      </c>
      <c r="I2136" t="inlineStr">
        <is>
          <t>短袖</t>
        </is>
      </c>
      <c r="J2136" t="inlineStr">
        <is>
          <t>0.11</t>
        </is>
      </c>
      <c r="K2136"/>
      <c r="L2136" t="inlineStr">
        <is>
          <t>浅浅家的BM的店</t>
        </is>
      </c>
      <c r="M2136">
        <v>52000</v>
      </c>
      <c r="N2136">
        <v>4.69</v>
      </c>
      <c r="O2136">
        <v>178000</v>
      </c>
      <c r="P2136" t="inlineStr">
        <is>
          <t>67dd0b8921ffb300012beba6</t>
        </is>
      </c>
      <c r="Q2136" t="inlineStr">
        <is>
          <t>🚫重复</t>
        </is>
      </c>
      <c r="R2136" t="inlineStr">
        <is>
          <t>16周</t>
        </is>
      </c>
      <c r="S2136" t="inlineStr">
        <is>
          <t>0.04</t>
        </is>
      </c>
      <c r="T2136" t="inlineStr">
        <is>
          <t>服饰穿搭</t>
        </is>
      </c>
      <c r="U2136" t="inlineStr">
        <is>
          <t>女装</t>
        </is>
      </c>
      <c r="V2136" s="3">
        <v>46127.98767361111</v>
      </c>
      <c r="W2136" t="inlineStr">
        <is>
          <t>2026-Q2</t>
        </is>
      </c>
    </row>
    <row r="2137" ht="25.5" customHeight="1">
      <c r="A2137" t="inlineStr">
        <is>
          <t>【海滩少女】网眼设计！设计感韩系上衣女T恤短款亚萌日杂</t>
        </is>
      </c>
      <c r="B2137" t="inlineStr">
        <is>
          <t>__upload_recvgSimhWLpQY.jpg</t>
        </is>
      </c>
      <c r="C2137" s="2" t="str">
        <f>=HYPERLINK("https://xhslink.com/m/mohl7t866T", "https://xhslink.com/m/mohl7t866T")</f>
        <v>https://xhslink.com/m/mohl7t866T</v>
      </c>
      <c r="D2137"/>
      <c r="E2137">
        <v>1221</v>
      </c>
      <c r="F2137">
        <v>29.99</v>
      </c>
      <c r="G2137"/>
      <c r="H2137">
        <v>200</v>
      </c>
      <c r="I2137" t="inlineStr">
        <is>
          <t>短袖</t>
        </is>
      </c>
      <c r="J2137" t="inlineStr">
        <is>
          <t>0.16</t>
        </is>
      </c>
      <c r="K2137"/>
      <c r="L2137" t="inlineStr">
        <is>
          <t>A Small点的店</t>
        </is>
      </c>
      <c r="M2137">
        <v>41000</v>
      </c>
      <c r="N2137">
        <v>4.4</v>
      </c>
      <c r="O2137">
        <v>43000</v>
      </c>
      <c r="P2137" t="inlineStr">
        <is>
          <t>69ac3a3507adea00017e9d04</t>
        </is>
      </c>
      <c r="Q2137" t="inlineStr">
        <is>
          <t>🚫重复</t>
        </is>
      </c>
      <c r="R2137" t="inlineStr">
        <is>
          <t>16周</t>
        </is>
      </c>
      <c r="S2137" t="inlineStr">
        <is>
          <t>0.03</t>
        </is>
      </c>
      <c r="T2137" t="inlineStr">
        <is>
          <t>服饰穿搭</t>
        </is>
      </c>
      <c r="U2137" t="inlineStr">
        <is>
          <t>女装</t>
        </is>
      </c>
      <c r="V2137" s="3">
        <v>46127.98767361111</v>
      </c>
      <c r="W2137" t="inlineStr">
        <is>
          <t>2026-Q2</t>
        </is>
      </c>
    </row>
    <row r="2138" ht="25.5" customHeight="1">
      <c r="A2138" t="inlineStr">
        <is>
          <t>米尼尼 韩系辣妹高级感V领修身短袖T恤</t>
        </is>
      </c>
      <c r="B2138" t="inlineStr">
        <is>
          <t>__upload_recvgSimhWsPP5.jpg</t>
        </is>
      </c>
      <c r="C2138" s="2" t="str">
        <f>=HYPERLINK("https://xhslink.com/m/ATWedMtsbGl", "https://xhslink.com/m/ATWedMtsbGl")</f>
        <v>https://xhslink.com/m/ATWedMtsbGl</v>
      </c>
      <c r="D2138"/>
      <c r="E2138">
        <v>57000</v>
      </c>
      <c r="F2138">
        <v>55.9</v>
      </c>
      <c r="G2138">
        <v>45.9</v>
      </c>
      <c r="H2138">
        <v>200</v>
      </c>
      <c r="I2138" t="inlineStr">
        <is>
          <t>短袖</t>
        </is>
      </c>
      <c r="J2138" t="inlineStr">
        <is>
          <t>0.00</t>
        </is>
      </c>
      <c r="K2138"/>
      <c r="L2138" t="inlineStr">
        <is>
          <t>米尼尼studio的店</t>
        </is>
      </c>
      <c r="M2138">
        <v>500000</v>
      </c>
      <c r="N2138">
        <v>4.53</v>
      </c>
      <c r="O2138">
        <v>638000</v>
      </c>
      <c r="P2138" t="inlineStr">
        <is>
          <t>680240071374670001bc5c27</t>
        </is>
      </c>
      <c r="Q2138" t="inlineStr">
        <is>
          <t>🚫重复</t>
        </is>
      </c>
      <c r="R2138" t="inlineStr">
        <is>
          <t>16周</t>
        </is>
      </c>
      <c r="S2138" t="inlineStr">
        <is>
          <t>0.11</t>
        </is>
      </c>
      <c r="T2138" t="inlineStr">
        <is>
          <t>服饰穿搭</t>
        </is>
      </c>
      <c r="U2138" t="inlineStr">
        <is>
          <t>女装</t>
        </is>
      </c>
      <c r="V2138" s="3">
        <v>46127.98767361111</v>
      </c>
      <c r="W2138" t="inlineStr">
        <is>
          <t>2026-Q2</t>
        </is>
      </c>
    </row>
    <row r="2139" ht="25.5" customHeight="1">
      <c r="A2139" t="inlineStr">
        <is>
          <t>米尼尼 辣妹风V领中袖T恤女新款显瘦修身百搭上衣舒适正肩打底衫</t>
        </is>
      </c>
      <c r="B2139" t="inlineStr">
        <is>
          <t>__upload_recvgSimhW0TMi.jpg</t>
        </is>
      </c>
      <c r="C2139" s="2" t="str">
        <f>=HYPERLINK("https://xhslink.com/m/870Obh2XL4i", "https://xhslink.com/m/870Obh2XL4i")</f>
        <v>https://xhslink.com/m/870Obh2XL4i</v>
      </c>
      <c r="D2139"/>
      <c r="E2139">
        <v>16000</v>
      </c>
      <c r="F2139">
        <v>55.9</v>
      </c>
      <c r="G2139">
        <v>45.9</v>
      </c>
      <c r="H2139">
        <v>200</v>
      </c>
      <c r="I2139" t="inlineStr">
        <is>
          <t>短袖</t>
        </is>
      </c>
      <c r="J2139" t="inlineStr">
        <is>
          <t>0.01</t>
        </is>
      </c>
      <c r="K2139"/>
      <c r="L2139" t="inlineStr">
        <is>
          <t>米尼尼studio的店</t>
        </is>
      </c>
      <c r="M2139">
        <v>500000</v>
      </c>
      <c r="N2139">
        <v>4.53</v>
      </c>
      <c r="O2139">
        <v>638000</v>
      </c>
      <c r="P2139" t="inlineStr">
        <is>
          <t>68a5b7ff6f3f720001f524e1</t>
        </is>
      </c>
      <c r="Q2139" t="inlineStr">
        <is>
          <t>🚫重复</t>
        </is>
      </c>
      <c r="R2139" t="inlineStr">
        <is>
          <t>16周</t>
        </is>
      </c>
      <c r="S2139" t="inlineStr">
        <is>
          <t>0.03</t>
        </is>
      </c>
      <c r="T2139" t="inlineStr">
        <is>
          <t>服饰穿搭</t>
        </is>
      </c>
      <c r="U2139" t="inlineStr">
        <is>
          <t>女装</t>
        </is>
      </c>
      <c r="V2139" s="3">
        <v>46127.98767361111</v>
      </c>
      <c r="W2139" t="inlineStr">
        <is>
          <t>2026-Q2</t>
        </is>
      </c>
    </row>
    <row r="2140" ht="25.5" customHeight="1">
      <c r="A2140" t="inlineStr">
        <is>
          <t>超弹巨好穿百搭极简T恤 百搭上衣 女</t>
        </is>
      </c>
      <c r="B2140" t="inlineStr">
        <is>
          <t>__upload_recvgSimhWMs53.jpg</t>
        </is>
      </c>
      <c r="C2140" s="2" t="str">
        <f>=HYPERLINK("https://xhslink.com/m/A9dfFXicHJS", "https://xhslink.com/m/A9dfFXicHJS")</f>
        <v>https://xhslink.com/m/A9dfFXicHJS</v>
      </c>
      <c r="D2140"/>
      <c r="E2140">
        <v>10000</v>
      </c>
      <c r="F2140">
        <v>299</v>
      </c>
      <c r="G2140">
        <v>199</v>
      </c>
      <c r="H2140">
        <v>200</v>
      </c>
      <c r="I2140" t="inlineStr">
        <is>
          <t>短袖</t>
        </is>
      </c>
      <c r="J2140" t="inlineStr">
        <is>
          <t>0.02</t>
        </is>
      </c>
      <c r="K2140"/>
      <c r="L2140" t="inlineStr">
        <is>
          <t>姝瑶的店</t>
        </is>
      </c>
      <c r="M2140">
        <v>34000</v>
      </c>
      <c r="N2140">
        <v>4.72</v>
      </c>
      <c r="O2140">
        <v>37000</v>
      </c>
      <c r="P2140" t="inlineStr">
        <is>
          <t>69bbd50aa20c210001602a6d</t>
        </is>
      </c>
      <c r="Q2140" t="inlineStr">
        <is>
          <t>🚫重复</t>
        </is>
      </c>
      <c r="R2140" t="inlineStr">
        <is>
          <t>16周</t>
        </is>
      </c>
      <c r="S2140" t="inlineStr">
        <is>
          <t>0.29</t>
        </is>
      </c>
      <c r="T2140" t="inlineStr">
        <is>
          <t>服饰穿搭</t>
        </is>
      </c>
      <c r="U2140" t="inlineStr">
        <is>
          <t>女装</t>
        </is>
      </c>
      <c r="V2140" s="3">
        <v>46127.98767361111</v>
      </c>
      <c r="W2140" t="inlineStr">
        <is>
          <t>2026-Q2</t>
        </is>
      </c>
    </row>
    <row r="2141" ht="25.5" customHeight="1">
      <c r="A2141" t="inlineStr">
        <is>
          <t>云朵感柔软舒适宽松基础款长袖T恤</t>
        </is>
      </c>
      <c r="B2141" t="inlineStr">
        <is>
          <t>__upload_recvgSimhWxJYZ.jpg</t>
        </is>
      </c>
      <c r="C2141" s="2" t="str">
        <f>=HYPERLINK("https://xhslink.com/m/A3QEHkswNVY", "https://xhslink.com/m/A3QEHkswNVY")</f>
        <v>https://xhslink.com/m/A3QEHkswNVY</v>
      </c>
      <c r="D2141"/>
      <c r="E2141">
        <v>40000</v>
      </c>
      <c r="F2141">
        <v>138</v>
      </c>
      <c r="G2141">
        <v>79</v>
      </c>
      <c r="H2141">
        <v>200</v>
      </c>
      <c r="I2141" t="inlineStr">
        <is>
          <t>短袖</t>
        </is>
      </c>
      <c r="J2141" t="inlineStr">
        <is>
          <t>0.01</t>
        </is>
      </c>
      <c r="K2141"/>
      <c r="L2141" t="inlineStr">
        <is>
          <t>一只只是我的店</t>
        </is>
      </c>
      <c r="M2141">
        <v>17000</v>
      </c>
      <c r="N2141">
        <v>4.69</v>
      </c>
      <c r="O2141">
        <v>122000</v>
      </c>
      <c r="P2141" t="inlineStr">
        <is>
          <t>68ca739de8b4ad00016a2f31</t>
        </is>
      </c>
      <c r="Q2141" t="inlineStr">
        <is>
          <t>🚫重复</t>
        </is>
      </c>
      <c r="R2141" t="inlineStr">
        <is>
          <t>16周</t>
        </is>
      </c>
      <c r="S2141" t="inlineStr">
        <is>
          <t>2.35</t>
        </is>
      </c>
      <c r="T2141" t="inlineStr">
        <is>
          <t>服饰穿搭</t>
        </is>
      </c>
      <c r="U2141" t="inlineStr">
        <is>
          <t>女装</t>
        </is>
      </c>
      <c r="V2141" s="3">
        <v>46127.98767361111</v>
      </c>
      <c r="W2141" t="inlineStr">
        <is>
          <t>2026-Q2</t>
        </is>
      </c>
    </row>
    <row r="2142" ht="25.5" customHeight="1">
      <c r="A2142" t="inlineStr">
        <is>
          <t>HULIUMI// silk娇娇女友_口碑天丝 优雅荡领小飞袖上衣</t>
        </is>
      </c>
      <c r="B2142" t="inlineStr">
        <is>
          <t>__upload_recvgSimhWQfnA.jpg</t>
        </is>
      </c>
      <c r="C2142" s="2" t="str">
        <f>=HYPERLINK("https://xhslink.com/m/7uoW30pmYRx", "https://xhslink.com/m/7uoW30pmYRx")</f>
        <v>https://xhslink.com/m/7uoW30pmYRx</v>
      </c>
      <c r="D2142"/>
      <c r="E2142">
        <v>3786</v>
      </c>
      <c r="F2142">
        <v>119</v>
      </c>
      <c r="G2142">
        <v>99</v>
      </c>
      <c r="H2142">
        <v>200</v>
      </c>
      <c r="I2142" t="inlineStr">
        <is>
          <t>短袖</t>
        </is>
      </c>
      <c r="J2142" t="inlineStr">
        <is>
          <t>0.05</t>
        </is>
      </c>
      <c r="K2142"/>
      <c r="L2142" t="inlineStr">
        <is>
          <t>HULIUMI胡66主理人的店</t>
        </is>
      </c>
      <c r="M2142">
        <v>141000</v>
      </c>
      <c r="N2142">
        <v>4.63</v>
      </c>
      <c r="O2142">
        <v>108000</v>
      </c>
      <c r="P2142" t="inlineStr">
        <is>
          <t>68248d3d72821700013960f5</t>
        </is>
      </c>
      <c r="Q2142"/>
      <c r="R2142" t="inlineStr">
        <is>
          <t>16周</t>
        </is>
      </c>
      <c r="S2142" t="inlineStr">
        <is>
          <t>0.03</t>
        </is>
      </c>
      <c r="T2142" t="inlineStr">
        <is>
          <t>服饰穿搭</t>
        </is>
      </c>
      <c r="U2142" t="inlineStr">
        <is>
          <t>女装</t>
        </is>
      </c>
      <c r="V2142" s="3">
        <v>46127.98767361111</v>
      </c>
      <c r="W2142" t="inlineStr">
        <is>
          <t>2026-Q2</t>
        </is>
      </c>
    </row>
    <row r="2143" ht="25.5" customHeight="1">
      <c r="A2143" t="inlineStr">
        <is>
          <t>【极简羊毛】一字领半袖/长袖针织上衣 气质高级简约</t>
        </is>
      </c>
      <c r="B2143" t="inlineStr">
        <is>
          <t>__upload_recvgSimhWkk8q.jpg</t>
        </is>
      </c>
      <c r="C2143" s="2" t="str">
        <f>=HYPERLINK("https://xhslink.com/m/4zHukem0w9o", "https://xhslink.com/m/4zHukem0w9o")</f>
        <v>https://xhslink.com/m/4zHukem0w9o</v>
      </c>
      <c r="D2143"/>
      <c r="E2143">
        <v>15000</v>
      </c>
      <c r="F2143">
        <v>109</v>
      </c>
      <c r="G2143">
        <v>89.9</v>
      </c>
      <c r="H2143">
        <v>200</v>
      </c>
      <c r="I2143" t="inlineStr">
        <is>
          <t>短袖</t>
        </is>
      </c>
      <c r="J2143" t="inlineStr">
        <is>
          <t>0.01</t>
        </is>
      </c>
      <c r="K2143"/>
      <c r="L2143" t="inlineStr">
        <is>
          <t>珍珠白白的店</t>
        </is>
      </c>
      <c r="M2143">
        <v>28000</v>
      </c>
      <c r="N2143">
        <v>4.65</v>
      </c>
      <c r="O2143">
        <v>122000</v>
      </c>
      <c r="P2143" t="inlineStr">
        <is>
          <t>68aed5c3ec7fed0001f68cf9</t>
        </is>
      </c>
      <c r="Q2143"/>
      <c r="R2143" t="inlineStr">
        <is>
          <t>16周</t>
        </is>
      </c>
      <c r="S2143" t="inlineStr">
        <is>
          <t>0.54</t>
        </is>
      </c>
      <c r="T2143" t="inlineStr">
        <is>
          <t>服饰穿搭</t>
        </is>
      </c>
      <c r="U2143" t="inlineStr">
        <is>
          <t>女装</t>
        </is>
      </c>
      <c r="V2143" s="3">
        <v>46127.98767361111</v>
      </c>
      <c r="W2143" t="inlineStr">
        <is>
          <t>2026-Q2</t>
        </is>
      </c>
    </row>
    <row r="2144" ht="25.5" customHeight="1">
      <c r="A2144" t="inlineStr">
        <is>
          <t>YUNDRA緑漩 自制葡萄项链（已发货仅退款需补邮）</t>
        </is>
      </c>
      <c r="B2144" t="inlineStr">
        <is>
          <t>__upload_recvgSimhWopRb.jpg</t>
        </is>
      </c>
      <c r="C2144" s="2" t="str">
        <f>=HYPERLINK("https://xhslink.com/m/9OXs9S6QDSi", "https://xhslink.com/m/9OXs9S6QDSi")</f>
        <v>https://xhslink.com/m/9OXs9S6QDSi</v>
      </c>
      <c r="D2144"/>
      <c r="E2144">
        <v>9799</v>
      </c>
      <c r="F2144">
        <v>20</v>
      </c>
      <c r="G2144">
        <v>11.9</v>
      </c>
      <c r="H2144">
        <v>200</v>
      </c>
      <c r="I2144" t="inlineStr">
        <is>
          <t>项链</t>
        </is>
      </c>
      <c r="J2144" t="inlineStr">
        <is>
          <t>0.02</t>
        </is>
      </c>
      <c r="K2144"/>
      <c r="L2144" t="inlineStr">
        <is>
          <t>YUNDRA緑漩的店</t>
        </is>
      </c>
      <c r="M2144">
        <v>4153</v>
      </c>
      <c r="N2144">
        <v>4.6</v>
      </c>
      <c r="O2144">
        <v>11000</v>
      </c>
      <c r="P2144" t="inlineStr">
        <is>
          <t>69a3a73d1b52bf00014172d0</t>
        </is>
      </c>
      <c r="Q2144"/>
      <c r="R2144" t="inlineStr">
        <is>
          <t>16周</t>
        </is>
      </c>
      <c r="S2144" t="inlineStr">
        <is>
          <t>2.36</t>
        </is>
      </c>
      <c r="T2144" t="inlineStr">
        <is>
          <t>服饰穿搭</t>
        </is>
      </c>
      <c r="U2144" t="inlineStr">
        <is>
          <t>配饰</t>
        </is>
      </c>
      <c r="V2144" s="3">
        <v>46127.98767361111</v>
      </c>
      <c r="W2144" t="inlineStr">
        <is>
          <t>2026-Q2</t>
        </is>
      </c>
    </row>
    <row r="2145" ht="25.5" customHeight="1">
      <c r="A2145" t="inlineStr">
        <is>
          <t>Marilaw·已售700“星河微光”｜S925通体纯银5A锆石｜敲纯净巨透</t>
        </is>
      </c>
      <c r="B2145" t="inlineStr">
        <is>
          <t>__upload_recvgSimhW1baN.jpg</t>
        </is>
      </c>
      <c r="C2145" s="2" t="str">
        <f>=HYPERLINK("https://xhslink.com/m/6E8yxCIGRty", "https://xhslink.com/m/6E8yxCIGRty")</f>
        <v>https://xhslink.com/m/6E8yxCIGRty</v>
      </c>
      <c r="D2145"/>
      <c r="E2145">
        <v>729</v>
      </c>
      <c r="F2145">
        <v>96.5</v>
      </c>
      <c r="G2145">
        <v>69.9</v>
      </c>
      <c r="H2145">
        <v>200</v>
      </c>
      <c r="I2145" t="inlineStr">
        <is>
          <t>项链</t>
        </is>
      </c>
      <c r="J2145" t="inlineStr">
        <is>
          <t>0.27</t>
        </is>
      </c>
      <c r="K2145"/>
      <c r="L2145" t="inlineStr">
        <is>
          <t>星河迹Marilaw Jewels的店</t>
        </is>
      </c>
      <c r="M2145">
        <v>2269</v>
      </c>
      <c r="N2145">
        <v>4.63</v>
      </c>
      <c r="O2145">
        <v>850</v>
      </c>
      <c r="P2145" t="inlineStr">
        <is>
          <t>6954bba308cd90000168224a</t>
        </is>
      </c>
      <c r="Q2145"/>
      <c r="R2145" t="inlineStr">
        <is>
          <t>16周</t>
        </is>
      </c>
      <c r="S2145" t="inlineStr">
        <is>
          <t>0.32</t>
        </is>
      </c>
      <c r="T2145" t="inlineStr">
        <is>
          <t>服饰穿搭</t>
        </is>
      </c>
      <c r="U2145" t="inlineStr">
        <is>
          <t>配饰</t>
        </is>
      </c>
      <c r="V2145" s="3">
        <v>46127.98767361111</v>
      </c>
      <c r="W2145" t="inlineStr">
        <is>
          <t>2026-Q2</t>
        </is>
      </c>
    </row>
    <row r="2146" ht="25.5" customHeight="1">
      <c r="A2146" t="inlineStr">
        <is>
          <t>无痕一体防晒帽超轻可折叠遮阳帽夏季防紫外线大帽檐空顶帽太阳帽</t>
        </is>
      </c>
      <c r="B2146" t="inlineStr">
        <is>
          <t>__upload_recvgSimhWdT4p.jpg</t>
        </is>
      </c>
      <c r="C2146" s="2" t="str">
        <f>=HYPERLINK("https://xhslink.com/m/74xdny9F1s3", "https://xhslink.com/m/74xdny9F1s3")</f>
        <v>https://xhslink.com/m/74xdny9F1s3</v>
      </c>
      <c r="D2146"/>
      <c r="E2146">
        <v>104000</v>
      </c>
      <c r="F2146">
        <v>49.9</v>
      </c>
      <c r="G2146">
        <v>39.9</v>
      </c>
      <c r="H2146">
        <v>200</v>
      </c>
      <c r="I2146" t="inlineStr">
        <is>
          <t>遮阳帽</t>
        </is>
      </c>
      <c r="J2146" t="inlineStr">
        <is>
          <t>0.00</t>
        </is>
      </c>
      <c r="K2146" t="inlineStr">
        <is>
          <t>🔥低粉爆款</t>
        </is>
      </c>
      <c r="L2146" t="inlineStr">
        <is>
          <t>就叫麦麦的店</t>
        </is>
      </c>
      <c r="M2146">
        <v>8298</v>
      </c>
      <c r="N2146">
        <v>4.7</v>
      </c>
      <c r="O2146">
        <v>134000</v>
      </c>
      <c r="P2146" t="inlineStr">
        <is>
          <t>65dc504b9f43b0000121e121</t>
        </is>
      </c>
      <c r="Q2146"/>
      <c r="R2146" t="inlineStr">
        <is>
          <t>16周</t>
        </is>
      </c>
      <c r="S2146" t="inlineStr">
        <is>
          <t>12.53</t>
        </is>
      </c>
      <c r="T2146" t="inlineStr">
        <is>
          <t>服饰穿搭</t>
        </is>
      </c>
      <c r="U2146" t="inlineStr">
        <is>
          <t>鞋靴箱包</t>
        </is>
      </c>
      <c r="V2146" s="3">
        <v>46127.98767361111</v>
      </c>
      <c r="W2146" t="inlineStr">
        <is>
          <t>2026-Q2</t>
        </is>
      </c>
    </row>
    <row r="2147" ht="25.5" customHeight="1">
      <c r="A2147" t="inlineStr">
        <is>
          <t>【原创首发】w字母深顶大头围棒球帽女遮阳百搭刺绣显脸小鸭舌帽</t>
        </is>
      </c>
      <c r="B2147" t="inlineStr">
        <is>
          <t>__upload_recvgSimhWKFtd.jpg</t>
        </is>
      </c>
      <c r="C2147" s="2" t="str">
        <f>=HYPERLINK("https://xhslink.com/m/nJaUvQJbWM", "https://xhslink.com/m/nJaUvQJbWM")</f>
        <v>https://xhslink.com/m/nJaUvQJbWM</v>
      </c>
      <c r="D2147"/>
      <c r="E2147">
        <v>19000</v>
      </c>
      <c r="F2147">
        <v>31.9</v>
      </c>
      <c r="G2147"/>
      <c r="H2147">
        <v>200</v>
      </c>
      <c r="I2147" t="inlineStr">
        <is>
          <t>遮阳帽</t>
        </is>
      </c>
      <c r="J2147" t="inlineStr">
        <is>
          <t>0.01</t>
        </is>
      </c>
      <c r="K2147"/>
      <c r="L2147" t="inlineStr">
        <is>
          <t>盖个帽儿总店铺的店</t>
        </is>
      </c>
      <c r="M2147">
        <v>157000</v>
      </c>
      <c r="N2147">
        <v>4.59</v>
      </c>
      <c r="O2147">
        <v>1615000</v>
      </c>
      <c r="P2147" t="inlineStr">
        <is>
          <t>686b9236946b7d000106f294</t>
        </is>
      </c>
      <c r="Q2147" t="inlineStr">
        <is>
          <t>🚫重复</t>
        </is>
      </c>
      <c r="R2147" t="inlineStr">
        <is>
          <t>16周</t>
        </is>
      </c>
      <c r="S2147" t="inlineStr">
        <is>
          <t>0.12</t>
        </is>
      </c>
      <c r="T2147" t="inlineStr">
        <is>
          <t>服饰穿搭</t>
        </is>
      </c>
      <c r="U2147" t="inlineStr">
        <is>
          <t>鞋靴箱包</t>
        </is>
      </c>
      <c r="V2147" s="3">
        <v>46127.98767361111</v>
      </c>
      <c r="W2147" t="inlineStr">
        <is>
          <t>2026-Q2</t>
        </is>
      </c>
    </row>
    <row r="2148" ht="25.5" customHeight="1">
      <c r="A2148" t="inlineStr">
        <is>
          <t>年糕妈妈 · 升级款成人空顶卷卷防晒帽 UPF50+宽帽檐</t>
        </is>
      </c>
      <c r="B2148" t="inlineStr">
        <is>
          <t>__upload_recvgSimhWzHc2.jpg</t>
        </is>
      </c>
      <c r="C2148" s="2" t="str">
        <f>=HYPERLINK("https://xhslink.com/m/3MClqsVPD1p", "https://xhslink.com/m/3MClqsVPD1p")</f>
        <v>https://xhslink.com/m/3MClqsVPD1p</v>
      </c>
      <c r="D2148"/>
      <c r="E2148">
        <v>35000</v>
      </c>
      <c r="F2148">
        <v>129</v>
      </c>
      <c r="G2148">
        <v>59.9</v>
      </c>
      <c r="H2148">
        <v>200</v>
      </c>
      <c r="I2148" t="inlineStr">
        <is>
          <t>遮阳帽</t>
        </is>
      </c>
      <c r="J2148" t="inlineStr">
        <is>
          <t>0.01</t>
        </is>
      </c>
      <c r="K2148"/>
      <c r="L2148" t="inlineStr">
        <is>
          <t>年糕妈妈挑好物的店</t>
        </is>
      </c>
      <c r="M2148">
        <v>139000</v>
      </c>
      <c r="N2148">
        <v>4.57</v>
      </c>
      <c r="O2148">
        <v>1009000</v>
      </c>
      <c r="P2148" t="inlineStr">
        <is>
          <t>67bd8589cb5e42000132f8bc</t>
        </is>
      </c>
      <c r="Q2148" t="inlineStr">
        <is>
          <t>🚫重复</t>
        </is>
      </c>
      <c r="R2148" t="inlineStr">
        <is>
          <t>16周</t>
        </is>
      </c>
      <c r="S2148" t="inlineStr">
        <is>
          <t>0.25</t>
        </is>
      </c>
      <c r="T2148" t="inlineStr">
        <is>
          <t>服饰穿搭</t>
        </is>
      </c>
      <c r="U2148" t="inlineStr">
        <is>
          <t>鞋靴箱包</t>
        </is>
      </c>
      <c r="V2148" s="3">
        <v>46127.98767361111</v>
      </c>
      <c r="W2148" t="inlineStr">
        <is>
          <t>2026-Q2</t>
        </is>
      </c>
    </row>
    <row r="2149" ht="25.5" customHeight="1">
      <c r="A2149" t="inlineStr">
        <is>
          <t>升级款【拍一发二】一体防晒帽无痕遮阳帽夏防紫外线可折叠空顶帽</t>
        </is>
      </c>
      <c r="B2149" t="inlineStr">
        <is>
          <t>__upload_recvgSimhWjwnj.jpg</t>
        </is>
      </c>
      <c r="C2149" s="2" t="str">
        <f>=HYPERLINK("https://xhslink.com/m/8jj8oyK43Jb", "https://xhslink.com/m/8jj8oyK43Jb")</f>
        <v>https://xhslink.com/m/8jj8oyK43Jb</v>
      </c>
      <c r="D2149"/>
      <c r="E2149">
        <v>27000</v>
      </c>
      <c r="F2149">
        <v>49.9</v>
      </c>
      <c r="G2149">
        <v>39.7</v>
      </c>
      <c r="H2149">
        <v>200</v>
      </c>
      <c r="I2149" t="inlineStr">
        <is>
          <t>遮阳帽</t>
        </is>
      </c>
      <c r="J2149" t="inlineStr">
        <is>
          <t>0.01</t>
        </is>
      </c>
      <c r="K2149"/>
      <c r="L2149" t="inlineStr">
        <is>
          <t>是琪琪的店</t>
        </is>
      </c>
      <c r="M2149">
        <v>29000</v>
      </c>
      <c r="N2149">
        <v>4.87</v>
      </c>
      <c r="O2149">
        <v>135000</v>
      </c>
      <c r="P2149" t="inlineStr">
        <is>
          <t>6670e7c12fbb540001785236</t>
        </is>
      </c>
      <c r="Q2149" t="inlineStr">
        <is>
          <t>🚫重复</t>
        </is>
      </c>
      <c r="R2149" t="inlineStr">
        <is>
          <t>16周</t>
        </is>
      </c>
      <c r="S2149" t="inlineStr">
        <is>
          <t>0.93</t>
        </is>
      </c>
      <c r="T2149" t="inlineStr">
        <is>
          <t>服饰穿搭</t>
        </is>
      </c>
      <c r="U2149" t="inlineStr">
        <is>
          <t>鞋靴箱包</t>
        </is>
      </c>
      <c r="V2149" s="3">
        <v>46127.98767361111</v>
      </c>
      <c r="W2149" t="inlineStr">
        <is>
          <t>2026-Q2</t>
        </is>
      </c>
    </row>
    <row r="2150" ht="25.5" customHeight="1">
      <c r="A2150" t="inlineStr">
        <is>
          <t>【轻薄速干】2026新款速干棒球帽女遮阳帽童帽百搭显脸小男鸭舌帽</t>
        </is>
      </c>
      <c r="B2150" t="inlineStr">
        <is>
          <t>__upload_recvgSimhWB7E2.jpg</t>
        </is>
      </c>
      <c r="C2150" s="2" t="str">
        <f>=HYPERLINK("https://xhslink.com/m/6Z6Muu5UMtF", "https://xhslink.com/m/6Z6Muu5UMtF")</f>
        <v>https://xhslink.com/m/6Z6Muu5UMtF</v>
      </c>
      <c r="D2150"/>
      <c r="E2150">
        <v>2601</v>
      </c>
      <c r="F2150">
        <v>49.9</v>
      </c>
      <c r="G2150">
        <v>39.9</v>
      </c>
      <c r="H2150">
        <v>200</v>
      </c>
      <c r="I2150" t="inlineStr">
        <is>
          <t>遮阳帽</t>
        </is>
      </c>
      <c r="J2150" t="inlineStr">
        <is>
          <t>0.08</t>
        </is>
      </c>
      <c r="K2150"/>
      <c r="L2150" t="inlineStr">
        <is>
          <t>帽次元 CapsLock的店</t>
        </is>
      </c>
      <c r="M2150">
        <v>965</v>
      </c>
      <c r="N2150">
        <v>4.69</v>
      </c>
      <c r="O2150">
        <v>39000</v>
      </c>
      <c r="P2150" t="inlineStr">
        <is>
          <t>69550885ac83a20001a7928e</t>
        </is>
      </c>
      <c r="Q2150" t="inlineStr">
        <is>
          <t>🚫重复</t>
        </is>
      </c>
      <c r="R2150" t="inlineStr">
        <is>
          <t>16周</t>
        </is>
      </c>
      <c r="S2150" t="inlineStr">
        <is>
          <t>2.70</t>
        </is>
      </c>
      <c r="T2150" t="inlineStr">
        <is>
          <t>服饰穿搭</t>
        </is>
      </c>
      <c r="U2150" t="inlineStr">
        <is>
          <t>鞋靴箱包</t>
        </is>
      </c>
      <c r="V2150" s="3">
        <v>46127.98767361111</v>
      </c>
      <c r="W2150" t="inlineStr">
        <is>
          <t>2026-Q2</t>
        </is>
      </c>
    </row>
    <row r="2151" ht="25.5" customHeight="1">
      <c r="A2151" t="inlineStr">
        <is>
          <t>Work for my CAT | seenderella| 刺绣软顶纯棉加深棒球帽</t>
        </is>
      </c>
      <c r="B2151" t="inlineStr">
        <is>
          <t>__upload_recvgSimhWG1Qo.jpg</t>
        </is>
      </c>
      <c r="C2151" s="2" t="str">
        <f>=HYPERLINK("https://xhslink.com/m/2NSODkuoA3w", "https://xhslink.com/m/2NSODkuoA3w")</f>
        <v>https://xhslink.com/m/2NSODkuoA3w</v>
      </c>
      <c r="D2151"/>
      <c r="E2151">
        <v>2622</v>
      </c>
      <c r="F2151">
        <v>88</v>
      </c>
      <c r="G2151">
        <v>68</v>
      </c>
      <c r="H2151">
        <v>200</v>
      </c>
      <c r="I2151" t="inlineStr">
        <is>
          <t>遮阳帽</t>
        </is>
      </c>
      <c r="J2151" t="inlineStr">
        <is>
          <t>0.08</t>
        </is>
      </c>
      <c r="K2151"/>
      <c r="L2151" t="inlineStr">
        <is>
          <t>seenderella的店</t>
        </is>
      </c>
      <c r="M2151">
        <v>4728</v>
      </c>
      <c r="N2151">
        <v>4.62</v>
      </c>
      <c r="O2151">
        <v>36000</v>
      </c>
      <c r="P2151" t="inlineStr">
        <is>
          <t>69bd44c4a20c21000182fb27</t>
        </is>
      </c>
      <c r="Q2151" t="inlineStr">
        <is>
          <t>🚫重复</t>
        </is>
      </c>
      <c r="R2151" t="inlineStr">
        <is>
          <t>16周</t>
        </is>
      </c>
      <c r="S2151" t="inlineStr">
        <is>
          <t>0.55</t>
        </is>
      </c>
      <c r="T2151" t="inlineStr">
        <is>
          <t>服饰穿搭</t>
        </is>
      </c>
      <c r="U2151" t="inlineStr">
        <is>
          <t>鞋靴箱包</t>
        </is>
      </c>
      <c r="V2151" s="3">
        <v>46127.98767361111</v>
      </c>
      <c r="W2151" t="inlineStr">
        <is>
          <t>2026-Q2</t>
        </is>
      </c>
    </row>
    <row r="2152" ht="25.5" customHeight="1">
      <c r="A2152" t="inlineStr">
        <is>
          <t>猫猫酱 · 手工可爱卡通模具耳饰耳夹（持续上新中～）有工期！！</t>
        </is>
      </c>
      <c r="B2152" t="inlineStr">
        <is>
          <t>__upload_recvgSimhWbz6j.jpg</t>
        </is>
      </c>
      <c r="C2152" s="2" t="str">
        <f>=HYPERLINK("https://xhslink.com/m/8sAQyc65NKz", "https://xhslink.com/m/8sAQyc65NKz")</f>
        <v>https://xhslink.com/m/8sAQyc65NKz</v>
      </c>
      <c r="D2152"/>
      <c r="E2152">
        <v>6756</v>
      </c>
      <c r="F2152">
        <v>20.9</v>
      </c>
      <c r="G2152">
        <v>9.9</v>
      </c>
      <c r="H2152">
        <v>200</v>
      </c>
      <c r="I2152" t="inlineStr">
        <is>
          <t>耳环</t>
        </is>
      </c>
      <c r="J2152" t="inlineStr">
        <is>
          <t>0.03</t>
        </is>
      </c>
      <c r="K2152"/>
      <c r="L2152" t="inlineStr">
        <is>
          <t>猫咕咕手绘的店</t>
        </is>
      </c>
      <c r="M2152">
        <v>3374</v>
      </c>
      <c r="N2152">
        <v>4.41</v>
      </c>
      <c r="O2152">
        <v>15000</v>
      </c>
      <c r="P2152" t="inlineStr">
        <is>
          <t>69a277eb36330e0001009b46</t>
        </is>
      </c>
      <c r="Q2152"/>
      <c r="R2152" t="inlineStr">
        <is>
          <t>16周</t>
        </is>
      </c>
      <c r="S2152" t="inlineStr">
        <is>
          <t>2.00</t>
        </is>
      </c>
      <c r="T2152" t="inlineStr">
        <is>
          <t>服饰穿搭</t>
        </is>
      </c>
      <c r="U2152" t="inlineStr">
        <is>
          <t>配饰</t>
        </is>
      </c>
      <c r="V2152" s="3">
        <v>46127.98767361111</v>
      </c>
      <c r="W2152" t="inlineStr">
        <is>
          <t>2026-Q2</t>
        </is>
      </c>
    </row>
    <row r="2153" ht="25.5" customHeight="1">
      <c r="A2153" t="inlineStr">
        <is>
          <t>炭烤八风干纯瘦牛肉干（无添加、非油炸）</t>
        </is>
      </c>
      <c r="B2153" t="inlineStr">
        <is>
          <t>__upload_recvgSimhWDn97.jpg</t>
        </is>
      </c>
      <c r="C2153" s="2" t="str">
        <f>=HYPERLINK("https://xhslink.com/m/5bgI9wFcYGq", "https://xhslink.com/m/5bgI9wFcYGq")</f>
        <v>https://xhslink.com/m/5bgI9wFcYGq</v>
      </c>
      <c r="D2153"/>
      <c r="E2153">
        <v>14000</v>
      </c>
      <c r="F2153">
        <v>9.9</v>
      </c>
      <c r="G2153"/>
      <c r="H2153">
        <v>200</v>
      </c>
      <c r="I2153" t="inlineStr">
        <is>
          <t>牛肉干</t>
        </is>
      </c>
      <c r="J2153" t="inlineStr">
        <is>
          <t>0.01</t>
        </is>
      </c>
      <c r="K2153" t="inlineStr">
        <is>
          <t>🔥低粉爆款</t>
        </is>
      </c>
      <c r="L2153" t="inlineStr">
        <is>
          <t>97只做现烤的店</t>
        </is>
      </c>
      <c r="M2153">
        <v>1160</v>
      </c>
      <c r="N2153">
        <v>4.66</v>
      </c>
      <c r="O2153">
        <v>18000</v>
      </c>
      <c r="P2153" t="inlineStr">
        <is>
          <t>6674f3292fbb54000193689e</t>
        </is>
      </c>
      <c r="Q2153"/>
      <c r="R2153" t="inlineStr">
        <is>
          <t>16周</t>
        </is>
      </c>
      <c r="S2153" t="inlineStr">
        <is>
          <t>12.07</t>
        </is>
      </c>
      <c r="T2153" t="inlineStr">
        <is>
          <t>美食滋补</t>
        </is>
      </c>
      <c r="U2153" t="inlineStr">
        <is>
          <t>休闲零食</t>
        </is>
      </c>
      <c r="V2153" s="3">
        <v>46127.98767361111</v>
      </c>
      <c r="W2153" t="inlineStr">
        <is>
          <t>2026-Q2</t>
        </is>
      </c>
    </row>
    <row r="2154" ht="25.5" customHeight="1">
      <c r="A2154" t="inlineStr">
        <is>
          <t>真丝发圈100%桑蚕丝睡眠发圈重磅大发圈大肠发圈护发特价百搭时尚</t>
        </is>
      </c>
      <c r="B2154" t="inlineStr">
        <is>
          <t>__upload_recvgY7N5zdZYO.jpg</t>
        </is>
      </c>
      <c r="C2154" s="2" t="str">
        <f>=HYPERLINK("https://xhslink.com/m/tXmlnuPH63", "https://xhslink.com/m/tXmlnuPH63")</f>
        <v>https://xhslink.com/m/tXmlnuPH63</v>
      </c>
      <c r="D2154"/>
      <c r="E2154">
        <v>41000</v>
      </c>
      <c r="F2154">
        <v>29.9</v>
      </c>
      <c r="G2154">
        <v>14.9</v>
      </c>
      <c r="H2154">
        <v>200</v>
      </c>
      <c r="I2154" t="inlineStr">
        <is>
          <t>配饰</t>
        </is>
      </c>
      <c r="J2154" t="inlineStr">
        <is>
          <t>0.00</t>
        </is>
      </c>
      <c r="K2154" t="inlineStr">
        <is>
          <t>🔥低粉爆款</t>
        </is>
      </c>
      <c r="L2154" t="inlineStr">
        <is>
          <t>拾忆真丝的店</t>
        </is>
      </c>
      <c r="M2154">
        <v>4986</v>
      </c>
      <c r="N2154">
        <v>4.7</v>
      </c>
      <c r="O2154">
        <v>43000</v>
      </c>
      <c r="P2154" t="inlineStr">
        <is>
          <t>680a4b0d97075e000112cdeb</t>
        </is>
      </c>
      <c r="Q2154" t="inlineStr">
        <is>
          <t>🚫重复</t>
        </is>
      </c>
      <c r="R2154" t="inlineStr">
        <is>
          <t>16周</t>
        </is>
      </c>
      <c r="S2154" t="inlineStr">
        <is>
          <t>8.22</t>
        </is>
      </c>
      <c r="T2154" t="inlineStr">
        <is>
          <t>美妆个护</t>
        </is>
      </c>
      <c r="U2154" t="inlineStr">
        <is>
          <t>个人护理</t>
        </is>
      </c>
      <c r="V2154" s="3">
        <v>46128.98467592592</v>
      </c>
      <c r="W2154" t="inlineStr">
        <is>
          <t>2026-Q2</t>
        </is>
      </c>
    </row>
    <row r="2155" ht="25.5" customHeight="1">
      <c r="A2155" t="inlineStr">
        <is>
          <t>恋与深空磁吸小团子沈星回祁煜夏以昼黎深秦彻挂件同人原创</t>
        </is>
      </c>
      <c r="B2155" t="inlineStr">
        <is>
          <t>__upload_recvgY7N5zO5iF.jpg</t>
        </is>
      </c>
      <c r="C2155" s="2" t="str">
        <f>=HYPERLINK("https://xhslink.com/m/4P7uNhh5sCS", "https://xhslink.com/m/4P7uNhh5sCS")</f>
        <v>https://xhslink.com/m/4P7uNhh5sCS</v>
      </c>
      <c r="D2155"/>
      <c r="E2155">
        <v>1913</v>
      </c>
      <c r="F2155">
        <v>28.9</v>
      </c>
      <c r="G2155"/>
      <c r="H2155">
        <v>200</v>
      </c>
      <c r="I2155" t="inlineStr">
        <is>
          <t>毛绒玩偶</t>
        </is>
      </c>
      <c r="J2155" t="inlineStr">
        <is>
          <t>0.10</t>
        </is>
      </c>
      <c r="K2155"/>
      <c r="L2155" t="inlineStr">
        <is>
          <t>你好丸NIHAOWAN的店</t>
        </is>
      </c>
      <c r="M2155">
        <v>56000</v>
      </c>
      <c r="N2155">
        <v>4.7</v>
      </c>
      <c r="O2155">
        <v>82000</v>
      </c>
      <c r="P2155" t="inlineStr">
        <is>
          <t>69b689bf9b4aae000189e819</t>
        </is>
      </c>
      <c r="Q2155" t="inlineStr">
        <is>
          <t>🚫重复</t>
        </is>
      </c>
      <c r="R2155" t="inlineStr">
        <is>
          <t>16周</t>
        </is>
      </c>
      <c r="S2155" t="inlineStr">
        <is>
          <t>0.03</t>
        </is>
      </c>
      <c r="T2155" t="inlineStr">
        <is>
          <t>母婴亲子</t>
        </is>
      </c>
      <c r="U2155" t="inlineStr">
        <is>
          <t>玩具早教</t>
        </is>
      </c>
      <c r="V2155" s="3">
        <v>46128.98467592592</v>
      </c>
      <c r="W2155" t="inlineStr">
        <is>
          <t>2026-Q2</t>
        </is>
      </c>
    </row>
    <row r="2156" ht="25.5" customHeight="1">
      <c r="A2156" t="inlineStr">
        <is>
          <t>【拦霉运】拦霉运小挂件毛绒小挂件玩偶摆件</t>
        </is>
      </c>
      <c r="B2156" t="inlineStr">
        <is>
          <t>__upload_recvgY7N5z4052.jpg</t>
        </is>
      </c>
      <c r="C2156" s="2" t="str">
        <f>=HYPERLINK("https://xhslink.com/m/3PeLPLRg5oC", "https://xhslink.com/m/3PeLPLRg5oC")</f>
        <v>https://xhslink.com/m/3PeLPLRg5oC</v>
      </c>
      <c r="D2156"/>
      <c r="E2156">
        <v>679</v>
      </c>
      <c r="F2156">
        <v>42</v>
      </c>
      <c r="G2156">
        <v>20.9</v>
      </c>
      <c r="H2156">
        <v>200</v>
      </c>
      <c r="I2156" t="inlineStr">
        <is>
          <t>挂件公仔</t>
        </is>
      </c>
      <c r="J2156" t="inlineStr">
        <is>
          <t>0.29</t>
        </is>
      </c>
      <c r="K2156" t="inlineStr">
        <is>
          <t>🔥低粉爆款</t>
        </is>
      </c>
      <c r="L2156" t="inlineStr">
        <is>
          <t>小偶集的店</t>
        </is>
      </c>
      <c r="M2156">
        <v>65</v>
      </c>
      <c r="N2156">
        <v>4.2</v>
      </c>
      <c r="O2156">
        <v>629</v>
      </c>
      <c r="P2156" t="inlineStr">
        <is>
          <t>69ccb5c84ae1e70001d6c5d3</t>
        </is>
      </c>
      <c r="Q2156"/>
      <c r="R2156" t="inlineStr">
        <is>
          <t>16周</t>
        </is>
      </c>
      <c r="S2156" t="inlineStr">
        <is>
          <t>10.45</t>
        </is>
      </c>
      <c r="T2156" t="inlineStr">
        <is>
          <t>家居生活</t>
        </is>
      </c>
      <c r="U2156" t="inlineStr">
        <is>
          <t>家具家装</t>
        </is>
      </c>
      <c r="V2156" s="3">
        <v>46128.98467592592</v>
      </c>
      <c r="W2156" t="inlineStr">
        <is>
          <t>2026-Q2</t>
        </is>
      </c>
    </row>
    <row r="2157" ht="25.5" customHeight="1">
      <c r="A2157" t="inlineStr">
        <is>
          <t>潇淑雅 · 宽松直筒瑜伽裤薄款鲨鱼裤26新款高腰显瘦休闲阔腿裤子春夏推荐女</t>
        </is>
      </c>
      <c r="B2157" t="inlineStr">
        <is>
          <t>__upload_recvgY7N5zMStW.jpg</t>
        </is>
      </c>
      <c r="C2157" s="2" t="str">
        <f>=HYPERLINK("https://xhslink.com/m/7ggpSAcejOk", "https://xhslink.com/m/7ggpSAcejOk")</f>
        <v>https://xhslink.com/m/7ggpSAcejOk</v>
      </c>
      <c r="D2157"/>
      <c r="E2157">
        <v>30000</v>
      </c>
      <c r="F2157">
        <v>89.9</v>
      </c>
      <c r="G2157">
        <v>69.9</v>
      </c>
      <c r="H2157">
        <v>200</v>
      </c>
      <c r="I2157" t="inlineStr">
        <is>
          <t>裤子</t>
        </is>
      </c>
      <c r="J2157" t="inlineStr">
        <is>
          <t>0.01</t>
        </is>
      </c>
      <c r="K2157" t="inlineStr">
        <is>
          <t>🔥低粉爆款</t>
        </is>
      </c>
      <c r="L2157" t="inlineStr">
        <is>
          <t>潇淑雅旗舰店</t>
        </is>
      </c>
      <c r="M2157">
        <v>10000</v>
      </c>
      <c r="N2157">
        <v>4.61</v>
      </c>
      <c r="O2157">
        <v>146000</v>
      </c>
      <c r="P2157" t="inlineStr">
        <is>
          <t>68da497dc165480015278aae</t>
        </is>
      </c>
      <c r="Q2157" t="inlineStr">
        <is>
          <t>🚫重复</t>
        </is>
      </c>
      <c r="R2157" t="inlineStr">
        <is>
          <t>16周</t>
        </is>
      </c>
      <c r="S2157" t="inlineStr">
        <is>
          <t>3.00</t>
        </is>
      </c>
      <c r="T2157" t="inlineStr">
        <is>
          <t>服饰穿搭</t>
        </is>
      </c>
      <c r="U2157" t="inlineStr">
        <is>
          <t>女装</t>
        </is>
      </c>
      <c r="V2157" s="3">
        <v>46128.98467592592</v>
      </c>
      <c r="W2157" t="inlineStr">
        <is>
          <t>2026-Q2</t>
        </is>
      </c>
    </row>
    <row r="2158" ht="25.5" customHeight="1">
      <c r="A2158" t="inlineStr">
        <is>
          <t>【土耳其完美弹面料】【专柜同步阿斯特染】牛仔裤直筒裤</t>
        </is>
      </c>
      <c r="B2158" t="inlineStr">
        <is>
          <t>__upload_recvgY7N5z2GEJ.jpg</t>
        </is>
      </c>
      <c r="C2158" s="2" t="str">
        <f>=HYPERLINK("https://xhslink.com/m/2rSIulSpbrq", "https://xhslink.com/m/2rSIulSpbrq")</f>
        <v>https://xhslink.com/m/2rSIulSpbrq</v>
      </c>
      <c r="D2158"/>
      <c r="E2158">
        <v>23000</v>
      </c>
      <c r="F2158">
        <v>179.9</v>
      </c>
      <c r="G2158">
        <v>149.9</v>
      </c>
      <c r="H2158">
        <v>200</v>
      </c>
      <c r="I2158" t="inlineStr">
        <is>
          <t>裤子</t>
        </is>
      </c>
      <c r="J2158" t="inlineStr">
        <is>
          <t>0.01</t>
        </is>
      </c>
      <c r="K2158"/>
      <c r="L2158" t="inlineStr">
        <is>
          <t>邓邓牛仔的店</t>
        </is>
      </c>
      <c r="M2158">
        <v>19000</v>
      </c>
      <c r="N2158">
        <v>4.56</v>
      </c>
      <c r="O2158">
        <v>44000</v>
      </c>
      <c r="P2158" t="inlineStr">
        <is>
          <t>69808ccc948abf001549f500</t>
        </is>
      </c>
      <c r="Q2158"/>
      <c r="R2158" t="inlineStr">
        <is>
          <t>16周</t>
        </is>
      </c>
      <c r="S2158" t="inlineStr">
        <is>
          <t>1.21</t>
        </is>
      </c>
      <c r="T2158" t="inlineStr">
        <is>
          <t>服饰穿搭</t>
        </is>
      </c>
      <c r="U2158" t="inlineStr">
        <is>
          <t>女装</t>
        </is>
      </c>
      <c r="V2158" s="3">
        <v>46128.98467592592</v>
      </c>
      <c r="W2158" t="inlineStr">
        <is>
          <t>2026-Q2</t>
        </is>
      </c>
    </row>
    <row r="2159" ht="25.5" customHeight="1">
      <c r="A2159" t="inlineStr">
        <is>
          <t>【前5000单立减26】复古天丝轻薄牛仔裤女高腰垂感直筒裤宽松休闲</t>
        </is>
      </c>
      <c r="B2159" t="inlineStr">
        <is>
          <t>__upload_recvgY7N5zWA9M.jpg</t>
        </is>
      </c>
      <c r="C2159" s="2" t="str">
        <f>=HYPERLINK("https://xhslink.com/m/ANjrnDKSQmW", "https://xhslink.com/m/ANjrnDKSQmW")</f>
        <v>https://xhslink.com/m/ANjrnDKSQmW</v>
      </c>
      <c r="D2159"/>
      <c r="E2159">
        <v>6962</v>
      </c>
      <c r="F2159">
        <v>95</v>
      </c>
      <c r="G2159">
        <v>69.5</v>
      </c>
      <c r="H2159">
        <v>200</v>
      </c>
      <c r="I2159" t="inlineStr">
        <is>
          <t>裤子</t>
        </is>
      </c>
      <c r="J2159" t="inlineStr">
        <is>
          <t>0.03</t>
        </is>
      </c>
      <c r="K2159" t="inlineStr">
        <is>
          <t>🔥低粉爆款</t>
        </is>
      </c>
      <c r="L2159" t="inlineStr">
        <is>
          <t>财财实拍工作室的店</t>
        </is>
      </c>
      <c r="M2159">
        <v>931</v>
      </c>
      <c r="N2159">
        <v>4.59</v>
      </c>
      <c r="O2159">
        <v>17000</v>
      </c>
      <c r="P2159" t="inlineStr">
        <is>
          <t>683eea64b6240c0015560f56</t>
        </is>
      </c>
      <c r="Q2159" t="inlineStr">
        <is>
          <t>🚫重复</t>
        </is>
      </c>
      <c r="R2159" t="inlineStr">
        <is>
          <t>16周</t>
        </is>
      </c>
      <c r="S2159" t="inlineStr">
        <is>
          <t>7.48</t>
        </is>
      </c>
      <c r="T2159" t="inlineStr">
        <is>
          <t>服饰穿搭</t>
        </is>
      </c>
      <c r="U2159" t="inlineStr">
        <is>
          <t>女装</t>
        </is>
      </c>
      <c r="V2159" s="3">
        <v>46128.98467592592</v>
      </c>
      <c r="W2159" t="inlineStr">
        <is>
          <t>2026-Q2</t>
        </is>
      </c>
    </row>
    <row r="2160" ht="25.5" customHeight="1">
      <c r="A2160" t="inlineStr">
        <is>
          <t>复古高腰牛仔裤女2026新款微喇长裤显瘦垂感阔腿休闲直筒裤小个子</t>
        </is>
      </c>
      <c r="B2160" t="inlineStr">
        <is>
          <t>__upload_recvgY7N5zRn3x.jpg</t>
        </is>
      </c>
      <c r="C2160" s="2" t="str">
        <f>=HYPERLINK("https://xhslink.com/m/1mUmR6koU3y", "https://xhslink.com/m/1mUmR6koU3y")</f>
        <v>https://xhslink.com/m/1mUmR6koU3y</v>
      </c>
      <c r="D2160"/>
      <c r="E2160">
        <v>18000</v>
      </c>
      <c r="F2160">
        <v>139.9</v>
      </c>
      <c r="G2160">
        <v>109.9</v>
      </c>
      <c r="H2160">
        <v>200</v>
      </c>
      <c r="I2160" t="inlineStr">
        <is>
          <t>裤子</t>
        </is>
      </c>
      <c r="J2160" t="inlineStr">
        <is>
          <t>0.01</t>
        </is>
      </c>
      <c r="K2160" t="inlineStr">
        <is>
          <t>🔥低粉爆款</t>
        </is>
      </c>
      <c r="L2160" t="inlineStr">
        <is>
          <t>幸运小财精的店</t>
        </is>
      </c>
      <c r="M2160">
        <v>1907</v>
      </c>
      <c r="N2160">
        <v>4.62</v>
      </c>
      <c r="O2160">
        <v>38000</v>
      </c>
      <c r="P2160" t="inlineStr">
        <is>
          <t>68d39ebad6d2a60001b5d460</t>
        </is>
      </c>
      <c r="Q2160" t="inlineStr">
        <is>
          <t>🚫重复</t>
        </is>
      </c>
      <c r="R2160" t="inlineStr">
        <is>
          <t>16周</t>
        </is>
      </c>
      <c r="S2160" t="inlineStr">
        <is>
          <t>9.44</t>
        </is>
      </c>
      <c r="T2160" t="inlineStr">
        <is>
          <t>服饰穿搭</t>
        </is>
      </c>
      <c r="U2160" t="inlineStr">
        <is>
          <t>女装</t>
        </is>
      </c>
      <c r="V2160" s="3">
        <v>46128.98467592592</v>
      </c>
      <c r="W2160" t="inlineStr">
        <is>
          <t>2026-Q2</t>
        </is>
      </c>
    </row>
    <row r="2161" ht="25.5" customHeight="1">
      <c r="A2161" t="inlineStr">
        <is>
          <t>小个子2026春夏法棍裤高腰弹力直筒梨型身材显瘦牛仔八九分显腿直</t>
        </is>
      </c>
      <c r="B2161" t="inlineStr">
        <is>
          <t>__upload_recvgY7N5zISDH.jpg</t>
        </is>
      </c>
      <c r="C2161" s="2" t="str">
        <f>=HYPERLINK("https://xhslink.com/m/6H2a9oxXe6w", "https://xhslink.com/m/6H2a9oxXe6w")</f>
        <v>https://xhslink.com/m/6H2a9oxXe6w</v>
      </c>
      <c r="D2161"/>
      <c r="E2161">
        <v>5985</v>
      </c>
      <c r="F2161">
        <v>128.9</v>
      </c>
      <c r="G2161">
        <v>98.9</v>
      </c>
      <c r="H2161">
        <v>200</v>
      </c>
      <c r="I2161" t="inlineStr">
        <is>
          <t>裤子</t>
        </is>
      </c>
      <c r="J2161" t="inlineStr">
        <is>
          <t>0.03</t>
        </is>
      </c>
      <c r="K2161" t="inlineStr">
        <is>
          <t>🔥低粉爆款</t>
        </is>
      </c>
      <c r="L2161" t="inlineStr">
        <is>
          <t>幸运小财精的店</t>
        </is>
      </c>
      <c r="M2161">
        <v>1907</v>
      </c>
      <c r="N2161">
        <v>4.62</v>
      </c>
      <c r="O2161">
        <v>38000</v>
      </c>
      <c r="P2161" t="inlineStr">
        <is>
          <t>681daf69a53ff6000126050f</t>
        </is>
      </c>
      <c r="Q2161" t="inlineStr">
        <is>
          <t>🚫重复</t>
        </is>
      </c>
      <c r="R2161" t="inlineStr">
        <is>
          <t>16周</t>
        </is>
      </c>
      <c r="S2161" t="inlineStr">
        <is>
          <t>3.14</t>
        </is>
      </c>
      <c r="T2161" t="inlineStr">
        <is>
          <t>服饰穿搭</t>
        </is>
      </c>
      <c r="U2161" t="inlineStr">
        <is>
          <t>女装</t>
        </is>
      </c>
      <c r="V2161" s="3">
        <v>46128.98467592592</v>
      </c>
      <c r="W2161" t="inlineStr">
        <is>
          <t>2026-Q2</t>
        </is>
      </c>
    </row>
    <row r="2162" ht="25.5" customHeight="1">
      <c r="A2162" t="inlineStr">
        <is>
          <t>「梨形身材天菜」高腰阔腿运动裤速干宽松直筒显瘦休闲阔腿裤</t>
        </is>
      </c>
      <c r="B2162" t="inlineStr">
        <is>
          <t>__upload_recvgY7N5z0noY.jpg</t>
        </is>
      </c>
      <c r="C2162" s="2" t="str">
        <f>=HYPERLINK("https://xhslink.com/m/1tKkGI6LTg7", "https://xhslink.com/m/1tKkGI6LTg7")</f>
        <v>https://xhslink.com/m/1tKkGI6LTg7</v>
      </c>
      <c r="D2162"/>
      <c r="E2162">
        <v>5317</v>
      </c>
      <c r="F2162">
        <v>109</v>
      </c>
      <c r="G2162">
        <v>59</v>
      </c>
      <c r="H2162">
        <v>200</v>
      </c>
      <c r="I2162" t="inlineStr">
        <is>
          <t>裤子</t>
        </is>
      </c>
      <c r="J2162" t="inlineStr">
        <is>
          <t>0.04</t>
        </is>
      </c>
      <c r="K2162" t="inlineStr">
        <is>
          <t>🔥低粉爆款</t>
        </is>
      </c>
      <c r="L2162" t="inlineStr">
        <is>
          <t>郑郑方形的店</t>
        </is>
      </c>
      <c r="M2162">
        <v>254</v>
      </c>
      <c r="N2162">
        <v>4.53</v>
      </c>
      <c r="O2162">
        <v>6460</v>
      </c>
      <c r="P2162" t="inlineStr">
        <is>
          <t>69a4143b0270070016f45c5c</t>
        </is>
      </c>
      <c r="Q2162" t="inlineStr">
        <is>
          <t>🚫重复</t>
        </is>
      </c>
      <c r="R2162" t="inlineStr">
        <is>
          <t>16周</t>
        </is>
      </c>
      <c r="S2162" t="inlineStr">
        <is>
          <t>20.93</t>
        </is>
      </c>
      <c r="T2162" t="inlineStr">
        <is>
          <t>服饰穿搭</t>
        </is>
      </c>
      <c r="U2162" t="inlineStr">
        <is>
          <t>女装</t>
        </is>
      </c>
      <c r="V2162" s="3">
        <v>46128.98467592592</v>
      </c>
      <c r="W2162" t="inlineStr">
        <is>
          <t>2026-Q2</t>
        </is>
      </c>
    </row>
    <row r="2163" ht="25.5" customHeight="1">
      <c r="A2163" t="inlineStr">
        <is>
          <t>【通勤·烟管裤】小直筒显瘦九分牛仔裤女高腰弹力梨形遮胯显瘦</t>
        </is>
      </c>
      <c r="B2163" t="inlineStr">
        <is>
          <t>__upload_recvgY7N5zz9cR.jpg</t>
        </is>
      </c>
      <c r="C2163" s="2" t="str">
        <f>=HYPERLINK("https://xhslink.com/m/7jgu6CFo01i", "https://xhslink.com/m/7jgu6CFo01i")</f>
        <v>https://xhslink.com/m/7jgu6CFo01i</v>
      </c>
      <c r="D2163"/>
      <c r="E2163">
        <v>16000</v>
      </c>
      <c r="F2163">
        <v>169.9</v>
      </c>
      <c r="G2163">
        <v>149.9</v>
      </c>
      <c r="H2163">
        <v>200</v>
      </c>
      <c r="I2163" t="inlineStr">
        <is>
          <t>裤子</t>
        </is>
      </c>
      <c r="J2163" t="inlineStr">
        <is>
          <t>0.01</t>
        </is>
      </c>
      <c r="K2163"/>
      <c r="L2163" t="inlineStr">
        <is>
          <t>ChouMei品质女裤的店</t>
        </is>
      </c>
      <c r="M2163">
        <v>44000</v>
      </c>
      <c r="N2163">
        <v>4.58</v>
      </c>
      <c r="O2163">
        <v>173000</v>
      </c>
      <c r="P2163" t="inlineStr">
        <is>
          <t>69b79d4de95b340001af3d69</t>
        </is>
      </c>
      <c r="Q2163" t="inlineStr">
        <is>
          <t>🚫重复</t>
        </is>
      </c>
      <c r="R2163" t="inlineStr">
        <is>
          <t>16周</t>
        </is>
      </c>
      <c r="S2163" t="inlineStr">
        <is>
          <t>0.36</t>
        </is>
      </c>
      <c r="T2163" t="inlineStr">
        <is>
          <t>服饰穿搭</t>
        </is>
      </c>
      <c r="U2163" t="inlineStr">
        <is>
          <t>女装</t>
        </is>
      </c>
      <c r="V2163" s="3">
        <v>46128.98467592592</v>
      </c>
      <c r="W2163" t="inlineStr">
        <is>
          <t>2026-Q2</t>
        </is>
      </c>
    </row>
    <row r="2164" ht="25.5" customHeight="1">
      <c r="A2164" t="inlineStr">
        <is>
          <t>10137春夏新款西装裤弯刀裤阔腿裤女休闲长裤梨形首选气</t>
        </is>
      </c>
      <c r="B2164" t="inlineStr">
        <is>
          <t>__upload_recvgY7N5zT2RQ.jpg</t>
        </is>
      </c>
      <c r="C2164" s="2" t="str">
        <f>=HYPERLINK("https://xhslink.com/m/6UGMAhagiZA", "https://xhslink.com/m/6UGMAhagiZA")</f>
        <v>https://xhslink.com/m/6UGMAhagiZA</v>
      </c>
      <c r="D2164"/>
      <c r="E2164">
        <v>7459</v>
      </c>
      <c r="F2164">
        <v>129.9</v>
      </c>
      <c r="G2164"/>
      <c r="H2164">
        <v>200</v>
      </c>
      <c r="I2164" t="inlineStr">
        <is>
          <t>裤子</t>
        </is>
      </c>
      <c r="J2164" t="inlineStr">
        <is>
          <t>0.03</t>
        </is>
      </c>
      <c r="K2164"/>
      <c r="L2164" t="inlineStr">
        <is>
          <t>码头薯条的店</t>
        </is>
      </c>
      <c r="M2164">
        <v>12000</v>
      </c>
      <c r="N2164">
        <v>4.65</v>
      </c>
      <c r="O2164">
        <v>24000</v>
      </c>
      <c r="P2164" t="inlineStr">
        <is>
          <t>6911cb9c571d660001571c81</t>
        </is>
      </c>
      <c r="Q2164" t="inlineStr">
        <is>
          <t>🚫重复</t>
        </is>
      </c>
      <c r="R2164" t="inlineStr">
        <is>
          <t>16周</t>
        </is>
      </c>
      <c r="S2164" t="inlineStr">
        <is>
          <t>0.62</t>
        </is>
      </c>
      <c r="T2164" t="inlineStr">
        <is>
          <t>服饰穿搭</t>
        </is>
      </c>
      <c r="U2164" t="inlineStr">
        <is>
          <t>女装</t>
        </is>
      </c>
      <c r="V2164" s="3">
        <v>46128.98467592592</v>
      </c>
      <c r="W2164" t="inlineStr">
        <is>
          <t>2026-Q2</t>
        </is>
      </c>
    </row>
    <row r="2165" ht="25.5" customHeight="1">
      <c r="A2165" t="inlineStr">
        <is>
          <t>『V腰显瘦神裤』显腰细显腿长～喇叭裤175高个子加长款微喇拖地裤</t>
        </is>
      </c>
      <c r="B2165" t="inlineStr">
        <is>
          <t>__upload_recvgY7N5zi7As.jpg</t>
        </is>
      </c>
      <c r="C2165" s="2" t="str">
        <f>=HYPERLINK("https://xhslink.com/m/8JshIdt9mdM", "https://xhslink.com/m/8JshIdt9mdM")</f>
        <v>https://xhslink.com/m/8JshIdt9mdM</v>
      </c>
      <c r="D2165"/>
      <c r="E2165">
        <v>3804</v>
      </c>
      <c r="F2165">
        <v>129</v>
      </c>
      <c r="G2165">
        <v>109</v>
      </c>
      <c r="H2165">
        <v>200</v>
      </c>
      <c r="I2165" t="inlineStr">
        <is>
          <t>裤子</t>
        </is>
      </c>
      <c r="J2165" t="inlineStr">
        <is>
          <t>0.05</t>
        </is>
      </c>
      <c r="K2165"/>
      <c r="L2165" t="inlineStr">
        <is>
          <t>Mogo高个子加长女裤的店</t>
        </is>
      </c>
      <c r="M2165">
        <v>32000</v>
      </c>
      <c r="N2165">
        <v>4.47</v>
      </c>
      <c r="O2165">
        <v>45000</v>
      </c>
      <c r="P2165" t="inlineStr">
        <is>
          <t>66c487a45e048b00017eca2e</t>
        </is>
      </c>
      <c r="Q2165"/>
      <c r="R2165" t="inlineStr">
        <is>
          <t>16周</t>
        </is>
      </c>
      <c r="S2165" t="inlineStr">
        <is>
          <t>0.12</t>
        </is>
      </c>
      <c r="T2165" t="inlineStr">
        <is>
          <t>服饰穿搭</t>
        </is>
      </c>
      <c r="U2165" t="inlineStr">
        <is>
          <t>女装</t>
        </is>
      </c>
      <c r="V2165" s="3">
        <v>46128.98467592592</v>
      </c>
      <c r="W2165" t="inlineStr">
        <is>
          <t>2026-Q2</t>
        </is>
      </c>
    </row>
    <row r="2166" ht="25.5" customHeight="1">
      <c r="A2166" t="inlineStr">
        <is>
          <t>小巴戒 米色牛仔裤女辣妹设计感高腰直筒显瘦宽松拖地阔腿裤</t>
        </is>
      </c>
      <c r="B2166" t="inlineStr">
        <is>
          <t>__upload_recvgY7N5z87l4.jpg</t>
        </is>
      </c>
      <c r="C2166" s="2" t="str">
        <f>=HYPERLINK("https://xhslink.com/m/5lDhulOE9IX", "https://xhslink.com/m/5lDhulOE9IX")</f>
        <v>https://xhslink.com/m/5lDhulOE9IX</v>
      </c>
      <c r="D2166"/>
      <c r="E2166">
        <v>1558</v>
      </c>
      <c r="F2166">
        <v>109</v>
      </c>
      <c r="G2166">
        <v>89</v>
      </c>
      <c r="H2166">
        <v>200</v>
      </c>
      <c r="I2166" t="inlineStr">
        <is>
          <t>裤子</t>
        </is>
      </c>
      <c r="J2166" t="inlineStr">
        <is>
          <t>0.13</t>
        </is>
      </c>
      <c r="K2166"/>
      <c r="L2166" t="inlineStr">
        <is>
          <t>小巴戒的店</t>
        </is>
      </c>
      <c r="M2166">
        <v>30000</v>
      </c>
      <c r="N2166">
        <v>4.47</v>
      </c>
      <c r="O2166">
        <v>181000</v>
      </c>
      <c r="P2166" t="inlineStr">
        <is>
          <t>694fedfc96a9fa000182b10b</t>
        </is>
      </c>
      <c r="Q2166" t="inlineStr">
        <is>
          <t>🚫重复</t>
        </is>
      </c>
      <c r="R2166" t="inlineStr">
        <is>
          <t>16周</t>
        </is>
      </c>
      <c r="S2166" t="inlineStr">
        <is>
          <t>0.05</t>
        </is>
      </c>
      <c r="T2166" t="inlineStr">
        <is>
          <t>服饰穿搭</t>
        </is>
      </c>
      <c r="U2166" t="inlineStr">
        <is>
          <t>女装</t>
        </is>
      </c>
      <c r="V2166" s="3">
        <v>46128.98467592592</v>
      </c>
      <c r="W2166" t="inlineStr">
        <is>
          <t>2026-Q2</t>
        </is>
      </c>
    </row>
    <row r="2167" ht="25.5" customHeight="1">
      <c r="A2167" t="inlineStr">
        <is>
          <t>口碑款~随性又休闲通勤高腰牛仔直筒裤九分裤/长裤女 新品</t>
        </is>
      </c>
      <c r="B2167" t="inlineStr">
        <is>
          <t>__upload_recvgY7N5zQ5f3.jpg</t>
        </is>
      </c>
      <c r="C2167" s="2" t="str">
        <f>=HYPERLINK("https://xhslink.com/m/3DBUL4BEsKv", "https://xhslink.com/m/3DBUL4BEsKv")</f>
        <v>https://xhslink.com/m/3DBUL4BEsKv</v>
      </c>
      <c r="D2167"/>
      <c r="E2167">
        <v>5604</v>
      </c>
      <c r="F2167">
        <v>299</v>
      </c>
      <c r="G2167">
        <v>289</v>
      </c>
      <c r="H2167">
        <v>200</v>
      </c>
      <c r="I2167" t="inlineStr">
        <is>
          <t>裤子</t>
        </is>
      </c>
      <c r="J2167" t="inlineStr">
        <is>
          <t>0.04</t>
        </is>
      </c>
      <c r="K2167"/>
      <c r="L2167" t="inlineStr">
        <is>
          <t>jiajia凝的店</t>
        </is>
      </c>
      <c r="M2167">
        <v>6458</v>
      </c>
      <c r="N2167">
        <v>4.58</v>
      </c>
      <c r="O2167">
        <v>42000</v>
      </c>
      <c r="P2167" t="inlineStr">
        <is>
          <t>680f3a70a548d000156ec491</t>
        </is>
      </c>
      <c r="Q2167" t="inlineStr">
        <is>
          <t>🚫重复</t>
        </is>
      </c>
      <c r="R2167" t="inlineStr">
        <is>
          <t>16周</t>
        </is>
      </c>
      <c r="S2167" t="inlineStr">
        <is>
          <t>0.87</t>
        </is>
      </c>
      <c r="T2167" t="inlineStr">
        <is>
          <t>服饰穿搭</t>
        </is>
      </c>
      <c r="U2167" t="inlineStr">
        <is>
          <t>女装</t>
        </is>
      </c>
      <c r="V2167" s="3">
        <v>46128.98467592592</v>
      </c>
      <c r="W2167" t="inlineStr">
        <is>
          <t>2026-Q2</t>
        </is>
      </c>
    </row>
    <row r="2168" ht="25.5" customHeight="1">
      <c r="A2168" t="inlineStr">
        <is>
          <t>刺绣花朵烫钻牛仔裤女宽松显瘦2026春季新款小个子直筒阔腿裤子</t>
        </is>
      </c>
      <c r="B2168" t="inlineStr">
        <is>
          <t>__upload_recvgY7N5zb1n8.jpg</t>
        </is>
      </c>
      <c r="C2168" s="2" t="str">
        <f>=HYPERLINK("https://xhslink.com/m/8jo2ErmcXma", "https://xhslink.com/m/8jo2ErmcXma")</f>
        <v>https://xhslink.com/m/8jo2ErmcXma</v>
      </c>
      <c r="D2168"/>
      <c r="E2168">
        <v>994</v>
      </c>
      <c r="F2168">
        <v>159</v>
      </c>
      <c r="G2168">
        <v>126</v>
      </c>
      <c r="H2168">
        <v>200</v>
      </c>
      <c r="I2168" t="inlineStr">
        <is>
          <t>裤子</t>
        </is>
      </c>
      <c r="J2168" t="inlineStr">
        <is>
          <t>0.20</t>
        </is>
      </c>
      <c r="K2168"/>
      <c r="L2168" t="inlineStr">
        <is>
          <t>想想阿卓怎么穿的店</t>
        </is>
      </c>
      <c r="M2168">
        <v>5841</v>
      </c>
      <c r="N2168">
        <v>4.63</v>
      </c>
      <c r="O2168">
        <v>9078</v>
      </c>
      <c r="P2168" t="inlineStr">
        <is>
          <t>69c1311fec666400014afb93</t>
        </is>
      </c>
      <c r="Q2168" t="inlineStr">
        <is>
          <t>🚫重复</t>
        </is>
      </c>
      <c r="R2168" t="inlineStr">
        <is>
          <t>16周</t>
        </is>
      </c>
      <c r="S2168" t="inlineStr">
        <is>
          <t>0.17</t>
        </is>
      </c>
      <c r="T2168" t="inlineStr">
        <is>
          <t>服饰穿搭</t>
        </is>
      </c>
      <c r="U2168" t="inlineStr">
        <is>
          <t>女装</t>
        </is>
      </c>
      <c r="V2168" s="3">
        <v>46128.98467592592</v>
      </c>
      <c r="W2168" t="inlineStr">
        <is>
          <t>2026-Q2</t>
        </is>
      </c>
    </row>
    <row r="2169" ht="25.5" customHeight="1">
      <c r="A2169" t="inlineStr">
        <is>
          <t>【前3000名立减30】肌理空气裤春夏清冷显瘦高级感宽松弯刀阔腿裤</t>
        </is>
      </c>
      <c r="B2169" t="inlineStr">
        <is>
          <t>__upload_recvgY7N5z1SGE.jpg</t>
        </is>
      </c>
      <c r="C2169" s="2" t="str">
        <f>=HYPERLINK("https://xhslink.com/m/8aOEWwswVbs", "https://xhslink.com/m/8aOEWwswVbs")</f>
        <v>https://xhslink.com/m/8aOEWwswVbs</v>
      </c>
      <c r="D2169"/>
      <c r="E2169">
        <v>2040</v>
      </c>
      <c r="F2169">
        <v>89.9</v>
      </c>
      <c r="G2169">
        <v>59.9</v>
      </c>
      <c r="H2169">
        <v>200</v>
      </c>
      <c r="I2169" t="inlineStr">
        <is>
          <t>裤子</t>
        </is>
      </c>
      <c r="J2169" t="inlineStr">
        <is>
          <t>0.10</t>
        </is>
      </c>
      <c r="K2169" t="inlineStr">
        <is>
          <t>🔥低粉爆款</t>
        </is>
      </c>
      <c r="L2169" t="inlineStr">
        <is>
          <t>里里来了的店</t>
        </is>
      </c>
      <c r="M2169">
        <v>589</v>
      </c>
      <c r="N2169">
        <v>4.55</v>
      </c>
      <c r="O2169">
        <v>24000</v>
      </c>
      <c r="P2169" t="inlineStr">
        <is>
          <t>69af8045fbdff600018820e3</t>
        </is>
      </c>
      <c r="Q2169"/>
      <c r="R2169" t="inlineStr">
        <is>
          <t>16周</t>
        </is>
      </c>
      <c r="S2169" t="inlineStr">
        <is>
          <t>3.46</t>
        </is>
      </c>
      <c r="T2169" t="inlineStr">
        <is>
          <t>服饰穿搭</t>
        </is>
      </c>
      <c r="U2169" t="inlineStr">
        <is>
          <t>女装</t>
        </is>
      </c>
      <c r="V2169" s="3">
        <v>46128.98467592592</v>
      </c>
      <c r="W2169" t="inlineStr">
        <is>
          <t>2026-Q2</t>
        </is>
      </c>
    </row>
    <row r="2170" ht="25.5" customHeight="1">
      <c r="A2170" t="inlineStr">
        <is>
          <t>【轻氧工装裤】高腰垂感宽松显瘦夏季休闲窄版阔腿直筒裤</t>
        </is>
      </c>
      <c r="B2170" t="inlineStr">
        <is>
          <t>__upload_recvgY7N5zWrOj.jpg</t>
        </is>
      </c>
      <c r="C2170" s="2" t="str">
        <f>=HYPERLINK("https://xhslink.com/m/AW41RpUtm9g", "https://xhslink.com/m/AW41RpUtm9g")</f>
        <v>https://xhslink.com/m/AW41RpUtm9g</v>
      </c>
      <c r="D2170"/>
      <c r="E2170">
        <v>663</v>
      </c>
      <c r="F2170">
        <v>98</v>
      </c>
      <c r="G2170">
        <v>89</v>
      </c>
      <c r="H2170">
        <v>200</v>
      </c>
      <c r="I2170" t="inlineStr">
        <is>
          <t>裤子</t>
        </is>
      </c>
      <c r="J2170" t="inlineStr">
        <is>
          <t>0.30</t>
        </is>
      </c>
      <c r="K2170"/>
      <c r="L2170" t="inlineStr">
        <is>
          <t>苏大椰穿搭的店</t>
        </is>
      </c>
      <c r="M2170">
        <v>8194</v>
      </c>
      <c r="N2170">
        <v>4.69</v>
      </c>
      <c r="O2170">
        <v>120000</v>
      </c>
      <c r="P2170" t="inlineStr">
        <is>
          <t>69c376fa15bd740001f28656</t>
        </is>
      </c>
      <c r="Q2170" t="inlineStr">
        <is>
          <t>🚫重复</t>
        </is>
      </c>
      <c r="R2170" t="inlineStr">
        <is>
          <t>16周</t>
        </is>
      </c>
      <c r="S2170" t="inlineStr">
        <is>
          <t>0.08</t>
        </is>
      </c>
      <c r="T2170" t="inlineStr">
        <is>
          <t>服饰穿搭</t>
        </is>
      </c>
      <c r="U2170" t="inlineStr">
        <is>
          <t>女装</t>
        </is>
      </c>
      <c r="V2170" s="3">
        <v>46128.98467592592</v>
      </c>
      <c r="W2170" t="inlineStr">
        <is>
          <t>2026-Q2</t>
        </is>
      </c>
    </row>
    <row r="2171" ht="25.5" customHeight="1">
      <c r="A2171" t="inlineStr">
        <is>
          <t>郭肉肉卷边阔腿松紧腰宽松百搭春夏休闲裤直筒裤女薄款不起球</t>
        </is>
      </c>
      <c r="B2171" t="inlineStr">
        <is>
          <t>__upload_recvgY7N5zMccn.jpg</t>
        </is>
      </c>
      <c r="C2171" s="2" t="str">
        <f>=HYPERLINK("https://xhslink.com/m/5DUIcmv2ROx", "https://xhslink.com/m/5DUIcmv2ROx")</f>
        <v>https://xhslink.com/m/5DUIcmv2ROx</v>
      </c>
      <c r="D2171"/>
      <c r="E2171">
        <v>572</v>
      </c>
      <c r="F2171">
        <v>119.9</v>
      </c>
      <c r="G2171">
        <v>99.9</v>
      </c>
      <c r="H2171">
        <v>200</v>
      </c>
      <c r="I2171" t="inlineStr">
        <is>
          <t>裤子</t>
        </is>
      </c>
      <c r="J2171" t="inlineStr">
        <is>
          <t>0.35</t>
        </is>
      </c>
      <c r="K2171"/>
      <c r="L2171" t="inlineStr">
        <is>
          <t>果儿GE的店</t>
        </is>
      </c>
      <c r="M2171">
        <v>2856</v>
      </c>
      <c r="N2171">
        <v>4.53</v>
      </c>
      <c r="O2171">
        <v>6562</v>
      </c>
      <c r="P2171" t="inlineStr">
        <is>
          <t>69c06154ffa26d0001b8eea7</t>
        </is>
      </c>
      <c r="Q2171"/>
      <c r="R2171" t="inlineStr">
        <is>
          <t>16周</t>
        </is>
      </c>
      <c r="S2171" t="inlineStr">
        <is>
          <t>0.20</t>
        </is>
      </c>
      <c r="T2171" t="inlineStr">
        <is>
          <t>服饰穿搭</t>
        </is>
      </c>
      <c r="U2171" t="inlineStr">
        <is>
          <t>女装</t>
        </is>
      </c>
      <c r="V2171" s="3">
        <v>46128.98467592592</v>
      </c>
      <c r="W2171" t="inlineStr">
        <is>
          <t>2026-Q2</t>
        </is>
      </c>
    </row>
    <row r="2172" ht="25.5" customHeight="1">
      <c r="A2172" t="inlineStr">
        <is>
          <t>【李李KING】美式辣妹复古做旧碎布印花香蕉弯刀牛仔裤</t>
        </is>
      </c>
      <c r="B2172" t="inlineStr">
        <is>
          <t>__upload_recvgY7N5zXluZ.jpg</t>
        </is>
      </c>
      <c r="C2172" s="2" t="str">
        <f>=HYPERLINK("https://xhslink.com/m/6lpYMLbz5oH", "https://xhslink.com/m/6lpYMLbz5oH")</f>
        <v>https://xhslink.com/m/6lpYMLbz5oH</v>
      </c>
      <c r="D2172"/>
      <c r="E2172">
        <v>439</v>
      </c>
      <c r="F2172">
        <v>189</v>
      </c>
      <c r="G2172">
        <v>169</v>
      </c>
      <c r="H2172">
        <v>200</v>
      </c>
      <c r="I2172" t="inlineStr">
        <is>
          <t>裤子</t>
        </is>
      </c>
      <c r="J2172" t="inlineStr">
        <is>
          <t>0.46</t>
        </is>
      </c>
      <c r="K2172"/>
      <c r="L2172" t="inlineStr">
        <is>
          <t>李李KING的店</t>
        </is>
      </c>
      <c r="M2172">
        <v>17000</v>
      </c>
      <c r="N2172">
        <v>4.5</v>
      </c>
      <c r="O2172">
        <v>17000</v>
      </c>
      <c r="P2172" t="inlineStr">
        <is>
          <t>69bdaf2815bd74000152b4af</t>
        </is>
      </c>
      <c r="Q2172"/>
      <c r="R2172" t="inlineStr">
        <is>
          <t>16周</t>
        </is>
      </c>
      <c r="S2172" t="inlineStr">
        <is>
          <t>0.03</t>
        </is>
      </c>
      <c r="T2172" t="inlineStr">
        <is>
          <t>服饰穿搭</t>
        </is>
      </c>
      <c r="U2172" t="inlineStr">
        <is>
          <t>女装</t>
        </is>
      </c>
      <c r="V2172" s="3">
        <v>46128.98467592592</v>
      </c>
      <c r="W2172" t="inlineStr">
        <is>
          <t>2026-Q2</t>
        </is>
      </c>
    </row>
    <row r="2173" ht="25.5" customHeight="1">
      <c r="A2173" t="inlineStr">
        <is>
          <t>withtong-bm风低腰显瘦直筒阔腿系带宽松休闲卫裤运动裤</t>
        </is>
      </c>
      <c r="B2173" t="inlineStr">
        <is>
          <t>__upload_recvgY7N5zkhKN.jpg</t>
        </is>
      </c>
      <c r="C2173" s="2" t="str">
        <f>=HYPERLINK("https://xhslink.com/m/6vOTVXb6HVG", "https://xhslink.com/m/6vOTVXb6HVG")</f>
        <v>https://xhslink.com/m/6vOTVXb6HVG</v>
      </c>
      <c r="D2173"/>
      <c r="E2173">
        <v>738</v>
      </c>
      <c r="F2173">
        <v>229</v>
      </c>
      <c r="G2173">
        <v>129</v>
      </c>
      <c r="H2173">
        <v>200</v>
      </c>
      <c r="I2173" t="inlineStr">
        <is>
          <t>裤子</t>
        </is>
      </c>
      <c r="J2173" t="inlineStr">
        <is>
          <t>0.27</t>
        </is>
      </c>
      <c r="K2173"/>
      <c r="L2173" t="inlineStr">
        <is>
          <t>withtong_的店</t>
        </is>
      </c>
      <c r="M2173">
        <v>19000</v>
      </c>
      <c r="N2173">
        <v>4.51</v>
      </c>
      <c r="O2173">
        <v>122000</v>
      </c>
      <c r="P2173" t="inlineStr">
        <is>
          <t>69c7821ce979fc00013f4e6b</t>
        </is>
      </c>
      <c r="Q2173" t="inlineStr">
        <is>
          <t>🚫重复</t>
        </is>
      </c>
      <c r="R2173" t="inlineStr">
        <is>
          <t>16周</t>
        </is>
      </c>
      <c r="S2173" t="inlineStr">
        <is>
          <t>0.04</t>
        </is>
      </c>
      <c r="T2173" t="inlineStr">
        <is>
          <t>服饰穿搭</t>
        </is>
      </c>
      <c r="U2173" t="inlineStr">
        <is>
          <t>女装</t>
        </is>
      </c>
      <c r="V2173" s="3">
        <v>46128.98467592592</v>
      </c>
      <c r="W2173" t="inlineStr">
        <is>
          <t>2026-Q2</t>
        </is>
      </c>
    </row>
    <row r="2174" ht="25.5" customHeight="1">
      <c r="A2174" t="inlineStr">
        <is>
          <t>MOONSTAR · 夏季透气宝宝鞋子进口网面凉鞋机能婴儿鞋防滑童鞋1-3岁学步鞋</t>
        </is>
      </c>
      <c r="B2174" t="inlineStr">
        <is>
          <t>__upload_recvgY7N5zeXtl.jpg</t>
        </is>
      </c>
      <c r="C2174" s="2" t="str">
        <f>=HYPERLINK("https://xhslink.com/m/8mis10bFxg", "https://xhslink.com/m/8mis10bFxg")</f>
        <v>https://xhslink.com/m/8mis10bFxg</v>
      </c>
      <c r="D2174"/>
      <c r="E2174">
        <v>2640</v>
      </c>
      <c r="F2174">
        <v>319</v>
      </c>
      <c r="G2174"/>
      <c r="H2174">
        <v>200</v>
      </c>
      <c r="I2174" t="inlineStr">
        <is>
          <t>宝宝鞋</t>
        </is>
      </c>
      <c r="J2174" t="inlineStr">
        <is>
          <t>0.08</t>
        </is>
      </c>
      <c r="K2174"/>
      <c r="L2174" t="inlineStr">
        <is>
          <t>MOONSTAR精萌专卖店</t>
        </is>
      </c>
      <c r="M2174">
        <v>1204</v>
      </c>
      <c r="N2174">
        <v>4.6</v>
      </c>
      <c r="O2174">
        <v>44000</v>
      </c>
      <c r="P2174" t="inlineStr">
        <is>
          <t>6698be40924cfd000199173e</t>
        </is>
      </c>
      <c r="Q2174"/>
      <c r="R2174" t="inlineStr">
        <is>
          <t>16周</t>
        </is>
      </c>
      <c r="S2174" t="inlineStr">
        <is>
          <t>2.19</t>
        </is>
      </c>
      <c r="T2174" t="inlineStr">
        <is>
          <t>母婴亲子</t>
        </is>
      </c>
      <c r="U2174" t="inlineStr">
        <is>
          <t>童装童鞋</t>
        </is>
      </c>
      <c r="V2174" s="3">
        <v>46128.98467592592</v>
      </c>
      <c r="W2174" t="inlineStr">
        <is>
          <t>2026-Q2</t>
        </is>
      </c>
    </row>
    <row r="2175" ht="25.5" customHeight="1">
      <c r="A2175" t="inlineStr">
        <is>
          <t>大容量双肩包女初高中大学生书包户外旅行背包百搭超轻便携潮流包</t>
        </is>
      </c>
      <c r="B2175" t="inlineStr">
        <is>
          <t>__upload_recvgY7N5zij3A.jpg</t>
        </is>
      </c>
      <c r="C2175" s="2" t="str">
        <f>=HYPERLINK("https://xhslink.com/m/9XIGduhXsWC", "https://xhslink.com/m/9XIGduhXsWC")</f>
        <v>https://xhslink.com/m/9XIGduhXsWC</v>
      </c>
      <c r="D2175"/>
      <c r="E2175">
        <v>35000</v>
      </c>
      <c r="F2175">
        <v>59.9</v>
      </c>
      <c r="G2175"/>
      <c r="H2175">
        <v>200</v>
      </c>
      <c r="I2175" t="inlineStr">
        <is>
          <t>背包</t>
        </is>
      </c>
      <c r="J2175" t="inlineStr">
        <is>
          <t>0.01</t>
        </is>
      </c>
      <c r="K2175" t="inlineStr">
        <is>
          <t>🔥低粉爆款</t>
        </is>
      </c>
      <c r="L2175" t="inlineStr">
        <is>
          <t>小荆皮具的店</t>
        </is>
      </c>
      <c r="M2175">
        <v>9642</v>
      </c>
      <c r="N2175">
        <v>4.74</v>
      </c>
      <c r="O2175">
        <v>212000</v>
      </c>
      <c r="P2175" t="inlineStr">
        <is>
          <t>67c541b8f2389c0001ea31a1</t>
        </is>
      </c>
      <c r="Q2175" t="inlineStr">
        <is>
          <t>🚫重复</t>
        </is>
      </c>
      <c r="R2175" t="inlineStr">
        <is>
          <t>16周</t>
        </is>
      </c>
      <c r="S2175" t="inlineStr">
        <is>
          <t>3.63</t>
        </is>
      </c>
      <c r="T2175" t="inlineStr">
        <is>
          <t>服饰穿搭</t>
        </is>
      </c>
      <c r="U2175" t="inlineStr">
        <is>
          <t>鞋靴箱包</t>
        </is>
      </c>
      <c r="V2175" s="3">
        <v>46128.98467592592</v>
      </c>
      <c r="W2175" t="inlineStr">
        <is>
          <t>2026-Q2</t>
        </is>
      </c>
    </row>
    <row r="2176" ht="25.5" customHeight="1">
      <c r="A2176" t="inlineStr">
        <is>
          <t>卡卡业 · 【牛乳全麦厚切生吐司】新鲜牛乳不添加一滴水全麦面包</t>
        </is>
      </c>
      <c r="B2176" t="inlineStr">
        <is>
          <t>__upload_recvgY7N5zO1jf.jpg</t>
        </is>
      </c>
      <c r="C2176" s="2" t="str">
        <f>=HYPERLINK("https://xhslink.com/m/3ez0xBcb2sm", "https://xhslink.com/m/3ez0xBcb2sm")</f>
        <v>https://xhslink.com/m/3ez0xBcb2sm</v>
      </c>
      <c r="D2176"/>
      <c r="E2176">
        <v>104000</v>
      </c>
      <c r="F2176">
        <v>44.8</v>
      </c>
      <c r="G2176">
        <v>39.8</v>
      </c>
      <c r="H2176">
        <v>200</v>
      </c>
      <c r="I2176" t="inlineStr">
        <is>
          <t>早餐面包</t>
        </is>
      </c>
      <c r="J2176" t="inlineStr">
        <is>
          <t>0.00</t>
        </is>
      </c>
      <c r="K2176"/>
      <c r="L2176" t="inlineStr">
        <is>
          <t>卡卡业旗舰店</t>
        </is>
      </c>
      <c r="M2176">
        <v>71000</v>
      </c>
      <c r="N2176">
        <v>4.33</v>
      </c>
      <c r="O2176">
        <v>298000</v>
      </c>
      <c r="P2176" t="inlineStr">
        <is>
          <t>6709ec0730fccd0001df1e51</t>
        </is>
      </c>
      <c r="Q2176" t="inlineStr">
        <is>
          <t>🚫重复</t>
        </is>
      </c>
      <c r="R2176" t="inlineStr">
        <is>
          <t>16周</t>
        </is>
      </c>
      <c r="S2176" t="inlineStr">
        <is>
          <t>1.46</t>
        </is>
      </c>
      <c r="T2176" t="inlineStr">
        <is>
          <t>美食滋补</t>
        </is>
      </c>
      <c r="U2176" t="inlineStr">
        <is>
          <t>休闲零食</t>
        </is>
      </c>
      <c r="V2176" s="3">
        <v>46128.98467592592</v>
      </c>
      <c r="W2176" t="inlineStr">
        <is>
          <t>2026-Q2</t>
        </is>
      </c>
    </row>
    <row r="2177" ht="25.5" customHeight="1">
      <c r="A2177" t="inlineStr">
        <is>
          <t>【600g】量贩装品质恰巴塔600克 9-10枚面包无蔗糖健康健身代餐</t>
        </is>
      </c>
      <c r="B2177" t="inlineStr">
        <is>
          <t>__upload_recvgY7N5zhkPR.jpg</t>
        </is>
      </c>
      <c r="C2177" s="2" t="str">
        <f>=HYPERLINK("https://xhslink.com/m/7thfRHvEwEY", "https://xhslink.com/m/7thfRHvEwEY")</f>
        <v>https://xhslink.com/m/7thfRHvEwEY</v>
      </c>
      <c r="D2177"/>
      <c r="E2177">
        <v>45000</v>
      </c>
      <c r="F2177">
        <v>29.9</v>
      </c>
      <c r="G2177"/>
      <c r="H2177">
        <v>200</v>
      </c>
      <c r="I2177" t="inlineStr">
        <is>
          <t>早餐面包</t>
        </is>
      </c>
      <c r="J2177" t="inlineStr">
        <is>
          <t>0.00</t>
        </is>
      </c>
      <c r="K2177" t="inlineStr">
        <is>
          <t>🔥低粉爆款</t>
        </is>
      </c>
      <c r="L2177" t="inlineStr">
        <is>
          <t>美糖手工烘焙工坊的店</t>
        </is>
      </c>
      <c r="M2177">
        <v>9231</v>
      </c>
      <c r="N2177">
        <v>4.66</v>
      </c>
      <c r="O2177">
        <v>66000</v>
      </c>
      <c r="P2177" t="inlineStr">
        <is>
          <t>6885c25379bc470001b05083</t>
        </is>
      </c>
      <c r="Q2177" t="inlineStr">
        <is>
          <t>🚫重复</t>
        </is>
      </c>
      <c r="R2177" t="inlineStr">
        <is>
          <t>16周</t>
        </is>
      </c>
      <c r="S2177" t="inlineStr">
        <is>
          <t>4.87</t>
        </is>
      </c>
      <c r="T2177" t="inlineStr">
        <is>
          <t>美食滋补</t>
        </is>
      </c>
      <c r="U2177" t="inlineStr">
        <is>
          <t>休闲零食</t>
        </is>
      </c>
      <c r="V2177" s="3">
        <v>46128.98467592592</v>
      </c>
      <c r="W2177" t="inlineStr">
        <is>
          <t>2026-Q2</t>
        </is>
      </c>
    </row>
    <row r="2178" ht="25.5" customHeight="1">
      <c r="A2178" t="inlineStr">
        <is>
          <t>无蔗糖原味恰巴塔咸口面包早餐代餐餐包意大利硬欧包西式糕点即食</t>
        </is>
      </c>
      <c r="B2178" t="inlineStr">
        <is>
          <t>__upload_recvgY7N5zj06I.jpg</t>
        </is>
      </c>
      <c r="C2178" s="2" t="str">
        <f>=HYPERLINK("https://xhslink.com/m/Zmzw322zlo", "https://xhslink.com/m/Zmzw322zlo")</f>
        <v>https://xhslink.com/m/Zmzw322zlo</v>
      </c>
      <c r="D2178"/>
      <c r="E2178">
        <v>69000</v>
      </c>
      <c r="F2178">
        <v>29.8</v>
      </c>
      <c r="G2178">
        <v>19.8</v>
      </c>
      <c r="H2178">
        <v>200</v>
      </c>
      <c r="I2178" t="inlineStr">
        <is>
          <t>早餐面包</t>
        </is>
      </c>
      <c r="J2178" t="inlineStr">
        <is>
          <t>0.00</t>
        </is>
      </c>
      <c r="K2178" t="inlineStr">
        <is>
          <t>🔥低粉爆款</t>
        </is>
      </c>
      <c r="L2178" t="inlineStr">
        <is>
          <t>丑丑的面包的店</t>
        </is>
      </c>
      <c r="M2178">
        <v>3432</v>
      </c>
      <c r="N2178">
        <v>4.6</v>
      </c>
      <c r="O2178">
        <v>76000</v>
      </c>
      <c r="P2178" t="inlineStr">
        <is>
          <t>67309f384a986500017a6a8c</t>
        </is>
      </c>
      <c r="Q2178"/>
      <c r="R2178" t="inlineStr">
        <is>
          <t>16周</t>
        </is>
      </c>
      <c r="S2178" t="inlineStr">
        <is>
          <t>20.10</t>
        </is>
      </c>
      <c r="T2178" t="inlineStr">
        <is>
          <t>美食滋补</t>
        </is>
      </c>
      <c r="U2178" t="inlineStr">
        <is>
          <t>休闲零食</t>
        </is>
      </c>
      <c r="V2178" s="3">
        <v>46128.98467592592</v>
      </c>
      <c r="W2178" t="inlineStr">
        <is>
          <t>2026-Q2</t>
        </is>
      </c>
    </row>
    <row r="2179" ht="25.5" customHeight="1">
      <c r="A2179" t="inlineStr">
        <is>
          <t>【升级款】布朗尼面包法式全麦硬欧风味浓郁扎实饱腹代餐100g/枚</t>
        </is>
      </c>
      <c r="B2179" t="inlineStr">
        <is>
          <t>__upload_recvgY7N5zYefl.jpg</t>
        </is>
      </c>
      <c r="C2179" s="2" t="str">
        <f>=HYPERLINK("https://xhslink.com/m/AWgLDfGUoiP", "https://xhslink.com/m/AWgLDfGUoiP")</f>
        <v>https://xhslink.com/m/AWgLDfGUoiP</v>
      </c>
      <c r="D2179"/>
      <c r="E2179">
        <v>57000</v>
      </c>
      <c r="F2179">
        <v>42.8</v>
      </c>
      <c r="G2179">
        <v>32.8</v>
      </c>
      <c r="H2179">
        <v>200</v>
      </c>
      <c r="I2179" t="inlineStr">
        <is>
          <t>早餐面包</t>
        </is>
      </c>
      <c r="J2179" t="inlineStr">
        <is>
          <t>0.00</t>
        </is>
      </c>
      <c r="K2179" t="inlineStr">
        <is>
          <t>🔥低粉爆款</t>
        </is>
      </c>
      <c r="L2179" t="inlineStr">
        <is>
          <t>麦穗儿BAKERY的店</t>
        </is>
      </c>
      <c r="M2179">
        <v>6675</v>
      </c>
      <c r="N2179">
        <v>4.53</v>
      </c>
      <c r="O2179">
        <v>178000</v>
      </c>
      <c r="P2179" t="inlineStr">
        <is>
          <t>6814cb8a46684b00018521ee</t>
        </is>
      </c>
      <c r="Q2179" t="inlineStr">
        <is>
          <t>🚫重复</t>
        </is>
      </c>
      <c r="R2179" t="inlineStr">
        <is>
          <t>16周</t>
        </is>
      </c>
      <c r="S2179" t="inlineStr">
        <is>
          <t>8.54</t>
        </is>
      </c>
      <c r="T2179" t="inlineStr">
        <is>
          <t>美食滋补</t>
        </is>
      </c>
      <c r="U2179" t="inlineStr">
        <is>
          <t>休闲零食</t>
        </is>
      </c>
      <c r="V2179" s="3">
        <v>46128.98467592592</v>
      </c>
      <c r="W2179" t="inlineStr">
        <is>
          <t>2026-Q2</t>
        </is>
      </c>
    </row>
    <row r="2180" ht="25.5" customHeight="1">
      <c r="A2180" t="inlineStr">
        <is>
          <t>【每天仅100单】私房纯手作系列碱水包 低卡饱腹早餐健身代餐</t>
        </is>
      </c>
      <c r="B2180" t="inlineStr">
        <is>
          <t>__upload_recvgY7N5zh5aq.jpg</t>
        </is>
      </c>
      <c r="C2180" s="2" t="str">
        <f>=HYPERLINK("https://xhslink.com/m/6yKqLyWMyg5", "https://xhslink.com/m/6yKqLyWMyg5")</f>
        <v>https://xhslink.com/m/6yKqLyWMyg5</v>
      </c>
      <c r="D2180"/>
      <c r="E2180">
        <v>4825</v>
      </c>
      <c r="F2180">
        <v>20.8</v>
      </c>
      <c r="G2180">
        <v>9.9</v>
      </c>
      <c r="H2180">
        <v>200</v>
      </c>
      <c r="I2180" t="inlineStr">
        <is>
          <t>早餐面包</t>
        </is>
      </c>
      <c r="J2180" t="inlineStr">
        <is>
          <t>0.04</t>
        </is>
      </c>
      <c r="K2180" t="inlineStr">
        <is>
          <t>🔥低粉爆款</t>
        </is>
      </c>
      <c r="L2180" t="inlineStr">
        <is>
          <t>甜心妈妈手作面包的店</t>
        </is>
      </c>
      <c r="M2180">
        <v>152</v>
      </c>
      <c r="N2180">
        <v>4.3</v>
      </c>
      <c r="O2180">
        <v>5505</v>
      </c>
      <c r="P2180" t="inlineStr">
        <is>
          <t>694768c71f22d20001cdcdb1</t>
        </is>
      </c>
      <c r="Q2180" t="inlineStr">
        <is>
          <t>🚫重复</t>
        </is>
      </c>
      <c r="R2180" t="inlineStr">
        <is>
          <t>16周</t>
        </is>
      </c>
      <c r="S2180" t="inlineStr">
        <is>
          <t>31.74</t>
        </is>
      </c>
      <c r="T2180" t="inlineStr">
        <is>
          <t>美食滋补</t>
        </is>
      </c>
      <c r="U2180" t="inlineStr">
        <is>
          <t>休闲零食</t>
        </is>
      </c>
      <c r="V2180" s="3">
        <v>46128.98467592592</v>
      </c>
      <c r="W2180" t="inlineStr">
        <is>
          <t>2026-Q2</t>
        </is>
      </c>
    </row>
    <row r="2181" ht="25.5" customHeight="1">
      <c r="A2181" t="inlineStr">
        <is>
          <t>亲食派 · 顺丰发货 黑芝麻流心包新中式馒头加热即食手工早餐包子儿童面食</t>
        </is>
      </c>
      <c r="B2181" t="inlineStr">
        <is>
          <t>__upload_recvgY7N5zQpJh.jpg</t>
        </is>
      </c>
      <c r="C2181" s="2" t="str">
        <f>=HYPERLINK("https://xhslink.com/m/5rBii9RvLvG", "https://xhslink.com/m/5rBii9RvLvG")</f>
        <v>https://xhslink.com/m/5rBii9RvLvG</v>
      </c>
      <c r="D2181"/>
      <c r="E2181">
        <v>68000</v>
      </c>
      <c r="F2181">
        <v>28.8</v>
      </c>
      <c r="G2181">
        <v>23.8</v>
      </c>
      <c r="H2181">
        <v>200</v>
      </c>
      <c r="I2181" t="inlineStr">
        <is>
          <t>早餐面包</t>
        </is>
      </c>
      <c r="J2181" t="inlineStr">
        <is>
          <t>0.00</t>
        </is>
      </c>
      <c r="K2181" t="inlineStr">
        <is>
          <t>🔥低粉爆款</t>
        </is>
      </c>
      <c r="L2181" t="inlineStr">
        <is>
          <t>亲食派的店</t>
        </is>
      </c>
      <c r="M2181">
        <v>3152</v>
      </c>
      <c r="N2181">
        <v>4.56</v>
      </c>
      <c r="O2181">
        <v>172000</v>
      </c>
      <c r="P2181" t="inlineStr">
        <is>
          <t>67b82f64eef1820001dc7413</t>
        </is>
      </c>
      <c r="Q2181"/>
      <c r="R2181" t="inlineStr">
        <is>
          <t>16周</t>
        </is>
      </c>
      <c r="S2181" t="inlineStr">
        <is>
          <t>21.57</t>
        </is>
      </c>
      <c r="T2181" t="inlineStr">
        <is>
          <t>美食滋补</t>
        </is>
      </c>
      <c r="U2181" t="inlineStr">
        <is>
          <t>休闲零食</t>
        </is>
      </c>
      <c r="V2181" s="3">
        <v>46128.98467592592</v>
      </c>
      <c r="W2181" t="inlineStr">
        <is>
          <t>2026-Q2</t>
        </is>
      </c>
    </row>
    <row r="2182" ht="25.5" customHeight="1">
      <c r="A2182" t="inlineStr">
        <is>
          <t>Ciabatta恰巴塔夏巴塔无蔗糖代餐面包意大利硬欧包</t>
        </is>
      </c>
      <c r="B2182" t="inlineStr">
        <is>
          <t>__upload_recvgY7N5zlXfC.jpg</t>
        </is>
      </c>
      <c r="C2182" s="2" t="str">
        <f>=HYPERLINK("https://xhslink.com/m/1JmsXzidSpx", "https://xhslink.com/m/1JmsXzidSpx")</f>
        <v>https://xhslink.com/m/1JmsXzidSpx</v>
      </c>
      <c r="D2182"/>
      <c r="E2182">
        <v>72000</v>
      </c>
      <c r="F2182">
        <v>42.8</v>
      </c>
      <c r="G2182">
        <v>39.6</v>
      </c>
      <c r="H2182">
        <v>200</v>
      </c>
      <c r="I2182" t="inlineStr">
        <is>
          <t>早餐面包</t>
        </is>
      </c>
      <c r="J2182" t="inlineStr">
        <is>
          <t>0.00</t>
        </is>
      </c>
      <c r="K2182" t="inlineStr">
        <is>
          <t>🔥低粉爆款</t>
        </is>
      </c>
      <c r="L2182" t="inlineStr">
        <is>
          <t>小新的吃包日记的店</t>
        </is>
      </c>
      <c r="M2182">
        <v>5135</v>
      </c>
      <c r="N2182">
        <v>4.67</v>
      </c>
      <c r="O2182">
        <v>95000</v>
      </c>
      <c r="P2182" t="inlineStr">
        <is>
          <t>660bc24aa9f6ca0001faf3f4</t>
        </is>
      </c>
      <c r="Q2182" t="inlineStr">
        <is>
          <t>🚫重复</t>
        </is>
      </c>
      <c r="R2182" t="inlineStr">
        <is>
          <t>16周</t>
        </is>
      </c>
      <c r="S2182" t="inlineStr">
        <is>
          <t>14.02</t>
        </is>
      </c>
      <c r="T2182" t="inlineStr">
        <is>
          <t>美食滋补</t>
        </is>
      </c>
      <c r="U2182" t="inlineStr">
        <is>
          <t>休闲零食</t>
        </is>
      </c>
      <c r="V2182" s="3">
        <v>46128.98467592592</v>
      </c>
      <c r="W2182" t="inlineStr">
        <is>
          <t>2026-Q2</t>
        </is>
      </c>
    </row>
    <row r="2183" ht="25.5" customHeight="1">
      <c r="A2183" t="inlineStr">
        <is>
          <t>菏泽重瓣芍药花美观芍药花鲜切花</t>
        </is>
      </c>
      <c r="B2183" t="inlineStr">
        <is>
          <t>__upload_recvh40CU0KNO9.jpg</t>
        </is>
      </c>
      <c r="C2183" s="2" t="str">
        <f>=HYPERLINK("https://xhslink.com/m/2Ql1y0XE5gj", "https://xhslink.com/m/2Ql1y0XE5gj")</f>
        <v>https://xhslink.com/m/2Ql1y0XE5gj</v>
      </c>
      <c r="D2183"/>
      <c r="E2183">
        <v>37000</v>
      </c>
      <c r="F2183">
        <v>48.8</v>
      </c>
      <c r="G2183">
        <v>38.8</v>
      </c>
      <c r="H2183">
        <v>200</v>
      </c>
      <c r="I2183" t="inlineStr">
        <is>
          <t>绿植</t>
        </is>
      </c>
      <c r="J2183" t="inlineStr">
        <is>
          <t>0.01</t>
        </is>
      </c>
      <c r="K2183" t="inlineStr">
        <is>
          <t>🔥低粉爆款</t>
        </is>
      </c>
      <c r="L2183" t="inlineStr">
        <is>
          <t>李丹（芍药季）的店</t>
        </is>
      </c>
      <c r="M2183">
        <v>6726</v>
      </c>
      <c r="N2183">
        <v>4.81</v>
      </c>
      <c r="O2183">
        <v>46000</v>
      </c>
      <c r="P2183" t="inlineStr">
        <is>
          <t>65f7091b3b4dcf0001755c09</t>
        </is>
      </c>
      <c r="Q2183"/>
      <c r="R2183" t="inlineStr">
        <is>
          <t>16周</t>
        </is>
      </c>
      <c r="S2183" t="inlineStr">
        <is>
          <t>5.50</t>
        </is>
      </c>
      <c r="T2183" t="inlineStr">
        <is>
          <t>家居生活</t>
        </is>
      </c>
      <c r="U2183" t="inlineStr">
        <is>
          <t>家具家装</t>
        </is>
      </c>
      <c r="V2183" s="3">
        <v>46129.991064814814</v>
      </c>
      <c r="W2183" t="inlineStr">
        <is>
          <t>2026-Q2</t>
        </is>
      </c>
    </row>
    <row r="2184" ht="25.5" customHeight="1">
      <c r="A2184" t="inlineStr">
        <is>
          <t>益观 · 草本海盐热敷包，可反复加热使用</t>
        </is>
      </c>
      <c r="B2184" t="inlineStr">
        <is>
          <t>__upload_recvh40CU0VByV.jpg</t>
        </is>
      </c>
      <c r="C2184" s="2" t="str">
        <f>=HYPERLINK("https://xhslink.com/m/2tFmllwRz7J", "https://xhslink.com/m/2tFmllwRz7J")</f>
        <v>https://xhslink.com/m/2tFmllwRz7J</v>
      </c>
      <c r="D2184"/>
      <c r="E2184">
        <v>42000</v>
      </c>
      <c r="F2184">
        <v>69</v>
      </c>
      <c r="G2184">
        <v>58</v>
      </c>
      <c r="H2184">
        <v>200</v>
      </c>
      <c r="I2184" t="inlineStr">
        <is>
          <t>海盐热敷包</t>
        </is>
      </c>
      <c r="J2184" t="inlineStr">
        <is>
          <t>0.00</t>
        </is>
      </c>
      <c r="K2184" t="inlineStr">
        <is>
          <t>🔥低粉爆款</t>
        </is>
      </c>
      <c r="L2184" t="inlineStr">
        <is>
          <t>益观小玉个护的店</t>
        </is>
      </c>
      <c r="M2184">
        <v>5248</v>
      </c>
      <c r="N2184">
        <v>4.7</v>
      </c>
      <c r="O2184">
        <v>52000</v>
      </c>
      <c r="P2184" t="inlineStr">
        <is>
          <t>67cd984075422f00010713c4</t>
        </is>
      </c>
      <c r="Q2184"/>
      <c r="R2184" t="inlineStr">
        <is>
          <t>16周</t>
        </is>
      </c>
      <c r="S2184" t="inlineStr">
        <is>
          <t>8.00</t>
        </is>
      </c>
      <c r="T2184" t="inlineStr">
        <is>
          <t>美食滋补</t>
        </is>
      </c>
      <c r="U2184" t="inlineStr">
        <is>
          <t>营养滋补</t>
        </is>
      </c>
      <c r="V2184" s="3">
        <v>46129.991064814814</v>
      </c>
      <c r="W2184" t="inlineStr">
        <is>
          <t>2026-Q2</t>
        </is>
      </c>
    </row>
    <row r="2185" ht="25.5" customHeight="1">
      <c r="A2185" t="inlineStr">
        <is>
          <t>手工纯铁无涂层铁锅炒锅小铁锅圆肚锅一人食小锅平底锅不挑炉灶</t>
        </is>
      </c>
      <c r="B2185" t="inlineStr">
        <is>
          <t>__upload_recvh40CU0XnSs.jpg</t>
        </is>
      </c>
      <c r="C2185" s="2" t="str">
        <f>=HYPERLINK("https://xhslink.com/m/7pzNHYtpwtw", "https://xhslink.com/m/7pzNHYtpwtw")</f>
        <v>https://xhslink.com/m/7pzNHYtpwtw</v>
      </c>
      <c r="D2185"/>
      <c r="E2185">
        <v>19000</v>
      </c>
      <c r="F2185">
        <v>71.9</v>
      </c>
      <c r="G2185"/>
      <c r="H2185">
        <v>200</v>
      </c>
      <c r="I2185" t="inlineStr">
        <is>
          <t>厨房用品</t>
        </is>
      </c>
      <c r="J2185" t="inlineStr">
        <is>
          <t>0.01</t>
        </is>
      </c>
      <c r="K2185"/>
      <c r="L2185" t="inlineStr">
        <is>
          <t>Little Beauty（ 外贸厨具馆 ）的店</t>
        </is>
      </c>
      <c r="M2185">
        <v>6449</v>
      </c>
      <c r="N2185">
        <v>4.69</v>
      </c>
      <c r="O2185">
        <v>29000</v>
      </c>
      <c r="P2185" t="inlineStr">
        <is>
          <t>690732772fdb7c00019baf3e</t>
        </is>
      </c>
      <c r="Q2185" t="inlineStr">
        <is>
          <t>🚫重复</t>
        </is>
      </c>
      <c r="R2185" t="inlineStr">
        <is>
          <t>16周</t>
        </is>
      </c>
      <c r="S2185" t="inlineStr">
        <is>
          <t>2.95</t>
        </is>
      </c>
      <c r="T2185" t="inlineStr">
        <is>
          <t>家居生活</t>
        </is>
      </c>
      <c r="U2185" t="inlineStr">
        <is>
          <t>厨房餐饮</t>
        </is>
      </c>
      <c r="V2185" s="3">
        <v>46129.991064814814</v>
      </c>
      <c r="W2185" t="inlineStr">
        <is>
          <t>2026-Q2</t>
        </is>
      </c>
    </row>
    <row r="2186" ht="25.5" customHeight="1">
      <c r="A2186" t="inlineStr">
        <is>
          <t>【三合一冰杯】冰格水杯咖啡杯美式畅饮随行杯三合一按压冰块制杯</t>
        </is>
      </c>
      <c r="B2186" t="inlineStr">
        <is>
          <t>__upload_recvh40CU0UEIK.jpg</t>
        </is>
      </c>
      <c r="C2186" s="2" t="str">
        <f>=HYPERLINK("https://xhslink.com/m/5vDfcNuuQRj", "https://xhslink.com/m/5vDfcNuuQRj")</f>
        <v>https://xhslink.com/m/5vDfcNuuQRj</v>
      </c>
      <c r="D2186"/>
      <c r="E2186">
        <v>3800</v>
      </c>
      <c r="F2186">
        <v>29.9</v>
      </c>
      <c r="G2186">
        <v>19.9</v>
      </c>
      <c r="H2186">
        <v>200</v>
      </c>
      <c r="I2186" t="inlineStr">
        <is>
          <t>厨房用品</t>
        </is>
      </c>
      <c r="J2186" t="inlineStr">
        <is>
          <t>0.05</t>
        </is>
      </c>
      <c r="K2186" t="inlineStr">
        <is>
          <t>🔥低粉爆款</t>
        </is>
      </c>
      <c r="L2186" t="inlineStr">
        <is>
          <t>悦噗Home的店</t>
        </is>
      </c>
      <c r="M2186">
        <v>874</v>
      </c>
      <c r="N2186">
        <v>4.6</v>
      </c>
      <c r="O2186">
        <v>16000</v>
      </c>
      <c r="P2186" t="inlineStr">
        <is>
          <t>69ba48099138010015a812d3</t>
        </is>
      </c>
      <c r="Q2186"/>
      <c r="R2186" t="inlineStr">
        <is>
          <t>16周</t>
        </is>
      </c>
      <c r="S2186" t="inlineStr">
        <is>
          <t>4.35</t>
        </is>
      </c>
      <c r="T2186" t="inlineStr">
        <is>
          <t>家居生活</t>
        </is>
      </c>
      <c r="U2186" t="inlineStr">
        <is>
          <t>厨房餐饮</t>
        </is>
      </c>
      <c r="V2186" s="3">
        <v>46129.991064814814</v>
      </c>
      <c r="W2186" t="inlineStr">
        <is>
          <t>2026-Q2</t>
        </is>
      </c>
    </row>
    <row r="2187" ht="25.5" customHeight="1">
      <c r="A2187" t="inlineStr">
        <is>
          <t>可爱兔子头玩偶毛绒抱枕送男女朋友礼物床上睡沙发靠垫生日礼物</t>
        </is>
      </c>
      <c r="B2187" t="inlineStr">
        <is>
          <t>__upload_recvh40CU0GJcM.jpg</t>
        </is>
      </c>
      <c r="C2187" s="2" t="str">
        <f>=HYPERLINK("https://xhslink.com/m/BCToPNjaER", "https://xhslink.com/m/BCToPNjaER")</f>
        <v>https://xhslink.com/m/BCToPNjaER</v>
      </c>
      <c r="D2187"/>
      <c r="E2187">
        <v>174000</v>
      </c>
      <c r="F2187">
        <v>35.6</v>
      </c>
      <c r="G2187">
        <v>10.9</v>
      </c>
      <c r="H2187">
        <v>200</v>
      </c>
      <c r="I2187" t="inlineStr">
        <is>
          <t>沙发靠枕</t>
        </is>
      </c>
      <c r="J2187" t="inlineStr">
        <is>
          <t>0.00</t>
        </is>
      </c>
      <c r="K2187" t="inlineStr">
        <is>
          <t>🔥低粉爆款</t>
        </is>
      </c>
      <c r="L2187" t="inlineStr">
        <is>
          <t>梵樱优选的店</t>
        </is>
      </c>
      <c r="M2187">
        <v>16000</v>
      </c>
      <c r="N2187">
        <v>4.67</v>
      </c>
      <c r="O2187">
        <v>296000</v>
      </c>
      <c r="P2187" t="inlineStr">
        <is>
          <t>6793843075ca3a0001435c00</t>
        </is>
      </c>
      <c r="Q2187" t="inlineStr">
        <is>
          <t>🚫重复</t>
        </is>
      </c>
      <c r="R2187" t="inlineStr">
        <is>
          <t>16周</t>
        </is>
      </c>
      <c r="S2187" t="inlineStr">
        <is>
          <t>10.88</t>
        </is>
      </c>
      <c r="T2187" t="inlineStr">
        <is>
          <t>家居生活</t>
        </is>
      </c>
      <c r="U2187" t="inlineStr">
        <is>
          <t>家具家装</t>
        </is>
      </c>
      <c r="V2187" s="3">
        <v>46129.991064814814</v>
      </c>
      <c r="W2187" t="inlineStr">
        <is>
          <t>2026-Q2</t>
        </is>
      </c>
    </row>
    <row r="2188" ht="25.5" customHeight="1">
      <c r="A2188" t="inlineStr">
        <is>
          <t>多层置物架卧室收纳架桌面书本架木质分层整理架简约现代书架</t>
        </is>
      </c>
      <c r="B2188" t="inlineStr">
        <is>
          <t>__upload_recvh40CU0cHJU.jpg</t>
        </is>
      </c>
      <c r="C2188" s="2" t="str">
        <f>=HYPERLINK("https://xhslink.com/m/6nYF3fDcbYM", "https://xhslink.com/m/6nYF3fDcbYM")</f>
        <v>https://xhslink.com/m/6nYF3fDcbYM</v>
      </c>
      <c r="D2188"/>
      <c r="E2188">
        <v>10000</v>
      </c>
      <c r="F2188">
        <v>9.9</v>
      </c>
      <c r="G2188"/>
      <c r="H2188">
        <v>200</v>
      </c>
      <c r="I2188" t="inlineStr">
        <is>
          <t>桌面收纳</t>
        </is>
      </c>
      <c r="J2188" t="inlineStr">
        <is>
          <t>0.02</t>
        </is>
      </c>
      <c r="K2188" t="inlineStr">
        <is>
          <t>🔥低粉爆款</t>
        </is>
      </c>
      <c r="L2188" t="inlineStr">
        <is>
          <t>久隆振景竹木的店</t>
        </is>
      </c>
      <c r="M2188">
        <v>125</v>
      </c>
      <c r="N2188">
        <v>4.08</v>
      </c>
      <c r="O2188">
        <v>11000</v>
      </c>
      <c r="P2188" t="inlineStr">
        <is>
          <t>69118fda9de01f00013212ab</t>
        </is>
      </c>
      <c r="Q2188"/>
      <c r="R2188" t="inlineStr">
        <is>
          <t>16周</t>
        </is>
      </c>
      <c r="S2188" t="inlineStr">
        <is>
          <t>80.00</t>
        </is>
      </c>
      <c r="T2188" t="inlineStr">
        <is>
          <t>家居生活</t>
        </is>
      </c>
      <c r="U2188" t="inlineStr">
        <is>
          <t>家居日用</t>
        </is>
      </c>
      <c r="V2188" s="3">
        <v>46129.991064814814</v>
      </c>
      <c r="W2188" t="inlineStr">
        <is>
          <t>2026-Q2</t>
        </is>
      </c>
    </row>
    <row r="2189" ht="25.5" customHeight="1">
      <c r="A2189" t="inlineStr">
        <is>
          <t>【新店开业领券减】水果干冻干果蔬脆零食混合苹果芒果无花果</t>
        </is>
      </c>
      <c r="B2189" t="inlineStr">
        <is>
          <t>__upload_recvh40CU0huz7.jpg</t>
        </is>
      </c>
      <c r="C2189" s="2" t="str">
        <f>=HYPERLINK("https://xhslink.com/m/3lTY9RRN4y9", "https://xhslink.com/m/3lTY9RRN4y9")</f>
        <v>https://xhslink.com/m/3lTY9RRN4y9</v>
      </c>
      <c r="D2189"/>
      <c r="E2189">
        <v>60000</v>
      </c>
      <c r="F2189">
        <v>21.9</v>
      </c>
      <c r="G2189">
        <v>9.9</v>
      </c>
      <c r="H2189">
        <v>200</v>
      </c>
      <c r="I2189" t="inlineStr">
        <is>
          <t>宿舍零食</t>
        </is>
      </c>
      <c r="J2189" t="inlineStr">
        <is>
          <t>0.00</t>
        </is>
      </c>
      <c r="K2189" t="inlineStr">
        <is>
          <t>🔥低粉爆款</t>
        </is>
      </c>
      <c r="L2189" t="inlineStr">
        <is>
          <t>嘎嘎嘣嘣GABONG的店</t>
        </is>
      </c>
      <c r="M2189">
        <v>11000</v>
      </c>
      <c r="N2189">
        <v>4.38</v>
      </c>
      <c r="O2189">
        <v>80000</v>
      </c>
      <c r="P2189" t="inlineStr">
        <is>
          <t>693e3e3d266b95000161fbee</t>
        </is>
      </c>
      <c r="Q2189" t="inlineStr">
        <is>
          <t>🚫重复</t>
        </is>
      </c>
      <c r="R2189" t="inlineStr">
        <is>
          <t>16周</t>
        </is>
      </c>
      <c r="S2189" t="inlineStr">
        <is>
          <t>5.45</t>
        </is>
      </c>
      <c r="T2189" t="inlineStr">
        <is>
          <t>美食滋补</t>
        </is>
      </c>
      <c r="U2189" t="inlineStr">
        <is>
          <t>休闲零食</t>
        </is>
      </c>
      <c r="V2189" s="3">
        <v>46129.991064814814</v>
      </c>
      <c r="W2189" t="inlineStr">
        <is>
          <t>2026-Q2</t>
        </is>
      </c>
    </row>
    <row r="2190" ht="25.5" customHeight="1">
      <c r="A2190" t="inlineStr">
        <is>
          <t>武济塘沽鸭货王 · 网红爆款香辣素菜大杂烩开袋即食卤味休闲零食追剧解馋必备下酒菜</t>
        </is>
      </c>
      <c r="B2190" t="inlineStr">
        <is>
          <t>__upload_recvh40CU0bSTy.jpg</t>
        </is>
      </c>
      <c r="C2190" s="2" t="str">
        <f>=HYPERLINK("https://xhslink.com/m/6C6ZeHOzFlp", "https://xhslink.com/m/6C6ZeHOzFlp")</f>
        <v>https://xhslink.com/m/6C6ZeHOzFlp</v>
      </c>
      <c r="D2190"/>
      <c r="E2190">
        <v>4230</v>
      </c>
      <c r="F2190">
        <v>29.9</v>
      </c>
      <c r="G2190"/>
      <c r="H2190">
        <v>200</v>
      </c>
      <c r="I2190" t="inlineStr">
        <is>
          <t>宿舍零食</t>
        </is>
      </c>
      <c r="J2190" t="inlineStr">
        <is>
          <t>0.05</t>
        </is>
      </c>
      <c r="K2190" t="inlineStr">
        <is>
          <t>🔥低粉爆款</t>
        </is>
      </c>
      <c r="L2190" t="inlineStr">
        <is>
          <t>武济塘沽鸭货王旗舰店</t>
        </is>
      </c>
      <c r="M2190">
        <v>134</v>
      </c>
      <c r="N2190">
        <v>4.34</v>
      </c>
      <c r="O2190">
        <v>5359</v>
      </c>
      <c r="P2190" t="inlineStr">
        <is>
          <t>68db8a70f8d1f000013b623e</t>
        </is>
      </c>
      <c r="Q2190" t="inlineStr">
        <is>
          <t>🚫重复</t>
        </is>
      </c>
      <c r="R2190" t="inlineStr">
        <is>
          <t>16周</t>
        </is>
      </c>
      <c r="S2190" t="inlineStr">
        <is>
          <t>31.57</t>
        </is>
      </c>
      <c r="T2190" t="inlineStr">
        <is>
          <t>美食滋补</t>
        </is>
      </c>
      <c r="U2190" t="inlineStr">
        <is>
          <t>休闲零食</t>
        </is>
      </c>
      <c r="V2190" s="3">
        <v>46129.991064814814</v>
      </c>
      <c r="W2190" t="inlineStr">
        <is>
          <t>2026-Q2</t>
        </is>
      </c>
    </row>
    <row r="2191" ht="25.5" customHeight="1">
      <c r="A2191" t="inlineStr">
        <is>
          <t>唐家三少500g靖江手撕肉脯蜜汁肉铺网红零食</t>
        </is>
      </c>
      <c r="B2191" t="inlineStr">
        <is>
          <t>__upload_recvh40CU0ahOH.jpg</t>
        </is>
      </c>
      <c r="C2191" s="2" t="str">
        <f>=HYPERLINK("https://xhslink.com/m/8wxhRjBWgjq", "https://xhslink.com/m/8wxhRjBWgjq")</f>
        <v>https://xhslink.com/m/8wxhRjBWgjq</v>
      </c>
      <c r="D2191"/>
      <c r="E2191">
        <v>98000</v>
      </c>
      <c r="F2191">
        <v>33.9</v>
      </c>
      <c r="G2191">
        <v>13.9</v>
      </c>
      <c r="H2191">
        <v>200</v>
      </c>
      <c r="I2191" t="inlineStr">
        <is>
          <t>宿舍零食</t>
        </is>
      </c>
      <c r="J2191" t="inlineStr">
        <is>
          <t>0.00</t>
        </is>
      </c>
      <c r="K2191" t="inlineStr">
        <is>
          <t>🔥低粉爆款</t>
        </is>
      </c>
      <c r="L2191" t="inlineStr">
        <is>
          <t>茹茹食光的店</t>
        </is>
      </c>
      <c r="M2191">
        <v>17000</v>
      </c>
      <c r="N2191">
        <v>4.36</v>
      </c>
      <c r="O2191">
        <v>249000</v>
      </c>
      <c r="P2191" t="inlineStr">
        <is>
          <t>68a2c934aa1e7b0015979747</t>
        </is>
      </c>
      <c r="Q2191" t="inlineStr">
        <is>
          <t>🚫重复</t>
        </is>
      </c>
      <c r="R2191" t="inlineStr">
        <is>
          <t>16周</t>
        </is>
      </c>
      <c r="S2191" t="inlineStr">
        <is>
          <t>5.76</t>
        </is>
      </c>
      <c r="T2191" t="inlineStr">
        <is>
          <t>美食滋补</t>
        </is>
      </c>
      <c r="U2191" t="inlineStr">
        <is>
          <t>休闲零食</t>
        </is>
      </c>
      <c r="V2191" s="3">
        <v>46129.991064814814</v>
      </c>
      <c r="W2191" t="inlineStr">
        <is>
          <t>2026-Q2</t>
        </is>
      </c>
    </row>
    <row r="2192" ht="25.5" customHeight="1">
      <c r="A2192" t="inlineStr">
        <is>
          <t>【按斤卖】顺丰蓝莓云南高山现摘新鲜时令当季水果孕妇水果脆酸甜</t>
        </is>
      </c>
      <c r="B2192" t="inlineStr">
        <is>
          <t>__upload_recvh40CU0A6s9.jpg</t>
        </is>
      </c>
      <c r="C2192" s="2" t="str">
        <f>=HYPERLINK("https://xhslink.com/m/Q5Vdxn4f71", "https://xhslink.com/m/Q5Vdxn4f71")</f>
        <v>https://xhslink.com/m/Q5Vdxn4f71</v>
      </c>
      <c r="D2192"/>
      <c r="E2192">
        <v>775</v>
      </c>
      <c r="F2192">
        <v>46</v>
      </c>
      <c r="G2192">
        <v>19.9</v>
      </c>
      <c r="H2192">
        <v>200</v>
      </c>
      <c r="I2192" t="inlineStr">
        <is>
          <t>水果</t>
        </is>
      </c>
      <c r="J2192" t="inlineStr">
        <is>
          <t>0.26</t>
        </is>
      </c>
      <c r="K2192"/>
      <c r="L2192" t="inlineStr">
        <is>
          <t>薯小二农场的店</t>
        </is>
      </c>
      <c r="M2192">
        <v>5452</v>
      </c>
      <c r="N2192">
        <v>4.75</v>
      </c>
      <c r="O2192">
        <v>91000</v>
      </c>
      <c r="P2192" t="inlineStr">
        <is>
          <t>69d854810fb9470001e6d4f1</t>
        </is>
      </c>
      <c r="Q2192"/>
      <c r="R2192" t="inlineStr">
        <is>
          <t>16周</t>
        </is>
      </c>
      <c r="S2192" t="inlineStr">
        <is>
          <t>0.14</t>
        </is>
      </c>
      <c r="T2192" t="inlineStr">
        <is>
          <t>美食滋补</t>
        </is>
      </c>
      <c r="U2192" t="inlineStr">
        <is>
          <t>生鲜特产</t>
        </is>
      </c>
      <c r="V2192" s="3">
        <v>46129.991064814814</v>
      </c>
      <c r="W2192" t="inlineStr">
        <is>
          <t>2026-Q2</t>
        </is>
      </c>
    </row>
    <row r="2193" ht="25.5" customHeight="1">
      <c r="A2193" t="inlineStr">
        <is>
          <t>云南产地直发新鲜土豆现挖黄心粉糯洋芋农家马铃薯应季蔬菜3/5/9</t>
        </is>
      </c>
      <c r="B2193" t="inlineStr">
        <is>
          <t>__upload_recvh40CU04VUN.jpg</t>
        </is>
      </c>
      <c r="C2193" s="2" t="str">
        <f>=HYPERLINK("https://xhslink.com/m/8QnV8CoMktQ", "https://xhslink.com/m/8QnV8CoMktQ")</f>
        <v>https://xhslink.com/m/8QnV8CoMktQ</v>
      </c>
      <c r="D2193"/>
      <c r="E2193">
        <v>12000</v>
      </c>
      <c r="F2193">
        <v>25.6</v>
      </c>
      <c r="G2193">
        <v>11.6</v>
      </c>
      <c r="H2193">
        <v>200</v>
      </c>
      <c r="I2193" t="inlineStr">
        <is>
          <t>蔬菜</t>
        </is>
      </c>
      <c r="J2193" t="inlineStr">
        <is>
          <t>0.02</t>
        </is>
      </c>
      <c r="K2193" t="inlineStr">
        <is>
          <t>🔥低粉爆款</t>
        </is>
      </c>
      <c r="L2193" t="inlineStr">
        <is>
          <t>洋洋家的小农场的店</t>
        </is>
      </c>
      <c r="M2193">
        <v>523</v>
      </c>
      <c r="N2193">
        <v>4.34</v>
      </c>
      <c r="O2193">
        <v>20000</v>
      </c>
      <c r="P2193" t="inlineStr">
        <is>
          <t>69b28855771a67000173c4bb</t>
        </is>
      </c>
      <c r="Q2193"/>
      <c r="R2193" t="inlineStr">
        <is>
          <t>16周</t>
        </is>
      </c>
      <c r="S2193" t="inlineStr">
        <is>
          <t>22.94</t>
        </is>
      </c>
      <c r="T2193" t="inlineStr">
        <is>
          <t>美食滋补</t>
        </is>
      </c>
      <c r="U2193" t="inlineStr">
        <is>
          <t>生鲜特产</t>
        </is>
      </c>
      <c r="V2193" s="3">
        <v>46129.991064814814</v>
      </c>
      <c r="W2193" t="inlineStr">
        <is>
          <t>2026-Q2</t>
        </is>
      </c>
    </row>
    <row r="2194" ht="25.5" customHeight="1">
      <c r="A2194" t="inlineStr">
        <is>
          <t>山东头茬新鲜现挖板栗红薯•粉面香甜•低卡代餐孕妇水果</t>
        </is>
      </c>
      <c r="B2194" t="inlineStr">
        <is>
          <t>__upload_recvh40CU0w2ix.jpg</t>
        </is>
      </c>
      <c r="C2194" s="2" t="str">
        <f>=HYPERLINK("https://xhslink.com/m/2pylaQvBSb5", "https://xhslink.com/m/2pylaQvBSb5")</f>
        <v>https://xhslink.com/m/2pylaQvBSb5</v>
      </c>
      <c r="D2194"/>
      <c r="E2194">
        <v>1293</v>
      </c>
      <c r="F2194">
        <v>21.8</v>
      </c>
      <c r="G2194">
        <v>11.8</v>
      </c>
      <c r="H2194">
        <v>200</v>
      </c>
      <c r="I2194" t="inlineStr">
        <is>
          <t>蔬菜</t>
        </is>
      </c>
      <c r="J2194" t="inlineStr">
        <is>
          <t>0.15</t>
        </is>
      </c>
      <c r="K2194" t="inlineStr">
        <is>
          <t>🔥低粉爆款</t>
        </is>
      </c>
      <c r="L2194" t="inlineStr">
        <is>
          <t>小林的地瓜🍠的店</t>
        </is>
      </c>
      <c r="M2194">
        <v>52</v>
      </c>
      <c r="N2194">
        <v>4.6</v>
      </c>
      <c r="O2194">
        <v>1187</v>
      </c>
      <c r="P2194" t="inlineStr">
        <is>
          <t>68c29c49c2780300019d1d51</t>
        </is>
      </c>
      <c r="Q2194"/>
      <c r="R2194" t="inlineStr">
        <is>
          <t>16周</t>
        </is>
      </c>
      <c r="S2194" t="inlineStr">
        <is>
          <t>24.87</t>
        </is>
      </c>
      <c r="T2194" t="inlineStr">
        <is>
          <t>美食滋补</t>
        </is>
      </c>
      <c r="U2194" t="inlineStr">
        <is>
          <t>休闲零食</t>
        </is>
      </c>
      <c r="V2194" s="3">
        <v>46129.991064814814</v>
      </c>
      <c r="W2194" t="inlineStr">
        <is>
          <t>2026-Q2</t>
        </is>
      </c>
    </row>
    <row r="2195" ht="25.5" customHeight="1">
      <c r="A2195" t="inlineStr">
        <is>
          <t>puredew · 刮痧筋膜刀竹木手柄松解肌肉身体刮痧用于全身按摩</t>
        </is>
      </c>
      <c r="B2195" t="inlineStr">
        <is>
          <t>__upload_recvh40CU0Fn41.jpg</t>
        </is>
      </c>
      <c r="C2195" s="2" t="str">
        <f>=HYPERLINK("https://xhslink.com/m/5mBbW2YbIq4", "https://xhslink.com/m/5mBbW2YbIq4")</f>
        <v>https://xhslink.com/m/5mBbW2YbIq4</v>
      </c>
      <c r="D2195"/>
      <c r="E2195">
        <v>25000</v>
      </c>
      <c r="F2195">
        <v>239</v>
      </c>
      <c r="G2195"/>
      <c r="H2195">
        <v>200</v>
      </c>
      <c r="I2195" t="inlineStr">
        <is>
          <t>百货</t>
        </is>
      </c>
      <c r="J2195" t="inlineStr">
        <is>
          <t>0.01</t>
        </is>
      </c>
      <c r="K2195"/>
      <c r="L2195" t="inlineStr">
        <is>
          <t>puredew旗舰店</t>
        </is>
      </c>
      <c r="M2195">
        <v>8892</v>
      </c>
      <c r="N2195">
        <v>4.52</v>
      </c>
      <c r="O2195">
        <v>27000</v>
      </c>
      <c r="P2195" t="inlineStr">
        <is>
          <t>69b227a93eb2480001512c96</t>
        </is>
      </c>
      <c r="Q2195"/>
      <c r="R2195" t="inlineStr">
        <is>
          <t>16周</t>
        </is>
      </c>
      <c r="S2195" t="inlineStr">
        <is>
          <t>2.81</t>
        </is>
      </c>
      <c r="T2195" t="inlineStr">
        <is>
          <t>家居生活</t>
        </is>
      </c>
      <c r="U2195" t="inlineStr">
        <is>
          <t>家居日用</t>
        </is>
      </c>
      <c r="V2195" s="3">
        <v>46129.991064814814</v>
      </c>
      <c r="W2195" t="inlineStr">
        <is>
          <t>2026-Q2</t>
        </is>
      </c>
    </row>
    <row r="2196" ht="25.5" customHeight="1">
      <c r="A2196" t="inlineStr">
        <is>
          <t>乐乐趣 · 橡树林的故事11册礼盒 点读版 低幼启蒙认知儿童立体翻翻绘本</t>
        </is>
      </c>
      <c r="B2196" t="inlineStr">
        <is>
          <t>__upload_recvh40CU0R2Bu.jpg</t>
        </is>
      </c>
      <c r="C2196" s="2" t="str">
        <f>=HYPERLINK("https://xhslink.com/m/5NiljFh2ev7", "https://xhslink.com/m/5NiljFh2ev7")</f>
        <v>https://xhslink.com/m/5NiljFh2ev7</v>
      </c>
      <c r="D2196"/>
      <c r="E2196">
        <v>29000</v>
      </c>
      <c r="F2196">
        <v>148</v>
      </c>
      <c r="G2196"/>
      <c r="H2196">
        <v>200</v>
      </c>
      <c r="I2196" t="inlineStr">
        <is>
          <t>幼儿园绘本</t>
        </is>
      </c>
      <c r="J2196" t="inlineStr">
        <is>
          <t>0.01</t>
        </is>
      </c>
      <c r="K2196"/>
      <c r="L2196" t="inlineStr">
        <is>
          <t>乐乐趣旗舰店</t>
        </is>
      </c>
      <c r="M2196">
        <v>58000</v>
      </c>
      <c r="N2196">
        <v>4.6</v>
      </c>
      <c r="O2196">
        <v>183000</v>
      </c>
      <c r="P2196" t="inlineStr">
        <is>
          <t>65f41b98aed51c0001b2d0aa</t>
        </is>
      </c>
      <c r="Q2196"/>
      <c r="R2196" t="inlineStr">
        <is>
          <t>16周</t>
        </is>
      </c>
      <c r="S2196" t="inlineStr">
        <is>
          <t>0.50</t>
        </is>
      </c>
      <c r="T2196" t="inlineStr">
        <is>
          <t>母婴亲子</t>
        </is>
      </c>
      <c r="U2196" t="inlineStr">
        <is>
          <t>童装童鞋</t>
        </is>
      </c>
      <c r="V2196" s="3">
        <v>46129.991064814814</v>
      </c>
      <c r="W2196" t="inlineStr">
        <is>
          <t>2026-Q2</t>
        </is>
      </c>
    </row>
    <row r="2197" ht="25.5" customHeight="1">
      <c r="A2197" t="inlineStr">
        <is>
          <t>正版·大开本·自然物语儿童科普启蒙绘本·3-8岁幼儿园早教睡前故事</t>
        </is>
      </c>
      <c r="B2197" t="inlineStr">
        <is>
          <t>__upload_recvh40CU0Aysb.jpg</t>
        </is>
      </c>
      <c r="C2197" s="2" t="str">
        <f>=HYPERLINK("https://xhslink.com/m/8SqzplN4L77", "https://xhslink.com/m/8SqzplN4L77")</f>
        <v>https://xhslink.com/m/8SqzplN4L77</v>
      </c>
      <c r="D2197"/>
      <c r="E2197">
        <v>33000</v>
      </c>
      <c r="F2197">
        <v>79</v>
      </c>
      <c r="G2197">
        <v>59</v>
      </c>
      <c r="H2197">
        <v>200</v>
      </c>
      <c r="I2197" t="inlineStr">
        <is>
          <t>幼儿园绘本</t>
        </is>
      </c>
      <c r="J2197" t="inlineStr">
        <is>
          <t>0.01</t>
        </is>
      </c>
      <c r="K2197" t="inlineStr">
        <is>
          <t>🔥低粉爆款</t>
        </is>
      </c>
      <c r="L2197" t="inlineStr">
        <is>
          <t>我家宝贝绘本的店</t>
        </is>
      </c>
      <c r="M2197">
        <v>9857</v>
      </c>
      <c r="N2197">
        <v>4.68</v>
      </c>
      <c r="O2197">
        <v>122000</v>
      </c>
      <c r="P2197" t="inlineStr">
        <is>
          <t>6805ad93bf68a200011f9da8</t>
        </is>
      </c>
      <c r="Q2197"/>
      <c r="R2197" t="inlineStr">
        <is>
          <t>16周</t>
        </is>
      </c>
      <c r="S2197" t="inlineStr">
        <is>
          <t>3.35</t>
        </is>
      </c>
      <c r="T2197" t="inlineStr">
        <is>
          <t>母婴亲子</t>
        </is>
      </c>
      <c r="U2197" t="inlineStr">
        <is>
          <t>玩具早教</t>
        </is>
      </c>
      <c r="V2197" s="3">
        <v>46129.991064814814</v>
      </c>
      <c r="W2197" t="inlineStr">
        <is>
          <t>2026-Q2</t>
        </is>
      </c>
    </row>
    <row r="2198" ht="25.5" customHeight="1">
      <c r="A2198" t="inlineStr">
        <is>
          <t>宝宝好习惯养成绘本0-3岁适合儿童读物儿童益智玩具早教翻翻书</t>
        </is>
      </c>
      <c r="B2198" t="inlineStr">
        <is>
          <t>__upload_recvh40CU0bVfp.jpg</t>
        </is>
      </c>
      <c r="C2198" s="2" t="str">
        <f>=HYPERLINK("https://xhslink.com/m/82tBtSuJaAL", "https://xhslink.com/m/82tBtSuJaAL")</f>
        <v>https://xhslink.com/m/82tBtSuJaAL</v>
      </c>
      <c r="D2198"/>
      <c r="E2198">
        <v>96000</v>
      </c>
      <c r="F2198">
        <v>18.8</v>
      </c>
      <c r="G2198"/>
      <c r="H2198">
        <v>200</v>
      </c>
      <c r="I2198" t="inlineStr">
        <is>
          <t>幼儿园绘本</t>
        </is>
      </c>
      <c r="J2198" t="inlineStr">
        <is>
          <t>0.00</t>
        </is>
      </c>
      <c r="K2198" t="inlineStr">
        <is>
          <t>🔥低粉爆款</t>
        </is>
      </c>
      <c r="L2198" t="inlineStr">
        <is>
          <t>洋洋童书屋的店</t>
        </is>
      </c>
      <c r="M2198">
        <v>10000</v>
      </c>
      <c r="N2198">
        <v>4.46</v>
      </c>
      <c r="O2198">
        <v>216000</v>
      </c>
      <c r="P2198" t="inlineStr">
        <is>
          <t>650bf46b8e00cf0001c9621e</t>
        </is>
      </c>
      <c r="Q2198" t="inlineStr">
        <is>
          <t>🚫重复</t>
        </is>
      </c>
      <c r="R2198" t="inlineStr">
        <is>
          <t>16周</t>
        </is>
      </c>
      <c r="S2198" t="inlineStr">
        <is>
          <t>9.60</t>
        </is>
      </c>
      <c r="T2198" t="inlineStr">
        <is>
          <t>母婴亲子</t>
        </is>
      </c>
      <c r="U2198" t="inlineStr">
        <is>
          <t>玩具早教</t>
        </is>
      </c>
      <c r="V2198" s="3">
        <v>46129.991064814814</v>
      </c>
      <c r="W2198" t="inlineStr">
        <is>
          <t>2026-Q2</t>
        </is>
      </c>
    </row>
    <row r="2199" ht="25.5" customHeight="1">
      <c r="A2199" t="inlineStr">
        <is>
          <t>哈爸来了·《聪明的小海狸》（全7册）手工绘本</t>
        </is>
      </c>
      <c r="B2199" t="inlineStr">
        <is>
          <t>__upload_recvh40CU0qq9g.jpg</t>
        </is>
      </c>
      <c r="C2199" s="2" t="str">
        <f>=HYPERLINK("https://xhslink.com/m/715D5gGb0jS", "https://xhslink.com/m/715D5gGb0jS")</f>
        <v>https://xhslink.com/m/715D5gGb0jS</v>
      </c>
      <c r="D2199"/>
      <c r="E2199">
        <v>33000</v>
      </c>
      <c r="F2199">
        <v>49.9</v>
      </c>
      <c r="G2199">
        <v>29.9</v>
      </c>
      <c r="H2199">
        <v>200</v>
      </c>
      <c r="I2199" t="inlineStr">
        <is>
          <t>幼儿园绘本</t>
        </is>
      </c>
      <c r="J2199" t="inlineStr">
        <is>
          <t>0.01</t>
        </is>
      </c>
      <c r="K2199"/>
      <c r="L2199" t="inlineStr">
        <is>
          <t>哈爸来了的店</t>
        </is>
      </c>
      <c r="M2199">
        <v>159000</v>
      </c>
      <c r="N2199">
        <v>4.55</v>
      </c>
      <c r="O2199">
        <v>288000</v>
      </c>
      <c r="P2199" t="inlineStr">
        <is>
          <t>670e5077f2001200013a1264</t>
        </is>
      </c>
      <c r="Q2199" t="inlineStr">
        <is>
          <t>🚫重复</t>
        </is>
      </c>
      <c r="R2199" t="inlineStr">
        <is>
          <t>16周</t>
        </is>
      </c>
      <c r="S2199" t="inlineStr">
        <is>
          <t>0.21</t>
        </is>
      </c>
      <c r="T2199" t="inlineStr">
        <is>
          <t>母婴亲子</t>
        </is>
      </c>
      <c r="U2199" t="inlineStr">
        <is>
          <t>玩具早教</t>
        </is>
      </c>
      <c r="V2199" s="3">
        <v>46129.991064814814</v>
      </c>
      <c r="W2199" t="inlineStr">
        <is>
          <t>2026-Q2</t>
        </is>
      </c>
    </row>
    <row r="2200" ht="25.5" customHeight="1">
      <c r="A2200" t="inlineStr">
        <is>
          <t>广西红心木瓜新鲜孕妇水果牛奶冰糖心木瓜树上熟产地直发</t>
        </is>
      </c>
      <c r="B2200" t="inlineStr">
        <is>
          <t>__upload_recvh40CU01U33.jpg</t>
        </is>
      </c>
      <c r="C2200" s="2" t="str">
        <f>=HYPERLINK("https://xhslink.com/m/2U3jW2fuUp1", "https://xhslink.com/m/2U3jW2fuUp1")</f>
        <v>https://xhslink.com/m/2U3jW2fuUp1</v>
      </c>
      <c r="D2200"/>
      <c r="E2200">
        <v>24000</v>
      </c>
      <c r="F2200">
        <v>30.6</v>
      </c>
      <c r="G2200">
        <v>18.6</v>
      </c>
      <c r="H2200">
        <v>200</v>
      </c>
      <c r="I2200" t="inlineStr">
        <is>
          <t>水果</t>
        </is>
      </c>
      <c r="J2200" t="inlineStr">
        <is>
          <t>0.01</t>
        </is>
      </c>
      <c r="K2200" t="inlineStr">
        <is>
          <t>🔥低粉爆款</t>
        </is>
      </c>
      <c r="L2200" t="inlineStr">
        <is>
          <t>西西的田间日记的店</t>
        </is>
      </c>
      <c r="M2200">
        <v>34</v>
      </c>
      <c r="N2200">
        <v>4.41</v>
      </c>
      <c r="O2200">
        <v>7855</v>
      </c>
      <c r="P2200" t="inlineStr">
        <is>
          <t>69be4b60ec6664000106640c</t>
        </is>
      </c>
      <c r="Q2200" t="inlineStr">
        <is>
          <t>🚫重复</t>
        </is>
      </c>
      <c r="R2200" t="inlineStr">
        <is>
          <t>16周</t>
        </is>
      </c>
      <c r="S2200" t="inlineStr">
        <is>
          <t>705.88</t>
        </is>
      </c>
      <c r="T2200" t="inlineStr">
        <is>
          <t>美食滋补</t>
        </is>
      </c>
      <c r="U2200" t="inlineStr">
        <is>
          <t>酒水冲饮</t>
        </is>
      </c>
      <c r="V2200" s="3">
        <v>46129.991064814814</v>
      </c>
      <c r="W2200" t="inlineStr">
        <is>
          <t>2026-Q2</t>
        </is>
      </c>
    </row>
    <row r="2201" ht="25.5" customHeight="1">
      <c r="A2201" t="inlineStr">
        <is>
          <t>韩系少女爱心磁吸支架适用苹果17promax防撞边手机壳iPhone161514</t>
        </is>
      </c>
      <c r="B2201" t="inlineStr">
        <is>
          <t>__upload_recvh40CU0eTkZ.jpg</t>
        </is>
      </c>
      <c r="C2201" s="2" t="str">
        <f>=HYPERLINK("https://xhslink.com/m/6Kbc7As4bzV", "https://xhslink.com/m/6Kbc7As4bzV")</f>
        <v>https://xhslink.com/m/6Kbc7As4bzV</v>
      </c>
      <c r="D2201"/>
      <c r="E2201">
        <v>1781</v>
      </c>
      <c r="F2201">
        <v>29.8</v>
      </c>
      <c r="G2201"/>
      <c r="H2201">
        <v>200</v>
      </c>
      <c r="I2201" t="inlineStr">
        <is>
          <t>苹果手机壳</t>
        </is>
      </c>
      <c r="J2201" t="inlineStr">
        <is>
          <t>0.11</t>
        </is>
      </c>
      <c r="K2201"/>
      <c r="L2201" t="inlineStr">
        <is>
          <t>一个匠壳子的店</t>
        </is>
      </c>
      <c r="M2201">
        <v>8127</v>
      </c>
      <c r="N2201">
        <v>4.48</v>
      </c>
      <c r="O2201">
        <v>85000</v>
      </c>
      <c r="P2201" t="inlineStr">
        <is>
          <t>6950d9a50775cd0015176675</t>
        </is>
      </c>
      <c r="Q2201"/>
      <c r="R2201" t="inlineStr">
        <is>
          <t>16周</t>
        </is>
      </c>
      <c r="S2201" t="inlineStr">
        <is>
          <t>0.22</t>
        </is>
      </c>
      <c r="T2201" t="inlineStr">
        <is>
          <t>数码家电</t>
        </is>
      </c>
      <c r="U2201" t="inlineStr">
        <is>
          <t>数码配件</t>
        </is>
      </c>
      <c r="V2201" s="3">
        <v>46129.991064814814</v>
      </c>
      <c r="W2201" t="inlineStr">
        <is>
          <t>2026-Q2</t>
        </is>
      </c>
    </row>
    <row r="2202" ht="25.5" customHeight="1">
      <c r="A2202" t="inlineStr">
        <is>
          <t>[缩肩术罩衫] 肩宽福音.胖mm显瘦慵懒风镂空清爽上衣女微胖牛仔裤</t>
        </is>
      </c>
      <c r="B2202" t="inlineStr">
        <is>
          <t>__upload_recvh9OYwUxFEM.jpg</t>
        </is>
      </c>
      <c r="C2202" s="2" t="str">
        <f>=HYPERLINK("https://xhslink.com/m/2Wo8xGC5VNO", "https://xhslink.com/m/2Wo8xGC5VNO")</f>
        <v>https://xhslink.com/m/2Wo8xGC5VNO</v>
      </c>
      <c r="D2202"/>
      <c r="E2202">
        <v>35000</v>
      </c>
      <c r="F2202">
        <v>29.9</v>
      </c>
      <c r="G2202"/>
      <c r="H2202">
        <v>200</v>
      </c>
      <c r="I2202" t="inlineStr">
        <is>
          <t>大码吊带</t>
        </is>
      </c>
      <c r="J2202" t="inlineStr">
        <is>
          <t>0.01</t>
        </is>
      </c>
      <c r="K2202"/>
      <c r="L2202" t="inlineStr">
        <is>
          <t>可樂很快乐(夏款上新中）的店</t>
        </is>
      </c>
      <c r="M2202">
        <v>1072000</v>
      </c>
      <c r="N2202">
        <v>4.55</v>
      </c>
      <c r="O2202">
        <v>1030000</v>
      </c>
      <c r="P2202" t="inlineStr">
        <is>
          <t>67dc25b621ffb3000123cc92</t>
        </is>
      </c>
      <c r="Q2202"/>
      <c r="R2202" t="inlineStr">
        <is>
          <t>16周</t>
        </is>
      </c>
      <c r="S2202" t="inlineStr">
        <is>
          <t>0.03</t>
        </is>
      </c>
      <c r="T2202" t="inlineStr">
        <is>
          <t>服饰穿搭</t>
        </is>
      </c>
      <c r="U2202" t="inlineStr">
        <is>
          <t>女装</t>
        </is>
      </c>
      <c r="V2202" s="3">
        <v>46130.984930555554</v>
      </c>
      <c r="W2202" t="inlineStr">
        <is>
          <t>2026-Q2</t>
        </is>
      </c>
    </row>
    <row r="2203" ht="25.5" customHeight="1">
      <c r="A2203" t="inlineStr">
        <is>
          <t>【限时49.9】春夏升级莱赛尔+棉吊带-免穿bra舒服透气不闷</t>
        </is>
      </c>
      <c r="B2203" t="inlineStr">
        <is>
          <t>__upload_recvh9P0bmJrCK.jpg</t>
        </is>
      </c>
      <c r="C2203" s="2" t="str">
        <f>=HYPERLINK("https://xhslink.com/m/ssuSQq9sst", "https://xhslink.com/m/ssuSQq9sst")</f>
        <v>https://xhslink.com/m/ssuSQq9sst</v>
      </c>
      <c r="D2203"/>
      <c r="E2203">
        <v>2237</v>
      </c>
      <c r="F2203">
        <v>69.9</v>
      </c>
      <c r="G2203">
        <v>49.9</v>
      </c>
      <c r="H2203">
        <v>200</v>
      </c>
      <c r="I2203" t="inlineStr">
        <is>
          <t>大码吊带</t>
        </is>
      </c>
      <c r="J2203" t="inlineStr">
        <is>
          <t>0.09</t>
        </is>
      </c>
      <c r="K2203"/>
      <c r="L2203" t="inlineStr">
        <is>
          <t>Solmay愫美的店</t>
        </is>
      </c>
      <c r="M2203">
        <v>3235</v>
      </c>
      <c r="N2203">
        <v>4.72</v>
      </c>
      <c r="O2203">
        <v>14000</v>
      </c>
      <c r="P2203" t="inlineStr">
        <is>
          <t>69aa83ff7d0ce000016637c9</t>
        </is>
      </c>
      <c r="Q2203"/>
      <c r="R2203" t="inlineStr">
        <is>
          <t>16周</t>
        </is>
      </c>
      <c r="S2203" t="inlineStr">
        <is>
          <t>0.69</t>
        </is>
      </c>
      <c r="T2203" t="inlineStr">
        <is>
          <t>服饰穿搭</t>
        </is>
      </c>
      <c r="U2203" t="inlineStr">
        <is>
          <t>女装</t>
        </is>
      </c>
      <c r="V2203" s="3">
        <v>46130.98501157408</v>
      </c>
      <c r="W2203" t="inlineStr">
        <is>
          <t>2026-Q2</t>
        </is>
      </c>
    </row>
    <row r="2204" ht="25.5" customHeight="1">
      <c r="A2204" t="inlineStr">
        <is>
          <t>无袖背心裙女夏季茶歇法式度假连衣裙蓝色裙子收腰设计感气质长裙</t>
        </is>
      </c>
      <c r="B2204" t="inlineStr">
        <is>
          <t>__upload_recvh9P0bm6FNK.jpg</t>
        </is>
      </c>
      <c r="C2204" s="2" t="str">
        <f>=HYPERLINK("https://xhslink.com/m/8FdfOjJwOYs", "https://xhslink.com/m/8FdfOjJwOYs")</f>
        <v>https://xhslink.com/m/8FdfOjJwOYs</v>
      </c>
      <c r="D2204"/>
      <c r="E2204">
        <v>15000</v>
      </c>
      <c r="F2204">
        <v>79.99</v>
      </c>
      <c r="G2204">
        <v>76.99</v>
      </c>
      <c r="H2204">
        <v>200</v>
      </c>
      <c r="I2204" t="inlineStr">
        <is>
          <t>海边穿搭</t>
        </is>
      </c>
      <c r="J2204" t="inlineStr">
        <is>
          <t>0.01</t>
        </is>
      </c>
      <c r="K2204" t="inlineStr">
        <is>
          <t>🔥低粉爆款</t>
        </is>
      </c>
      <c r="L2204" t="inlineStr">
        <is>
          <t>Summerの夏天的店</t>
        </is>
      </c>
      <c r="M2204">
        <v>1160</v>
      </c>
      <c r="N2204">
        <v>4.75</v>
      </c>
      <c r="O2204">
        <v>20000</v>
      </c>
      <c r="P2204" t="inlineStr">
        <is>
          <t>67fac1ee26cdaf00016ae390</t>
        </is>
      </c>
      <c r="Q2204"/>
      <c r="R2204" t="inlineStr">
        <is>
          <t>16周</t>
        </is>
      </c>
      <c r="S2204" t="inlineStr">
        <is>
          <t>12.93</t>
        </is>
      </c>
      <c r="T2204" t="inlineStr">
        <is>
          <t>服饰穿搭</t>
        </is>
      </c>
      <c r="U2204" t="inlineStr">
        <is>
          <t>女装</t>
        </is>
      </c>
      <c r="V2204" s="3">
        <v>46130.98501157408</v>
      </c>
      <c r="W2204" t="inlineStr">
        <is>
          <t>2026-Q2</t>
        </is>
      </c>
    </row>
    <row r="2205" ht="25.5" customHeight="1">
      <c r="A2205" t="inlineStr">
        <is>
          <t>很显脸小高级感墨镜拍照巨好看3类遮阳镜男女开车偏光镜850款</t>
        </is>
      </c>
      <c r="B2205" t="inlineStr">
        <is>
          <t>__upload_recvh9P0bm5Xk9.jpg</t>
        </is>
      </c>
      <c r="C2205" s="2" t="str">
        <f>=HYPERLINK("https://xhslink.com/m/24fvvJGUzAs", "https://xhslink.com/m/24fvvJGUzAs")</f>
        <v>https://xhslink.com/m/24fvvJGUzAs</v>
      </c>
      <c r="D2205"/>
      <c r="E2205">
        <v>71000</v>
      </c>
      <c r="F2205">
        <v>28.9</v>
      </c>
      <c r="G2205"/>
      <c r="H2205">
        <v>200</v>
      </c>
      <c r="I2205" t="inlineStr">
        <is>
          <t>海边穿搭</t>
        </is>
      </c>
      <c r="J2205" t="inlineStr">
        <is>
          <t>0.00</t>
        </is>
      </c>
      <c r="K2205" t="inlineStr">
        <is>
          <t>🔥低粉爆款</t>
        </is>
      </c>
      <c r="L2205" t="inlineStr">
        <is>
          <t>MGo的店</t>
        </is>
      </c>
      <c r="M2205">
        <v>8487</v>
      </c>
      <c r="N2205">
        <v>4.59</v>
      </c>
      <c r="O2205">
        <v>84000</v>
      </c>
      <c r="P2205" t="inlineStr">
        <is>
          <t>66628ed23e32aa00011dd0c1</t>
        </is>
      </c>
      <c r="Q2205" t="inlineStr">
        <is>
          <t>🚫重复</t>
        </is>
      </c>
      <c r="R2205" t="inlineStr">
        <is>
          <t>16周</t>
        </is>
      </c>
      <c r="S2205" t="inlineStr">
        <is>
          <t>8.37</t>
        </is>
      </c>
      <c r="T2205" t="inlineStr">
        <is>
          <t>服饰穿搭</t>
        </is>
      </c>
      <c r="U2205" t="inlineStr">
        <is>
          <t>配饰</t>
        </is>
      </c>
      <c r="V2205" s="3">
        <v>46130.98501157408</v>
      </c>
      <c r="W2205" t="inlineStr">
        <is>
          <t>2026-Q2</t>
        </is>
      </c>
    </row>
    <row r="2206" ht="25.5" customHeight="1">
      <c r="A2206" t="inlineStr">
        <is>
          <t>厚底5cm人字拖推荐女EVA防滑防臭泰国三亚旅游沙滩海边凉拖鞋外穿</t>
        </is>
      </c>
      <c r="B2206" t="inlineStr">
        <is>
          <t>__upload_recvh9P0bmVbfu.jpg</t>
        </is>
      </c>
      <c r="C2206" s="2" t="str">
        <f>=HYPERLINK("https://xhslink.com/m/8OlrVKSt8Bb", "https://xhslink.com/m/8OlrVKSt8Bb")</f>
        <v>https://xhslink.com/m/8OlrVKSt8Bb</v>
      </c>
      <c r="D2206"/>
      <c r="E2206">
        <v>36000</v>
      </c>
      <c r="F2206">
        <v>39.9</v>
      </c>
      <c r="G2206">
        <v>29.9</v>
      </c>
      <c r="H2206">
        <v>200</v>
      </c>
      <c r="I2206" t="inlineStr">
        <is>
          <t>海边穿搭</t>
        </is>
      </c>
      <c r="J2206" t="inlineStr">
        <is>
          <t>0.01</t>
        </is>
      </c>
      <c r="K2206" t="inlineStr">
        <is>
          <t>🔥低粉爆款</t>
        </is>
      </c>
      <c r="L2206" t="inlineStr">
        <is>
          <t>小小祎XIAOYI的店</t>
        </is>
      </c>
      <c r="M2206">
        <v>3491</v>
      </c>
      <c r="N2206">
        <v>4.62</v>
      </c>
      <c r="O2206">
        <v>374000</v>
      </c>
      <c r="P2206" t="inlineStr">
        <is>
          <t>677a3ea0a476ce0015e44cb5</t>
        </is>
      </c>
      <c r="Q2206" t="inlineStr">
        <is>
          <t>🚫重复</t>
        </is>
      </c>
      <c r="R2206" t="inlineStr">
        <is>
          <t>16周</t>
        </is>
      </c>
      <c r="S2206" t="inlineStr">
        <is>
          <t>10.31</t>
        </is>
      </c>
      <c r="T2206" t="inlineStr">
        <is>
          <t>服饰穿搭</t>
        </is>
      </c>
      <c r="U2206" t="inlineStr">
        <is>
          <t>鞋靴箱包</t>
        </is>
      </c>
      <c r="V2206" s="3">
        <v>46130.98501157408</v>
      </c>
      <c r="W2206" t="inlineStr">
        <is>
          <t>2026-Q2</t>
        </is>
      </c>
    </row>
    <row r="2207" ht="25.5" customHeight="1">
      <c r="A2207" t="inlineStr">
        <is>
          <t>曲面墨镜2026新款防紫外线复古辣妹太阳镜遮阳夏天方圆脸显脸小女</t>
        </is>
      </c>
      <c r="B2207" t="inlineStr">
        <is>
          <t>__upload_recvh9P0bmx853.jpg</t>
        </is>
      </c>
      <c r="C2207" s="2" t="str">
        <f>=HYPERLINK("https://xhslink.com/m/5bWUtPYkrRt", "https://xhslink.com/m/5bWUtPYkrRt")</f>
        <v>https://xhslink.com/m/5bWUtPYkrRt</v>
      </c>
      <c r="D2207"/>
      <c r="E2207">
        <v>10000</v>
      </c>
      <c r="F2207">
        <v>51.8</v>
      </c>
      <c r="G2207">
        <v>24.9</v>
      </c>
      <c r="H2207">
        <v>200</v>
      </c>
      <c r="I2207" t="inlineStr">
        <is>
          <t>海边穿搭</t>
        </is>
      </c>
      <c r="J2207" t="inlineStr">
        <is>
          <t>0.02</t>
        </is>
      </c>
      <c r="K2207"/>
      <c r="L2207" t="inlineStr">
        <is>
          <t>欣欣又困了的店</t>
        </is>
      </c>
      <c r="M2207">
        <v>4088</v>
      </c>
      <c r="N2207">
        <v>4.63</v>
      </c>
      <c r="O2207">
        <v>79000</v>
      </c>
      <c r="P2207" t="inlineStr">
        <is>
          <t>684801d1802c620001dc8a1c</t>
        </is>
      </c>
      <c r="Q2207"/>
      <c r="R2207" t="inlineStr">
        <is>
          <t>16周</t>
        </is>
      </c>
      <c r="S2207" t="inlineStr">
        <is>
          <t>2.45</t>
        </is>
      </c>
      <c r="T2207" t="inlineStr">
        <is>
          <t>服饰穿搭</t>
        </is>
      </c>
      <c r="U2207" t="inlineStr">
        <is>
          <t>配饰</t>
        </is>
      </c>
      <c r="V2207" s="3">
        <v>46130.98501157408</v>
      </c>
      <c r="W2207" t="inlineStr">
        <is>
          <t>2026-Q2</t>
        </is>
      </c>
    </row>
    <row r="2208" ht="25.5" customHeight="1">
      <c r="A2208" t="inlineStr">
        <is>
          <t>【chynn新店开业】钛钢银色曲线素圈精致简约ins通勤戒指</t>
        </is>
      </c>
      <c r="B2208" t="inlineStr">
        <is>
          <t>__upload_recvh9P0bmXlHy.jpg</t>
        </is>
      </c>
      <c r="C2208" s="2" t="str">
        <f>=HYPERLINK("https://xhslink.com/m/1OPyqFnZRf5", "https://xhslink.com/m/1OPyqFnZRf5")</f>
        <v>https://xhslink.com/m/1OPyqFnZRf5</v>
      </c>
      <c r="D2208"/>
      <c r="E2208">
        <v>2428</v>
      </c>
      <c r="F2208">
        <v>11.9</v>
      </c>
      <c r="G2208">
        <v>9.9</v>
      </c>
      <c r="H2208">
        <v>200</v>
      </c>
      <c r="I2208" t="inlineStr">
        <is>
          <t>戒指</t>
        </is>
      </c>
      <c r="J2208" t="inlineStr">
        <is>
          <t>0.08</t>
        </is>
      </c>
      <c r="K2208" t="inlineStr">
        <is>
          <t>🔥低粉爆款</t>
        </is>
      </c>
      <c r="L2208" t="inlineStr">
        <is>
          <t>chynn的店</t>
        </is>
      </c>
      <c r="M2208">
        <v>736</v>
      </c>
      <c r="N2208">
        <v>4.53</v>
      </c>
      <c r="O2208">
        <v>2581</v>
      </c>
      <c r="P2208" t="inlineStr">
        <is>
          <t>69b8ff15d6abc60001de4aba</t>
        </is>
      </c>
      <c r="Q2208"/>
      <c r="R2208" t="inlineStr">
        <is>
          <t>16周</t>
        </is>
      </c>
      <c r="S2208" t="inlineStr">
        <is>
          <t>3.30</t>
        </is>
      </c>
      <c r="T2208" t="inlineStr">
        <is>
          <t>服饰穿搭</t>
        </is>
      </c>
      <c r="U2208" t="inlineStr">
        <is>
          <t>配饰</t>
        </is>
      </c>
      <c r="V2208" s="3">
        <v>46130.98501157408</v>
      </c>
      <c r="W2208" t="inlineStr">
        <is>
          <t>2026-Q2</t>
        </is>
      </c>
    </row>
    <row r="2209" ht="25.5" customHeight="1">
      <c r="A2209" t="inlineStr">
        <is>
          <t>【原创首发】w字母深顶大头围棒球帽女遮阳百搭刺绣显脸小鸭舌帽</t>
        </is>
      </c>
      <c r="B2209" t="inlineStr">
        <is>
          <t>__upload_recvh9P0bmURDW.jpg</t>
        </is>
      </c>
      <c r="C2209" s="2" t="str">
        <f>=HYPERLINK("https://xhslink.com/m/6hGfG38ySD1", "https://xhslink.com/m/6hGfG38ySD1")</f>
        <v>https://xhslink.com/m/6hGfG38ySD1</v>
      </c>
      <c r="D2209"/>
      <c r="E2209">
        <v>19000</v>
      </c>
      <c r="F2209">
        <v>31.9</v>
      </c>
      <c r="G2209"/>
      <c r="H2209">
        <v>200</v>
      </c>
      <c r="I2209" t="inlineStr">
        <is>
          <t>帽子</t>
        </is>
      </c>
      <c r="J2209" t="inlineStr">
        <is>
          <t>0.01</t>
        </is>
      </c>
      <c r="K2209"/>
      <c r="L2209" t="inlineStr">
        <is>
          <t>盖个帽儿总店铺的店</t>
        </is>
      </c>
      <c r="M2209">
        <v>157000</v>
      </c>
      <c r="N2209">
        <v>4.6</v>
      </c>
      <c r="O2209">
        <v>1618000</v>
      </c>
      <c r="P2209" t="inlineStr">
        <is>
          <t>6810dd9fafdaa600019a256a</t>
        </is>
      </c>
      <c r="Q2209" t="inlineStr">
        <is>
          <t>🚫重复</t>
        </is>
      </c>
      <c r="R2209" t="inlineStr">
        <is>
          <t>16周</t>
        </is>
      </c>
      <c r="S2209" t="inlineStr">
        <is>
          <t>0.12</t>
        </is>
      </c>
      <c r="T2209" t="inlineStr">
        <is>
          <t>服饰穿搭</t>
        </is>
      </c>
      <c r="U2209" t="inlineStr">
        <is>
          <t>配饰</t>
        </is>
      </c>
      <c r="V2209" s="3">
        <v>46130.98501157408</v>
      </c>
      <c r="W2209" t="inlineStr">
        <is>
          <t>2026-Q2</t>
        </is>
      </c>
    </row>
    <row r="2210" ht="25.5" customHeight="1">
      <c r="A2210" t="inlineStr">
        <is>
          <t>【橙子家】大头围55-64字母棒球帽女显脸小宽帽檐秋冬韩版鸭舌帽</t>
        </is>
      </c>
      <c r="B2210" t="inlineStr">
        <is>
          <t>__upload_recvh9P0bm7568.jpg</t>
        </is>
      </c>
      <c r="C2210" s="2" t="str">
        <f>=HYPERLINK("https://xhslink.com/m/46PXbM4EwAt", "https://xhslink.com/m/46PXbM4EwAt")</f>
        <v>https://xhslink.com/m/46PXbM4EwAt</v>
      </c>
      <c r="D2210"/>
      <c r="E2210">
        <v>87000</v>
      </c>
      <c r="F2210">
        <v>36</v>
      </c>
      <c r="G2210"/>
      <c r="H2210">
        <v>200</v>
      </c>
      <c r="I2210" t="inlineStr">
        <is>
          <t>帽子</t>
        </is>
      </c>
      <c r="J2210" t="inlineStr">
        <is>
          <t>0.00</t>
        </is>
      </c>
      <c r="K2210"/>
      <c r="L2210" t="inlineStr">
        <is>
          <t>多肉脸橙子的店的店</t>
        </is>
      </c>
      <c r="M2210">
        <v>84000</v>
      </c>
      <c r="N2210">
        <v>4.47</v>
      </c>
      <c r="O2210">
        <v>1336000</v>
      </c>
      <c r="P2210" t="inlineStr">
        <is>
          <t>650164f4974a690001c0ea30</t>
        </is>
      </c>
      <c r="Q2210" t="inlineStr">
        <is>
          <t>🚫重复</t>
        </is>
      </c>
      <c r="R2210" t="inlineStr">
        <is>
          <t>16周</t>
        </is>
      </c>
      <c r="S2210" t="inlineStr">
        <is>
          <t>1.04</t>
        </is>
      </c>
      <c r="T2210" t="inlineStr">
        <is>
          <t>服饰穿搭</t>
        </is>
      </c>
      <c r="U2210" t="inlineStr">
        <is>
          <t>配饰</t>
        </is>
      </c>
      <c r="V2210" s="3">
        <v>46130.98501157408</v>
      </c>
      <c r="W2210" t="inlineStr">
        <is>
          <t>2026-Q2</t>
        </is>
      </c>
    </row>
    <row r="2211" ht="25.5" customHeight="1">
      <c r="A2211" t="inlineStr">
        <is>
          <t>轻薄显脸小字母鸭舌女帽软顶大头围加深百搭做旧棒球帽遮阳帽子男</t>
        </is>
      </c>
      <c r="B2211" t="inlineStr">
        <is>
          <t>__upload_recvh9P0bmQ6k5.jpg</t>
        </is>
      </c>
      <c r="C2211" s="2" t="str">
        <f>=HYPERLINK("https://xhslink.com/m/6AzhFVOpSbk", "https://xhslink.com/m/6AzhFVOpSbk")</f>
        <v>https://xhslink.com/m/6AzhFVOpSbk</v>
      </c>
      <c r="D2211"/>
      <c r="E2211">
        <v>36000</v>
      </c>
      <c r="F2211">
        <v>32.5</v>
      </c>
      <c r="G2211">
        <v>30.5</v>
      </c>
      <c r="H2211">
        <v>200</v>
      </c>
      <c r="I2211" t="inlineStr">
        <is>
          <t>帽子</t>
        </is>
      </c>
      <c r="J2211" t="inlineStr">
        <is>
          <t>0.01</t>
        </is>
      </c>
      <c r="K2211"/>
      <c r="L2211" t="inlineStr">
        <is>
          <t>帽大户帽行的店</t>
        </is>
      </c>
      <c r="M2211">
        <v>24000</v>
      </c>
      <c r="N2211">
        <v>4.56</v>
      </c>
      <c r="O2211">
        <v>97000</v>
      </c>
      <c r="P2211" t="inlineStr">
        <is>
          <t>66875cf849c6f40001b819a5</t>
        </is>
      </c>
      <c r="Q2211" t="inlineStr">
        <is>
          <t>🚫重复</t>
        </is>
      </c>
      <c r="R2211" t="inlineStr">
        <is>
          <t>16周</t>
        </is>
      </c>
      <c r="S2211" t="inlineStr">
        <is>
          <t>1.50</t>
        </is>
      </c>
      <c r="T2211" t="inlineStr">
        <is>
          <t>服饰穿搭</t>
        </is>
      </c>
      <c r="U2211" t="inlineStr">
        <is>
          <t>配饰</t>
        </is>
      </c>
      <c r="V2211" s="3">
        <v>46130.98501157408</v>
      </c>
      <c r="W2211" t="inlineStr">
        <is>
          <t>2026-Q2</t>
        </is>
      </c>
    </row>
    <row r="2212" ht="25.5" customHeight="1">
      <c r="A2212" t="inlineStr">
        <is>
          <t>【拼豆专用格利特】彩虹渐变缤纷DIY手工材料闪光布饰品配饰装饰</t>
        </is>
      </c>
      <c r="B2212" t="inlineStr">
        <is>
          <t>__upload_recvh9P0bmJRFX.jpg</t>
        </is>
      </c>
      <c r="C2212" s="2" t="str">
        <f>=HYPERLINK("https://xhslink.com/m/7FOkGbeuETR", "https://xhslink.com/m/7FOkGbeuETR")</f>
        <v>https://xhslink.com/m/7FOkGbeuETR</v>
      </c>
      <c r="D2212"/>
      <c r="E2212">
        <v>25000</v>
      </c>
      <c r="F2212">
        <v>20.9</v>
      </c>
      <c r="G2212">
        <v>11.9</v>
      </c>
      <c r="H2212">
        <v>200</v>
      </c>
      <c r="I2212" t="inlineStr">
        <is>
          <t>拼豆</t>
        </is>
      </c>
      <c r="J2212" t="inlineStr">
        <is>
          <t>0.01</t>
        </is>
      </c>
      <c r="K2212" t="inlineStr">
        <is>
          <t>🔥低粉爆款</t>
        </is>
      </c>
      <c r="L2212" t="inlineStr">
        <is>
          <t>豆豆猪不想拼的店</t>
        </is>
      </c>
      <c r="M2212">
        <v>1080</v>
      </c>
      <c r="N2212">
        <v>4.55</v>
      </c>
      <c r="O2212">
        <v>81000</v>
      </c>
      <c r="P2212" t="inlineStr">
        <is>
          <t>69708671474840000198af66</t>
        </is>
      </c>
      <c r="Q2212"/>
      <c r="R2212" t="inlineStr">
        <is>
          <t>16周</t>
        </is>
      </c>
      <c r="S2212" t="inlineStr">
        <is>
          <t>23.15</t>
        </is>
      </c>
      <c r="T2212" t="inlineStr">
        <is>
          <t>运动潮玩</t>
        </is>
      </c>
      <c r="U2212" t="inlineStr">
        <is>
          <t>潮玩手办</t>
        </is>
      </c>
      <c r="V2212" s="3">
        <v>46130.98501157408</v>
      </c>
      <c r="W2212" t="inlineStr">
        <is>
          <t>2026-Q2</t>
        </is>
      </c>
    </row>
    <row r="2213" ht="25.5" customHeight="1">
      <c r="A2213" t="inlineStr">
        <is>
          <t>拼豆diy配件手工工具材料包星星钥匙扣挂件配饰手机链包挂饰品</t>
        </is>
      </c>
      <c r="B2213" t="inlineStr">
        <is>
          <t>__upload_recvh9P0bmSAHU.jpg</t>
        </is>
      </c>
      <c r="C2213" s="2" t="str">
        <f>=HYPERLINK("https://xhslink.com/m/6nMqUmZ91DR", "https://xhslink.com/m/6nMqUmZ91DR")</f>
        <v>https://xhslink.com/m/6nMqUmZ91DR</v>
      </c>
      <c r="D2213"/>
      <c r="E2213">
        <v>20000</v>
      </c>
      <c r="F2213">
        <v>39.9</v>
      </c>
      <c r="G2213">
        <v>13.8</v>
      </c>
      <c r="H2213">
        <v>200</v>
      </c>
      <c r="I2213" t="inlineStr">
        <is>
          <t>拼豆</t>
        </is>
      </c>
      <c r="J2213" t="inlineStr">
        <is>
          <t>0.01</t>
        </is>
      </c>
      <c r="K2213"/>
      <c r="L2213" t="inlineStr">
        <is>
          <t>粒粒皆拼豆的店</t>
        </is>
      </c>
      <c r="M2213">
        <v>17000</v>
      </c>
      <c r="N2213">
        <v>4.59</v>
      </c>
      <c r="O2213">
        <v>52000</v>
      </c>
      <c r="P2213" t="inlineStr">
        <is>
          <t>692e65d0ccb9e000014163ee</t>
        </is>
      </c>
      <c r="Q2213"/>
      <c r="R2213" t="inlineStr">
        <is>
          <t>16周</t>
        </is>
      </c>
      <c r="S2213" t="inlineStr">
        <is>
          <t>1.18</t>
        </is>
      </c>
      <c r="T2213" t="inlineStr">
        <is>
          <t>运动潮玩</t>
        </is>
      </c>
      <c r="U2213" t="inlineStr">
        <is>
          <t>潮玩手办</t>
        </is>
      </c>
      <c r="V2213" s="3">
        <v>46130.98501157408</v>
      </c>
      <c r="W2213" t="inlineStr">
        <is>
          <t>2026-Q2</t>
        </is>
      </c>
    </row>
    <row r="2214" ht="25.5" customHeight="1">
      <c r="A2214" t="inlineStr">
        <is>
          <t>iPureson · 【春夏可用】泊芮森水感身体油 细腻嫩滑 持久留香 旅行装</t>
        </is>
      </c>
      <c r="B2214" t="inlineStr">
        <is>
          <t>__upload_recvh9P0bmzXOH.jpg</t>
        </is>
      </c>
      <c r="C2214" s="2" t="str">
        <f>=HYPERLINK("https://xhslink.com/m/7zRceqnSdSY", "https://xhslink.com/m/7zRceqnSdSY")</f>
        <v>https://xhslink.com/m/7zRceqnSdSY</v>
      </c>
      <c r="D2214"/>
      <c r="E2214">
        <v>42000</v>
      </c>
      <c r="F2214">
        <v>267</v>
      </c>
      <c r="G2214">
        <v>74.9</v>
      </c>
      <c r="H2214">
        <v>200</v>
      </c>
      <c r="I2214" t="inlineStr">
        <is>
          <t>身体护理</t>
        </is>
      </c>
      <c r="J2214" t="inlineStr">
        <is>
          <t>0.00</t>
        </is>
      </c>
      <c r="K2214"/>
      <c r="L2214" t="inlineStr">
        <is>
          <t>iPureson旗舰店</t>
        </is>
      </c>
      <c r="M2214">
        <v>23000</v>
      </c>
      <c r="N2214">
        <v>4.57</v>
      </c>
      <c r="O2214">
        <v>52000</v>
      </c>
      <c r="P2214" t="inlineStr">
        <is>
          <t>698abe89ab9b880001252497</t>
        </is>
      </c>
      <c r="Q2214" t="inlineStr">
        <is>
          <t>🚫重复</t>
        </is>
      </c>
      <c r="R2214" t="inlineStr">
        <is>
          <t>16周</t>
        </is>
      </c>
      <c r="S2214" t="inlineStr">
        <is>
          <t>1.83</t>
        </is>
      </c>
      <c r="T2214" t="inlineStr">
        <is>
          <t>运动潮玩</t>
        </is>
      </c>
      <c r="U2214" t="inlineStr">
        <is>
          <t>旅行出行</t>
        </is>
      </c>
      <c r="V2214" s="3">
        <v>46130.98501157408</v>
      </c>
      <c r="W2214" t="inlineStr">
        <is>
          <t>2026-Q2</t>
        </is>
      </c>
    </row>
    <row r="2215" ht="25.5" customHeight="1">
      <c r="A2215" t="inlineStr">
        <is>
          <t>Heart Percent · 赵露思/lisa同款韩国heartpercent唇线笔自然裸色打底塑形丰唇</t>
        </is>
      </c>
      <c r="B2215" t="inlineStr">
        <is>
          <t>__upload_recvh9P0bmlzO3.jpg</t>
        </is>
      </c>
      <c r="C2215" s="2" t="str">
        <f>=HYPERLINK("https://xhslink.com/m/7OTqujRr2iM", "https://xhslink.com/m/7OTqujRr2iM")</f>
        <v>https://xhslink.com/m/7OTqujRr2iM</v>
      </c>
      <c r="D2215"/>
      <c r="E2215">
        <v>18000</v>
      </c>
      <c r="F2215">
        <v>79</v>
      </c>
      <c r="G2215">
        <v>59</v>
      </c>
      <c r="H2215">
        <v>200</v>
      </c>
      <c r="I2215" t="inlineStr">
        <is>
          <t>面部色彩</t>
        </is>
      </c>
      <c r="J2215" t="inlineStr">
        <is>
          <t>0.01</t>
        </is>
      </c>
      <c r="K2215"/>
      <c r="L2215" t="inlineStr">
        <is>
          <t>夏夏在韩国的店</t>
        </is>
      </c>
      <c r="M2215">
        <v>56000</v>
      </c>
      <c r="N2215">
        <v>4.7</v>
      </c>
      <c r="O2215">
        <v>179000</v>
      </c>
      <c r="P2215" t="inlineStr">
        <is>
          <t>68d63b48f8d1f000011b892a</t>
        </is>
      </c>
      <c r="Q2215"/>
      <c r="R2215" t="inlineStr">
        <is>
          <t>16周</t>
        </is>
      </c>
      <c r="S2215" t="inlineStr">
        <is>
          <t>0.32</t>
        </is>
      </c>
      <c r="T2215" t="inlineStr">
        <is>
          <t>服饰穿搭</t>
        </is>
      </c>
      <c r="U2215" t="inlineStr">
        <is>
          <t>女装</t>
        </is>
      </c>
      <c r="V2215" s="3">
        <v>46130.98501157408</v>
      </c>
      <c r="W2215" t="inlineStr">
        <is>
          <t>2026-Q2</t>
        </is>
      </c>
    </row>
    <row r="2216" ht="25.5" customHeight="1">
      <c r="A2216" t="inlineStr">
        <is>
          <t>Heaven pink · 【达人同款2支减28】精华多用棒持久保湿滋润口红水光腮红修饰</t>
        </is>
      </c>
      <c r="B2216" t="inlineStr">
        <is>
          <t>__upload_recvh9P0bm3UJL.jpg</t>
        </is>
      </c>
      <c r="C2216" s="2" t="str">
        <f>=HYPERLINK("https://xhslink.com/m/eqHvmaP5If", "https://xhslink.com/m/eqHvmaP5If")</f>
        <v>https://xhslink.com/m/eqHvmaP5If</v>
      </c>
      <c r="D2216"/>
      <c r="E2216">
        <v>3714</v>
      </c>
      <c r="F2216">
        <v>98</v>
      </c>
      <c r="G2216"/>
      <c r="H2216">
        <v>200</v>
      </c>
      <c r="I2216" t="inlineStr">
        <is>
          <t>面部色彩</t>
        </is>
      </c>
      <c r="J2216" t="inlineStr">
        <is>
          <t>0.05</t>
        </is>
      </c>
      <c r="K2216"/>
      <c r="L2216" t="inlineStr">
        <is>
          <t>Heaven pink旗舰店</t>
        </is>
      </c>
      <c r="M2216">
        <v>5885</v>
      </c>
      <c r="N2216">
        <v>4.47</v>
      </c>
      <c r="O2216">
        <v>46000</v>
      </c>
      <c r="P2216" t="inlineStr">
        <is>
          <t>683eb8ca4b53070001ff98ff</t>
        </is>
      </c>
      <c r="Q2216" t="inlineStr">
        <is>
          <t>🚫重复</t>
        </is>
      </c>
      <c r="R2216" t="inlineStr">
        <is>
          <t>16周</t>
        </is>
      </c>
      <c r="S2216" t="inlineStr">
        <is>
          <t>0.63</t>
        </is>
      </c>
      <c r="T2216" t="inlineStr">
        <is>
          <t>美妆个护</t>
        </is>
      </c>
      <c r="U2216" t="inlineStr">
        <is>
          <t>护肤彩妆</t>
        </is>
      </c>
      <c r="V2216" s="3">
        <v>46130.98501157408</v>
      </c>
      <c r="W2216" t="inlineStr">
        <is>
          <t>2026-Q2</t>
        </is>
      </c>
    </row>
    <row r="2217" ht="25.5" customHeight="1">
      <c r="A2217" t="inlineStr">
        <is>
          <t>Haa · 护发精油椰子油干枯烫染受损防毛躁分叉清爽柔顺茉莉留香平价</t>
        </is>
      </c>
      <c r="B2217" t="inlineStr">
        <is>
          <t>__upload_recvh9P0bmLWKT.jpg</t>
        </is>
      </c>
      <c r="C2217" s="2" t="str">
        <f>=HYPERLINK("https://xhslink.com/m/29nYcAp30EU", "https://xhslink.com/m/29nYcAp30EU")</f>
        <v>https://xhslink.com/m/29nYcAp30EU</v>
      </c>
      <c r="D2217"/>
      <c r="E2217">
        <v>57000</v>
      </c>
      <c r="F2217">
        <v>45.9</v>
      </c>
      <c r="G2217">
        <v>29.9</v>
      </c>
      <c r="H2217">
        <v>200</v>
      </c>
      <c r="I2217" t="inlineStr">
        <is>
          <t>美发</t>
        </is>
      </c>
      <c r="J2217" t="inlineStr">
        <is>
          <t>0.00</t>
        </is>
      </c>
      <c r="K2217"/>
      <c r="L2217" t="inlineStr">
        <is>
          <t>Haa旗舰店</t>
        </is>
      </c>
      <c r="M2217">
        <v>436000</v>
      </c>
      <c r="N2217">
        <v>4.6</v>
      </c>
      <c r="O2217">
        <v>1922000</v>
      </c>
      <c r="P2217" t="inlineStr">
        <is>
          <t>674038e0f2609400014523fb</t>
        </is>
      </c>
      <c r="Q2217" t="inlineStr">
        <is>
          <t>🚫重复</t>
        </is>
      </c>
      <c r="R2217" t="inlineStr">
        <is>
          <t>16周</t>
        </is>
      </c>
      <c r="S2217" t="inlineStr">
        <is>
          <t>0.13</t>
        </is>
      </c>
      <c r="T2217" t="inlineStr">
        <is>
          <t>美妆个护</t>
        </is>
      </c>
      <c r="U2217" t="inlineStr">
        <is>
          <t>个人护理</t>
        </is>
      </c>
      <c r="V2217" s="3">
        <v>46130.98501157408</v>
      </c>
      <c r="W2217" t="inlineStr">
        <is>
          <t>2026-Q2</t>
        </is>
      </c>
    </row>
    <row r="2218" ht="25.5" customHeight="1">
      <c r="A2218" t="inlineStr">
        <is>
          <t>忆丝芸 · 浅茶摩卡染发膏精油染发剂冷雾黑巧荔枝粉棕免漂显白发色推荐颜色</t>
        </is>
      </c>
      <c r="B2218" t="inlineStr">
        <is>
          <t>__upload_recvh9P0bmnKmu.jpg</t>
        </is>
      </c>
      <c r="C2218" s="2" t="str">
        <f>=HYPERLINK("https://xhslink.com/m/2VRARJ8DBRs", "https://xhslink.com/m/2VRARJ8DBRs")</f>
        <v>https://xhslink.com/m/2VRARJ8DBRs</v>
      </c>
      <c r="D2218"/>
      <c r="E2218">
        <v>8686</v>
      </c>
      <c r="F2218">
        <v>69.9</v>
      </c>
      <c r="G2218">
        <v>59.9</v>
      </c>
      <c r="H2218">
        <v>200</v>
      </c>
      <c r="I2218" t="inlineStr">
        <is>
          <t>美发</t>
        </is>
      </c>
      <c r="J2218" t="inlineStr">
        <is>
          <t>0.02</t>
        </is>
      </c>
      <c r="K2218"/>
      <c r="L2218" t="inlineStr">
        <is>
          <t>忆丝芸旗舰店</t>
        </is>
      </c>
      <c r="M2218">
        <v>76000</v>
      </c>
      <c r="N2218">
        <v>4.47</v>
      </c>
      <c r="O2218">
        <v>63000</v>
      </c>
      <c r="P2218" t="inlineStr">
        <is>
          <t>67bd704eeef1820001090483</t>
        </is>
      </c>
      <c r="Q2218"/>
      <c r="R2218" t="inlineStr">
        <is>
          <t>16周</t>
        </is>
      </c>
      <c r="S2218" t="inlineStr">
        <is>
          <t>0.11</t>
        </is>
      </c>
      <c r="T2218" t="inlineStr">
        <is>
          <t>美妆个护</t>
        </is>
      </c>
      <c r="U2218" t="inlineStr">
        <is>
          <t>个人护理</t>
        </is>
      </c>
      <c r="V2218" s="3">
        <v>46130.98501157408</v>
      </c>
      <c r="W2218" t="inlineStr">
        <is>
          <t>2026-Q2</t>
        </is>
      </c>
    </row>
    <row r="2219" ht="25.5" customHeight="1">
      <c r="A2219" t="inlineStr">
        <is>
          <t>GirlsCrush · GC水丝绒遮瑕提亮液 干皮友好遮黑眼圈泛红痘印</t>
        </is>
      </c>
      <c r="B2219" t="inlineStr">
        <is>
          <t>__upload_recvh9P0bmBK0a.jpg</t>
        </is>
      </c>
      <c r="C2219" s="2" t="str">
        <f>=HYPERLINK("https://xhslink.com/m/AYVNFj70m3c", "https://xhslink.com/m/AYVNFj70m3c")</f>
        <v>https://xhslink.com/m/AYVNFj70m3c</v>
      </c>
      <c r="D2219"/>
      <c r="E2219">
        <v>60000</v>
      </c>
      <c r="F2219">
        <v>89.9</v>
      </c>
      <c r="G2219">
        <v>69.9</v>
      </c>
      <c r="H2219">
        <v>200</v>
      </c>
      <c r="I2219" t="inlineStr">
        <is>
          <t>祛红痘印</t>
        </is>
      </c>
      <c r="J2219" t="inlineStr">
        <is>
          <t>0.00</t>
        </is>
      </c>
      <c r="K2219"/>
      <c r="L2219" t="inlineStr">
        <is>
          <t>GirlsCrush旗舰店</t>
        </is>
      </c>
      <c r="M2219">
        <v>41000</v>
      </c>
      <c r="N2219">
        <v>4.65</v>
      </c>
      <c r="O2219">
        <v>297000</v>
      </c>
      <c r="P2219" t="inlineStr">
        <is>
          <t>64db273eec087c00019fe2b2</t>
        </is>
      </c>
      <c r="Q2219" t="inlineStr">
        <is>
          <t>🚫重复</t>
        </is>
      </c>
      <c r="R2219" t="inlineStr">
        <is>
          <t>16周</t>
        </is>
      </c>
      <c r="S2219" t="inlineStr">
        <is>
          <t>1.46</t>
        </is>
      </c>
      <c r="T2219" t="inlineStr">
        <is>
          <t>美妆个护</t>
        </is>
      </c>
      <c r="U2219" t="inlineStr">
        <is>
          <t>护肤彩妆</t>
        </is>
      </c>
      <c r="V2219" s="3">
        <v>46130.98501157408</v>
      </c>
      <c r="W2219" t="inlineStr">
        <is>
          <t>2026-Q2</t>
        </is>
      </c>
    </row>
    <row r="2220" ht="25.5" customHeight="1">
      <c r="A2220" t="inlineStr">
        <is>
          <t>Sweet mint · 【正常发货】润呐~大容量三色遮瑕提亮痘印黑眼圈滋润干油皮</t>
        </is>
      </c>
      <c r="B2220" t="inlineStr">
        <is>
          <t>__upload_recvh9P0bm3bNp.jpg</t>
        </is>
      </c>
      <c r="C2220" s="2" t="str">
        <f>=HYPERLINK("https://xhslink.com/m/1L1WPa1ghdg", "https://xhslink.com/m/1L1WPa1ghdg")</f>
        <v>https://xhslink.com/m/1L1WPa1ghdg</v>
      </c>
      <c r="D2220"/>
      <c r="E2220">
        <v>2861</v>
      </c>
      <c r="F2220">
        <v>8.9</v>
      </c>
      <c r="G2220"/>
      <c r="H2220">
        <v>200</v>
      </c>
      <c r="I2220" t="inlineStr">
        <is>
          <t>祛红痘印</t>
        </is>
      </c>
      <c r="J2220" t="inlineStr">
        <is>
          <t>0.07</t>
        </is>
      </c>
      <c r="K2220" t="inlineStr">
        <is>
          <t>🔥低粉爆款</t>
        </is>
      </c>
      <c r="L2220" t="inlineStr">
        <is>
          <t>BRIAR的店</t>
        </is>
      </c>
      <c r="M2220">
        <v>352</v>
      </c>
      <c r="N2220">
        <v>4.44</v>
      </c>
      <c r="O2220">
        <v>40000</v>
      </c>
      <c r="P2220" t="inlineStr">
        <is>
          <t>697e32d55b50a300010c0777</t>
        </is>
      </c>
      <c r="Q2220"/>
      <c r="R2220" t="inlineStr">
        <is>
          <t>16周</t>
        </is>
      </c>
      <c r="S2220" t="inlineStr">
        <is>
          <t>8.13</t>
        </is>
      </c>
      <c r="T2220" t="inlineStr">
        <is>
          <t>美妆个护</t>
        </is>
      </c>
      <c r="U2220" t="inlineStr">
        <is>
          <t>护肤彩妆</t>
        </is>
      </c>
      <c r="V2220" s="3">
        <v>46130.98501157408</v>
      </c>
      <c r="W2220" t="inlineStr">
        <is>
          <t>2026-Q2</t>
        </is>
      </c>
    </row>
    <row r="2221" ht="25.5" customHeight="1">
      <c r="A2221" t="inlineStr">
        <is>
          <t>FOREVERKEY · 【田嘉瑞同款】遮瑕膏遮黑眼圈斑点不脱妆法令纹干油皮</t>
        </is>
      </c>
      <c r="B2221" t="inlineStr">
        <is>
          <t>__upload_recvh9P0bm9VWg.jpg</t>
        </is>
      </c>
      <c r="C2221" s="2" t="str">
        <f>=HYPERLINK("https://xhslink.com/m/53b4UI52xAp", "https://xhslink.com/m/53b4UI52xAp")</f>
        <v>https://xhslink.com/m/53b4UI52xAp</v>
      </c>
      <c r="D2221"/>
      <c r="E2221">
        <v>69000</v>
      </c>
      <c r="F2221">
        <v>39.9</v>
      </c>
      <c r="G2221"/>
      <c r="H2221">
        <v>200</v>
      </c>
      <c r="I2221" t="inlineStr">
        <is>
          <t>祛红痘印</t>
        </is>
      </c>
      <c r="J2221" t="inlineStr">
        <is>
          <t>0.00</t>
        </is>
      </c>
      <c r="K2221"/>
      <c r="L2221" t="inlineStr">
        <is>
          <t>foreverkey旗舰店</t>
        </is>
      </c>
      <c r="M2221">
        <v>106000</v>
      </c>
      <c r="N2221">
        <v>4.76</v>
      </c>
      <c r="O2221">
        <v>171000</v>
      </c>
      <c r="P2221" t="inlineStr">
        <is>
          <t>69be77c65e5f0500019d74f4</t>
        </is>
      </c>
      <c r="Q2221"/>
      <c r="R2221" t="inlineStr">
        <is>
          <t>16周</t>
        </is>
      </c>
      <c r="S2221" t="inlineStr">
        <is>
          <t>0.65</t>
        </is>
      </c>
      <c r="T2221" t="inlineStr">
        <is>
          <t>美妆个护</t>
        </is>
      </c>
      <c r="U2221" t="inlineStr">
        <is>
          <t>护肤彩妆</t>
        </is>
      </c>
      <c r="V2221" s="3">
        <v>46130.98501157408</v>
      </c>
      <c r="W2221" t="inlineStr">
        <is>
          <t>2026-Q2</t>
        </is>
      </c>
    </row>
    <row r="2222" ht="25.5" customHeight="1">
      <c r="A2222" t="inlineStr">
        <is>
          <t>AOPY · 【有效美白祛斑抗皱】气泡精华油·抗氧保湿嫩肤·以油养肤改善斑肌</t>
        </is>
      </c>
      <c r="B2222" t="inlineStr">
        <is>
          <t>__upload_recvh9P0bmUQ5L.jpg</t>
        </is>
      </c>
      <c r="C2222" s="2" t="str">
        <f>=HYPERLINK("https://xhslink.com/m/4KaivcB8307", "https://xhslink.com/m/4KaivcB8307")</f>
        <v>https://xhslink.com/m/4KaivcB8307</v>
      </c>
      <c r="D2222"/>
      <c r="E2222">
        <v>49000</v>
      </c>
      <c r="F2222">
        <v>129</v>
      </c>
      <c r="G2222">
        <v>69</v>
      </c>
      <c r="H2222">
        <v>200</v>
      </c>
      <c r="I2222" t="inlineStr">
        <is>
          <t>美妆</t>
        </is>
      </c>
      <c r="J2222" t="inlineStr">
        <is>
          <t>0.00</t>
        </is>
      </c>
      <c r="K2222" t="inlineStr">
        <is>
          <t>🔥低粉爆款</t>
        </is>
      </c>
      <c r="L2222" t="inlineStr">
        <is>
          <t>榕下美肤课代表的店</t>
        </is>
      </c>
      <c r="M2222">
        <v>5445</v>
      </c>
      <c r="N2222">
        <v>4.59</v>
      </c>
      <c r="O2222">
        <v>51000</v>
      </c>
      <c r="P2222" t="inlineStr">
        <is>
          <t>677f9dcbb1ef540001ab6d31</t>
        </is>
      </c>
      <c r="Q2222"/>
      <c r="R2222" t="inlineStr">
        <is>
          <t>16周</t>
        </is>
      </c>
      <c r="S2222" t="inlineStr">
        <is>
          <t>9.00</t>
        </is>
      </c>
      <c r="T2222" t="inlineStr">
        <is>
          <t>美妆个护</t>
        </is>
      </c>
      <c r="U2222" t="inlineStr">
        <is>
          <t>护肤彩妆</t>
        </is>
      </c>
      <c r="V2222" s="3">
        <v>46130.98501157408</v>
      </c>
      <c r="W2222" t="inlineStr">
        <is>
          <t>2026-Q2</t>
        </is>
      </c>
    </row>
    <row r="2223" ht="25.5" customHeight="1">
      <c r="A2223" t="inlineStr">
        <is>
          <t>Hopedense · 皮傲宁皮肤护理祛痘凝胶闭口痘痘</t>
        </is>
      </c>
      <c r="B2223" t="inlineStr">
        <is>
          <t>__upload_recvh9P0bmjnaC.jpg</t>
        </is>
      </c>
      <c r="C2223" s="2" t="str">
        <f>=HYPERLINK("https://xhslink.com/m/1bbJpZdvY6B", "https://xhslink.com/m/1bbJpZdvY6B")</f>
        <v>https://xhslink.com/m/1bbJpZdvY6B</v>
      </c>
      <c r="D2223"/>
      <c r="E2223">
        <v>33000</v>
      </c>
      <c r="F2223">
        <v>178</v>
      </c>
      <c r="G2223">
        <v>79</v>
      </c>
      <c r="H2223">
        <v>200</v>
      </c>
      <c r="I2223" t="inlineStr">
        <is>
          <t>美妆</t>
        </is>
      </c>
      <c r="J2223" t="inlineStr">
        <is>
          <t>0.01</t>
        </is>
      </c>
      <c r="K2223" t="inlineStr">
        <is>
          <t>🔥低粉爆款</t>
        </is>
      </c>
      <c r="L2223" t="inlineStr">
        <is>
          <t>HOPEDENSE旗舰店</t>
        </is>
      </c>
      <c r="M2223">
        <v>8032</v>
      </c>
      <c r="N2223">
        <v>4.52</v>
      </c>
      <c r="O2223">
        <v>52000</v>
      </c>
      <c r="P2223" t="inlineStr">
        <is>
          <t>66993033e05f370001f5b2d5</t>
        </is>
      </c>
      <c r="Q2223"/>
      <c r="R2223" t="inlineStr">
        <is>
          <t>16周</t>
        </is>
      </c>
      <c r="S2223" t="inlineStr">
        <is>
          <t>4.11</t>
        </is>
      </c>
      <c r="T2223" t="inlineStr">
        <is>
          <t>美妆个护</t>
        </is>
      </c>
      <c r="U2223" t="inlineStr">
        <is>
          <t>个人护理</t>
        </is>
      </c>
      <c r="V2223" s="3">
        <v>46130.98501157408</v>
      </c>
      <c r="W2223" t="inlineStr">
        <is>
          <t>2026-Q2</t>
        </is>
      </c>
    </row>
    <row r="2224" ht="25.5" customHeight="1">
      <c r="A2224" t="inlineStr">
        <is>
          <t>丸蔻 · 野生积雪草纯露祛痘痘印晒后修抚补水保湿紧肌肤湿敷水</t>
        </is>
      </c>
      <c r="B2224" t="inlineStr">
        <is>
          <t>__upload_recvh9P0bm35X8.jpg</t>
        </is>
      </c>
      <c r="C2224" s="2" t="str">
        <f>=HYPERLINK("https://xhslink.com/m/4D1I8KB4W3j", "https://xhslink.com/m/4D1I8KB4W3j")</f>
        <v>https://xhslink.com/m/4D1I8KB4W3j</v>
      </c>
      <c r="D2224"/>
      <c r="E2224">
        <v>8941</v>
      </c>
      <c r="F2224">
        <v>29.9</v>
      </c>
      <c r="G2224">
        <v>26.02</v>
      </c>
      <c r="H2224">
        <v>200</v>
      </c>
      <c r="I2224" t="inlineStr">
        <is>
          <t>美妆</t>
        </is>
      </c>
      <c r="J2224" t="inlineStr">
        <is>
          <t>0.02</t>
        </is>
      </c>
      <c r="K2224"/>
      <c r="L2224" t="inlineStr">
        <is>
          <t>丸蔻植物护肤的店</t>
        </is>
      </c>
      <c r="M2224">
        <v>13000</v>
      </c>
      <c r="N2224">
        <v>4.65</v>
      </c>
      <c r="O2224">
        <v>51000</v>
      </c>
      <c r="P2224" t="inlineStr">
        <is>
          <t>662095d5e07615000121f2b4</t>
        </is>
      </c>
      <c r="Q2224"/>
      <c r="R2224" t="inlineStr">
        <is>
          <t>16周</t>
        </is>
      </c>
      <c r="S2224" t="inlineStr">
        <is>
          <t>0.69</t>
        </is>
      </c>
      <c r="T2224" t="inlineStr">
        <is>
          <t>美妆个护</t>
        </is>
      </c>
      <c r="U2224" t="inlineStr">
        <is>
          <t>个人护理</t>
        </is>
      </c>
      <c r="V2224" s="3">
        <v>46130.98501157408</v>
      </c>
      <c r="W2224" t="inlineStr">
        <is>
          <t>2026-Q2</t>
        </is>
      </c>
    </row>
    <row r="2225" ht="25.5" customHeight="1">
      <c r="A2225" t="inlineStr">
        <is>
          <t>LANDTREE良萃 · 玫瑰精华丝绒霜小奶罐提亮肤色玫瑰面霜烟酰胺护肤品抗皱紧致正品</t>
        </is>
      </c>
      <c r="B2225" t="inlineStr">
        <is>
          <t>__upload_recvh9P0bmwZz5.jpg</t>
        </is>
      </c>
      <c r="C2225" s="2" t="str">
        <f>=HYPERLINK("https://xhslink.com/m/arH6CCFvus", "https://xhslink.com/m/arH6CCFvus")</f>
        <v>https://xhslink.com/m/arH6CCFvus</v>
      </c>
      <c r="D2225"/>
      <c r="E2225">
        <v>77000</v>
      </c>
      <c r="F2225">
        <v>60</v>
      </c>
      <c r="G2225">
        <v>34.8</v>
      </c>
      <c r="H2225">
        <v>200</v>
      </c>
      <c r="I2225" t="inlineStr">
        <is>
          <t>美妆</t>
        </is>
      </c>
      <c r="J2225" t="inlineStr">
        <is>
          <t>0.00</t>
        </is>
      </c>
      <c r="K2225"/>
      <c r="L2225" t="inlineStr">
        <is>
          <t>良萃LANDTREE旗舰店</t>
        </is>
      </c>
      <c r="M2225">
        <v>319000</v>
      </c>
      <c r="N2225">
        <v>4.66</v>
      </c>
      <c r="O2225">
        <v>1944000</v>
      </c>
      <c r="P2225" t="inlineStr">
        <is>
          <t>677cfce21d2f5a00017aabda</t>
        </is>
      </c>
      <c r="Q2225" t="inlineStr">
        <is>
          <t>🚫重复</t>
        </is>
      </c>
      <c r="R2225" t="inlineStr">
        <is>
          <t>16周</t>
        </is>
      </c>
      <c r="S2225" t="inlineStr">
        <is>
          <t>0.24</t>
        </is>
      </c>
      <c r="T2225" t="inlineStr">
        <is>
          <t>美妆个护</t>
        </is>
      </c>
      <c r="U2225" t="inlineStr">
        <is>
          <t>护肤彩妆</t>
        </is>
      </c>
      <c r="V2225" s="3">
        <v>46130.98501157408</v>
      </c>
      <c r="W2225" t="inlineStr">
        <is>
          <t>2026-Q2</t>
        </is>
      </c>
    </row>
    <row r="2226" ht="25.5" customHeight="1">
      <c r="A2226" t="inlineStr">
        <is>
          <t>koox · 医用胶原蛋白护理膜川字法令纹改善八字纹松垮紧塑细腻毛孔小蓝瓶</t>
        </is>
      </c>
      <c r="B2226" t="inlineStr">
        <is>
          <t>__upload_recvh9P0bmhykl.jpg</t>
        </is>
      </c>
      <c r="C2226" s="2" t="str">
        <f>=HYPERLINK("https://xhslink.com/m/9JDYq7YMItz", "https://xhslink.com/m/9JDYq7YMItz")</f>
        <v>https://xhslink.com/m/9JDYq7YMItz</v>
      </c>
      <c r="D2226"/>
      <c r="E2226">
        <v>6219</v>
      </c>
      <c r="F2226">
        <v>398</v>
      </c>
      <c r="G2226">
        <v>293</v>
      </c>
      <c r="H2226">
        <v>200</v>
      </c>
      <c r="I2226" t="inlineStr">
        <is>
          <t>美妆</t>
        </is>
      </c>
      <c r="J2226" t="inlineStr">
        <is>
          <t>0.03</t>
        </is>
      </c>
      <c r="K2226"/>
      <c r="L2226" t="inlineStr">
        <is>
          <t>KOOX·医疗器械旗舰店</t>
        </is>
      </c>
      <c r="M2226">
        <v>4079</v>
      </c>
      <c r="N2226">
        <v>4.55</v>
      </c>
      <c r="O2226">
        <v>16000</v>
      </c>
      <c r="P2226" t="inlineStr">
        <is>
          <t>6901c9742fdb7c0001659744</t>
        </is>
      </c>
      <c r="Q2226"/>
      <c r="R2226" t="inlineStr">
        <is>
          <t>16周</t>
        </is>
      </c>
      <c r="S2226" t="inlineStr">
        <is>
          <t>1.52</t>
        </is>
      </c>
      <c r="T2226" t="inlineStr">
        <is>
          <t>美妆个护</t>
        </is>
      </c>
      <c r="U2226" t="inlineStr">
        <is>
          <t>护肤彩妆</t>
        </is>
      </c>
      <c r="V2226" s="3">
        <v>46130.98501157408</v>
      </c>
      <c r="W2226" t="inlineStr">
        <is>
          <t>2026-Q2</t>
        </is>
      </c>
    </row>
    <row r="2227" ht="25.5" customHeight="1">
      <c r="A2227" t="inlineStr">
        <is>
          <t>南瓜巧饼手工现做低脂健康即食早餐糕点饱腹感强的代餐速食小袋装</t>
        </is>
      </c>
      <c r="B2227" t="inlineStr">
        <is>
          <t>__upload_recvh9P0bmFpiB.jpg</t>
        </is>
      </c>
      <c r="C2227" s="2" t="str">
        <f>=HYPERLINK("https://xhslink.com/m/rR93BTiRvM", "https://xhslink.com/m/rR93BTiRvM")</f>
        <v>https://xhslink.com/m/rR93BTiRvM</v>
      </c>
      <c r="D2227"/>
      <c r="E2227">
        <v>104000</v>
      </c>
      <c r="F2227">
        <v>39.9</v>
      </c>
      <c r="G2227">
        <v>32.9</v>
      </c>
      <c r="H2227">
        <v>200</v>
      </c>
      <c r="I2227" t="inlineStr">
        <is>
          <t>低热量零食</t>
        </is>
      </c>
      <c r="J2227" t="inlineStr">
        <is>
          <t>0.00</t>
        </is>
      </c>
      <c r="K2227" t="inlineStr">
        <is>
          <t>🔥低粉爆款</t>
        </is>
      </c>
      <c r="L2227" t="inlineStr">
        <is>
          <t>嗦吧轻食荟的店</t>
        </is>
      </c>
      <c r="M2227">
        <v>7840</v>
      </c>
      <c r="N2227">
        <v>4.59</v>
      </c>
      <c r="O2227">
        <v>164000</v>
      </c>
      <c r="P2227" t="inlineStr">
        <is>
          <t>67404524c14a2d00010860cd</t>
        </is>
      </c>
      <c r="Q2227" t="inlineStr">
        <is>
          <t>🚫重复</t>
        </is>
      </c>
      <c r="R2227" t="inlineStr">
        <is>
          <t>16周</t>
        </is>
      </c>
      <c r="S2227" t="inlineStr">
        <is>
          <t>13.27</t>
        </is>
      </c>
      <c r="T2227" t="inlineStr">
        <is>
          <t>美食滋补</t>
        </is>
      </c>
      <c r="U2227" t="inlineStr">
        <is>
          <t>休闲零食</t>
        </is>
      </c>
      <c r="V2227" s="3">
        <v>46130.98501157408</v>
      </c>
      <c r="W2227" t="inlineStr">
        <is>
          <t>2026-Q2</t>
        </is>
      </c>
    </row>
    <row r="2228" ht="25.5" customHeight="1">
      <c r="A2228" t="inlineStr">
        <is>
          <t>【到手4包】魔芋凉面开袋即食免煮方便食品凉拌低脂宵夜零食</t>
        </is>
      </c>
      <c r="B2228" t="inlineStr">
        <is>
          <t>__upload_recvh9P0bmdXzw.jpg</t>
        </is>
      </c>
      <c r="C2228" s="2" t="str">
        <f>=HYPERLINK("https://xhslink.com/m/6sA4GDpqKyb", "https://xhslink.com/m/6sA4GDpqKyb")</f>
        <v>https://xhslink.com/m/6sA4GDpqKyb</v>
      </c>
      <c r="D2228"/>
      <c r="E2228">
        <v>40000</v>
      </c>
      <c r="F2228">
        <v>23.9</v>
      </c>
      <c r="G2228"/>
      <c r="H2228">
        <v>200</v>
      </c>
      <c r="I2228" t="inlineStr">
        <is>
          <t>低热量零食</t>
        </is>
      </c>
      <c r="J2228" t="inlineStr">
        <is>
          <t>0.01</t>
        </is>
      </c>
      <c r="K2228" t="inlineStr">
        <is>
          <t>🔥低粉爆款</t>
        </is>
      </c>
      <c r="L2228" t="inlineStr">
        <is>
          <t>安晓安低卡轻饮食的店</t>
        </is>
      </c>
      <c r="M2228">
        <v>1430</v>
      </c>
      <c r="N2228">
        <v>4.36</v>
      </c>
      <c r="O2228">
        <v>44000</v>
      </c>
      <c r="P2228" t="inlineStr">
        <is>
          <t>688313a6ba5a8300154fd505</t>
        </is>
      </c>
      <c r="Q2228" t="inlineStr">
        <is>
          <t>🚫重复</t>
        </is>
      </c>
      <c r="R2228" t="inlineStr">
        <is>
          <t>16周</t>
        </is>
      </c>
      <c r="S2228" t="inlineStr">
        <is>
          <t>27.97</t>
        </is>
      </c>
      <c r="T2228" t="inlineStr">
        <is>
          <t>美食滋补</t>
        </is>
      </c>
      <c r="U2228" t="inlineStr">
        <is>
          <t>休闲零食</t>
        </is>
      </c>
      <c r="V2228" s="3">
        <v>46130.98501157408</v>
      </c>
      <c r="W2228" t="inlineStr">
        <is>
          <t>2026-Q2</t>
        </is>
      </c>
    </row>
    <row r="2229" ht="25.5" customHeight="1">
      <c r="A2229" t="inlineStr">
        <is>
          <t>叮叮懒人菜 · 【夏日轻食优选】双蛋白藜麦鸡排 低脂高蛋自律期好搭档</t>
        </is>
      </c>
      <c r="B2229" t="inlineStr">
        <is>
          <t>__upload_recvh9P0bmjjQ9.jpg</t>
        </is>
      </c>
      <c r="C2229" s="2" t="str">
        <f>=HYPERLINK("https://xhslink.com/m/7U1i30sZdF1", "https://xhslink.com/m/7U1i30sZdF1")</f>
        <v>https://xhslink.com/m/7U1i30sZdF1</v>
      </c>
      <c r="D2229"/>
      <c r="E2229">
        <v>23000</v>
      </c>
      <c r="F2229">
        <v>79.9</v>
      </c>
      <c r="G2229">
        <v>49.9</v>
      </c>
      <c r="H2229">
        <v>200</v>
      </c>
      <c r="I2229" t="inlineStr">
        <is>
          <t>低热量零食</t>
        </is>
      </c>
      <c r="J2229" t="inlineStr">
        <is>
          <t>0.01</t>
        </is>
      </c>
      <c r="K2229"/>
      <c r="L2229" t="inlineStr">
        <is>
          <t>叮叮懒人菜旗舰店</t>
        </is>
      </c>
      <c r="M2229">
        <v>76000</v>
      </c>
      <c r="N2229">
        <v>4.69</v>
      </c>
      <c r="O2229">
        <v>138000</v>
      </c>
      <c r="P2229" t="inlineStr">
        <is>
          <t>66a8907d548931000109dcfd</t>
        </is>
      </c>
      <c r="Q2229" t="inlineStr">
        <is>
          <t>🚫重复</t>
        </is>
      </c>
      <c r="R2229" t="inlineStr">
        <is>
          <t>16周</t>
        </is>
      </c>
      <c r="S2229" t="inlineStr">
        <is>
          <t>0.30</t>
        </is>
      </c>
      <c r="T2229" t="inlineStr">
        <is>
          <t>美食滋补</t>
        </is>
      </c>
      <c r="U2229" t="inlineStr">
        <is>
          <t>休闲零食</t>
        </is>
      </c>
      <c r="V2229" s="3">
        <v>46130.98501157408</v>
      </c>
      <c r="W2229" t="inlineStr">
        <is>
          <t>2026-Q2</t>
        </is>
      </c>
    </row>
    <row r="2230" ht="25.5" customHeight="1">
      <c r="A2230" t="inlineStr">
        <is>
          <t>水一方 · 0糖烤虾手扒烤虾仁虾干即食低脂零食办公室解馋追剧</t>
        </is>
      </c>
      <c r="B2230" t="inlineStr">
        <is>
          <t>__upload_recvh9P0bmPMZs.jpg</t>
        </is>
      </c>
      <c r="C2230" s="2" t="str">
        <f>=HYPERLINK("https://xhslink.com/m/OQxkfi5P0g", "https://xhslink.com/m/OQxkfi5P0g")</f>
        <v>https://xhslink.com/m/OQxkfi5P0g</v>
      </c>
      <c r="D2230"/>
      <c r="E2230">
        <v>92000</v>
      </c>
      <c r="F2230">
        <v>239.9</v>
      </c>
      <c r="G2230">
        <v>149.9</v>
      </c>
      <c r="H2230">
        <v>200</v>
      </c>
      <c r="I2230" t="inlineStr">
        <is>
          <t>低热量零食</t>
        </is>
      </c>
      <c r="J2230" t="inlineStr">
        <is>
          <t>0.00</t>
        </is>
      </c>
      <c r="K2230"/>
      <c r="L2230" t="inlineStr">
        <is>
          <t>水一方零食旗舰店</t>
        </is>
      </c>
      <c r="M2230">
        <v>69000</v>
      </c>
      <c r="N2230">
        <v>4.56</v>
      </c>
      <c r="O2230">
        <v>358000</v>
      </c>
      <c r="P2230" t="inlineStr">
        <is>
          <t>68c3bce855f59b0001ebf0d2</t>
        </is>
      </c>
      <c r="Q2230" t="inlineStr">
        <is>
          <t>🚫重复</t>
        </is>
      </c>
      <c r="R2230" t="inlineStr">
        <is>
          <t>16周</t>
        </is>
      </c>
      <c r="S2230" t="inlineStr">
        <is>
          <t>1.33</t>
        </is>
      </c>
      <c r="T2230" t="inlineStr">
        <is>
          <t>美食滋补</t>
        </is>
      </c>
      <c r="U2230" t="inlineStr">
        <is>
          <t>休闲零食</t>
        </is>
      </c>
      <c r="V2230" s="3">
        <v>46130.98501157408</v>
      </c>
      <c r="W2230" t="inlineStr">
        <is>
          <t>2026-Q2</t>
        </is>
      </c>
    </row>
    <row r="2231" ht="25.5" customHeight="1">
      <c r="A2231" t="inlineStr">
        <is>
          <t>馥近 · 抹茶黑巧奇亚麻籽维生素b2椰子油藜麦运动早管理期代餐零食蛋白棒</t>
        </is>
      </c>
      <c r="B2231" t="inlineStr">
        <is>
          <t>__upload_recvh9P0bmpoEm.jpg</t>
        </is>
      </c>
      <c r="C2231" s="2" t="str">
        <f>=HYPERLINK("https://xhslink.com/m/6y2jpdwmn8m", "https://xhslink.com/m/6y2jpdwmn8m")</f>
        <v>https://xhslink.com/m/6y2jpdwmn8m</v>
      </c>
      <c r="D2231"/>
      <c r="E2231">
        <v>9352</v>
      </c>
      <c r="F2231">
        <v>33.8</v>
      </c>
      <c r="G2231">
        <v>29.8</v>
      </c>
      <c r="H2231">
        <v>200</v>
      </c>
      <c r="I2231" t="inlineStr">
        <is>
          <t>低热量零食</t>
        </is>
      </c>
      <c r="J2231" t="inlineStr">
        <is>
          <t>0.02</t>
        </is>
      </c>
      <c r="K2231"/>
      <c r="L2231" t="inlineStr">
        <is>
          <t>馥近NaborFood旗舰店</t>
        </is>
      </c>
      <c r="M2231">
        <v>3462</v>
      </c>
      <c r="N2231">
        <v>4.55</v>
      </c>
      <c r="O2231">
        <v>15000</v>
      </c>
      <c r="P2231" t="inlineStr">
        <is>
          <t>69afe7c8ab6d1e00011871a5</t>
        </is>
      </c>
      <c r="Q2231" t="inlineStr">
        <is>
          <t>🚫重复</t>
        </is>
      </c>
      <c r="R2231" t="inlineStr">
        <is>
          <t>16周</t>
        </is>
      </c>
      <c r="S2231" t="inlineStr">
        <is>
          <t>2.70</t>
        </is>
      </c>
      <c r="T2231" t="inlineStr">
        <is>
          <t>美食滋补</t>
        </is>
      </c>
      <c r="U2231" t="inlineStr">
        <is>
          <t>休闲零食</t>
        </is>
      </c>
      <c r="V2231" s="3">
        <v>46130.98501157408</v>
      </c>
      <c r="W2231" t="inlineStr">
        <is>
          <t>2026-Q2</t>
        </is>
      </c>
    </row>
    <row r="2232" ht="25.5" customHeight="1">
      <c r="A2232" t="inlineStr">
        <is>
          <t>韩国进口海太奶酪压缩芝士饼干饱腹代餐早餐能量棒代餐饱腹</t>
        </is>
      </c>
      <c r="B2232" t="inlineStr">
        <is>
          <t>__upload_recvh9P0bmY4WY.jpg</t>
        </is>
      </c>
      <c r="C2232" s="2" t="str">
        <f>=HYPERLINK("https://xhslink.com/m/7ahT540mbrF", "https://xhslink.com/m/7ahT540mbrF")</f>
        <v>https://xhslink.com/m/7ahT540mbrF</v>
      </c>
      <c r="D2232"/>
      <c r="E2232">
        <v>47000</v>
      </c>
      <c r="F2232">
        <v>39.9</v>
      </c>
      <c r="G2232">
        <v>19.9</v>
      </c>
      <c r="H2232">
        <v>200</v>
      </c>
      <c r="I2232" t="inlineStr">
        <is>
          <t>低热量零食</t>
        </is>
      </c>
      <c r="J2232" t="inlineStr">
        <is>
          <t>0.00</t>
        </is>
      </c>
      <c r="K2232"/>
      <c r="L2232" t="inlineStr">
        <is>
          <t>拉面口袋的店</t>
        </is>
      </c>
      <c r="M2232">
        <v>163000</v>
      </c>
      <c r="N2232">
        <v>4.51</v>
      </c>
      <c r="O2232">
        <v>429000</v>
      </c>
      <c r="P2232" t="inlineStr">
        <is>
          <t>67f4fa6438d4700001146b66</t>
        </is>
      </c>
      <c r="Q2232" t="inlineStr">
        <is>
          <t>🚫重复</t>
        </is>
      </c>
      <c r="R2232" t="inlineStr">
        <is>
          <t>16周</t>
        </is>
      </c>
      <c r="S2232" t="inlineStr">
        <is>
          <t>0.29</t>
        </is>
      </c>
      <c r="T2232" t="inlineStr">
        <is>
          <t>美食滋补</t>
        </is>
      </c>
      <c r="U2232" t="inlineStr">
        <is>
          <t>休闲零食</t>
        </is>
      </c>
      <c r="V2232" s="3">
        <v>46130.98501157408</v>
      </c>
      <c r="W2232" t="inlineStr">
        <is>
          <t>2026-Q2</t>
        </is>
      </c>
    </row>
    <row r="2233" ht="25.5" customHeight="1">
      <c r="A2233" t="inlineStr">
        <is>
          <t>武济塘沽鸭货王 · 网红爆款香辣素菜大杂烩开袋即食卤味休闲零食追剧解馋必备下酒菜</t>
        </is>
      </c>
      <c r="B2233" t="inlineStr">
        <is>
          <t>__upload_recvh9P0bm0xGk.jpg</t>
        </is>
      </c>
      <c r="C2233" s="2" t="str">
        <f>=HYPERLINK("https://xhslink.com/m/ClcOfpTtAd", "https://xhslink.com/m/ClcOfpTtAd")</f>
        <v>https://xhslink.com/m/ClcOfpTtAd</v>
      </c>
      <c r="D2233"/>
      <c r="E2233">
        <v>4233</v>
      </c>
      <c r="F2233">
        <v>29.9</v>
      </c>
      <c r="G2233"/>
      <c r="H2233">
        <v>200</v>
      </c>
      <c r="I2233" t="inlineStr">
        <is>
          <t>低热量零食</t>
        </is>
      </c>
      <c r="J2233" t="inlineStr">
        <is>
          <t>0.05</t>
        </is>
      </c>
      <c r="K2233" t="inlineStr">
        <is>
          <t>🔥低粉爆款</t>
        </is>
      </c>
      <c r="L2233" t="inlineStr">
        <is>
          <t>武济塘沽鸭货王旗舰店</t>
        </is>
      </c>
      <c r="M2233">
        <v>133</v>
      </c>
      <c r="N2233">
        <v>4.34</v>
      </c>
      <c r="O2233">
        <v>5391</v>
      </c>
      <c r="P2233" t="inlineStr">
        <is>
          <t>68e619404daabe0001880fde</t>
        </is>
      </c>
      <c r="Q2233" t="inlineStr">
        <is>
          <t>🚫重复</t>
        </is>
      </c>
      <c r="R2233" t="inlineStr">
        <is>
          <t>16周</t>
        </is>
      </c>
      <c r="S2233" t="inlineStr">
        <is>
          <t>31.83</t>
        </is>
      </c>
      <c r="T2233" t="inlineStr">
        <is>
          <t>美食滋补</t>
        </is>
      </c>
      <c r="U2233" t="inlineStr">
        <is>
          <t>休闲零食</t>
        </is>
      </c>
      <c r="V2233" s="3">
        <v>46130.98501157408</v>
      </c>
      <c r="W2233" t="inlineStr">
        <is>
          <t>2026-Q2</t>
        </is>
      </c>
    </row>
    <row r="2234" ht="25.5" customHeight="1">
      <c r="A2234" t="inlineStr">
        <is>
          <t>【新店开业领券减】水果干冻干果蔬脆零食混合苹果芒果无花果</t>
        </is>
      </c>
      <c r="B2234" t="inlineStr">
        <is>
          <t>__upload_recvh9P0bm5UZZ.jpg</t>
        </is>
      </c>
      <c r="C2234" s="2" t="str">
        <f>=HYPERLINK("https://xhslink.com/m/5sKeXH4Gcf9", "https://xhslink.com/m/5sKeXH4Gcf9")</f>
        <v>https://xhslink.com/m/5sKeXH4Gcf9</v>
      </c>
      <c r="D2234"/>
      <c r="E2234">
        <v>60000</v>
      </c>
      <c r="F2234">
        <v>41.9</v>
      </c>
      <c r="G2234">
        <v>29.9</v>
      </c>
      <c r="H2234">
        <v>200</v>
      </c>
      <c r="I2234" t="inlineStr">
        <is>
          <t>低热量零食</t>
        </is>
      </c>
      <c r="J2234" t="inlineStr">
        <is>
          <t>0.00</t>
        </is>
      </c>
      <c r="K2234" t="inlineStr">
        <is>
          <t>🔥低粉爆款</t>
        </is>
      </c>
      <c r="L2234" t="inlineStr">
        <is>
          <t>嘎嘎嘣嘣GABONG的店</t>
        </is>
      </c>
      <c r="M2234">
        <v>11000</v>
      </c>
      <c r="N2234">
        <v>4.37</v>
      </c>
      <c r="O2234">
        <v>80000</v>
      </c>
      <c r="P2234" t="inlineStr">
        <is>
          <t>693e3e3d266b95000161fc0f</t>
        </is>
      </c>
      <c r="Q2234" t="inlineStr">
        <is>
          <t>🚫重复</t>
        </is>
      </c>
      <c r="R2234" t="inlineStr">
        <is>
          <t>16周</t>
        </is>
      </c>
      <c r="S2234" t="inlineStr">
        <is>
          <t>5.45</t>
        </is>
      </c>
      <c r="T2234" t="inlineStr">
        <is>
          <t>美食滋补</t>
        </is>
      </c>
      <c r="U2234" t="inlineStr">
        <is>
          <t>休闲零食</t>
        </is>
      </c>
      <c r="V2234" s="3">
        <v>46130.98501157408</v>
      </c>
      <c r="W2234" t="inlineStr">
        <is>
          <t>2026-Q2</t>
        </is>
      </c>
    </row>
    <row r="2235" ht="25.5" customHeight="1">
      <c r="A2235" t="inlineStr">
        <is>
          <t>【康婶农家酸杏干】无添加酸杏干酸杏脯红杏干果干杏肉休闲小零食</t>
        </is>
      </c>
      <c r="B2235" t="inlineStr">
        <is>
          <t>__upload_recvh9P0bmAXlR.jpg</t>
        </is>
      </c>
      <c r="C2235" s="2" t="str">
        <f>=HYPERLINK("https://xhslink.com/m/AnPqnQfvXaT", "https://xhslink.com/m/AnPqnQfvXaT")</f>
        <v>https://xhslink.com/m/AnPqnQfvXaT</v>
      </c>
      <c r="D2235"/>
      <c r="E2235">
        <v>166000</v>
      </c>
      <c r="F2235">
        <v>39.9</v>
      </c>
      <c r="G2235">
        <v>29.9</v>
      </c>
      <c r="H2235">
        <v>200</v>
      </c>
      <c r="I2235" t="inlineStr">
        <is>
          <t>低热量零食</t>
        </is>
      </c>
      <c r="J2235" t="inlineStr">
        <is>
          <t>0.00</t>
        </is>
      </c>
      <c r="K2235" t="inlineStr">
        <is>
          <t>🔥低粉爆款</t>
        </is>
      </c>
      <c r="L2235" t="inlineStr">
        <is>
          <t>康婶果铺的店</t>
        </is>
      </c>
      <c r="M2235">
        <v>1987</v>
      </c>
      <c r="N2235">
        <v>4.53</v>
      </c>
      <c r="O2235">
        <v>185000</v>
      </c>
      <c r="P2235" t="inlineStr">
        <is>
          <t>684029599111390001f4f6c4</t>
        </is>
      </c>
      <c r="Q2235"/>
      <c r="R2235" t="inlineStr">
        <is>
          <t>16周</t>
        </is>
      </c>
      <c r="S2235" t="inlineStr">
        <is>
          <t>83.54</t>
        </is>
      </c>
      <c r="T2235" t="inlineStr">
        <is>
          <t>美食滋补</t>
        </is>
      </c>
      <c r="U2235" t="inlineStr">
        <is>
          <t>休闲零食</t>
        </is>
      </c>
      <c r="V2235" s="3">
        <v>46130.98501157408</v>
      </c>
      <c r="W2235" t="inlineStr">
        <is>
          <t>2026-Q2</t>
        </is>
      </c>
    </row>
    <row r="2236" ht="25.5" customHeight="1">
      <c r="A2236" t="inlineStr">
        <is>
          <t>MSMZ · 【新品】慢熟麦子五重抹茶米软欧面包网红下午茶博主推荐</t>
        </is>
      </c>
      <c r="B2236" t="inlineStr">
        <is>
          <t>__upload_recvh9P0bm0SbV.jpg</t>
        </is>
      </c>
      <c r="C2236" s="2" t="str">
        <f>=HYPERLINK("https://xhslink.com/m/6tseLCig67", "https://xhslink.com/m/6tseLCig67")</f>
        <v>https://xhslink.com/m/6tseLCig67</v>
      </c>
      <c r="D2236"/>
      <c r="E2236">
        <v>40000</v>
      </c>
      <c r="F2236">
        <v>19.9</v>
      </c>
      <c r="G2236">
        <v>16.9</v>
      </c>
      <c r="H2236">
        <v>200</v>
      </c>
      <c r="I2236" t="inlineStr">
        <is>
          <t>低热量零食</t>
        </is>
      </c>
      <c r="J2236" t="inlineStr">
        <is>
          <t>0.01</t>
        </is>
      </c>
      <c r="K2236"/>
      <c r="L2236" t="inlineStr">
        <is>
          <t>MSMZ 面包旗舰店</t>
        </is>
      </c>
      <c r="M2236">
        <v>72000</v>
      </c>
      <c r="N2236">
        <v>4.36</v>
      </c>
      <c r="O2236">
        <v>465000</v>
      </c>
      <c r="P2236" t="inlineStr">
        <is>
          <t>68d8d4a0c630ec0001d73533</t>
        </is>
      </c>
      <c r="Q2236" t="inlineStr">
        <is>
          <t>🚫重复</t>
        </is>
      </c>
      <c r="R2236" t="inlineStr">
        <is>
          <t>16周</t>
        </is>
      </c>
      <c r="S2236" t="inlineStr">
        <is>
          <t>0.56</t>
        </is>
      </c>
      <c r="T2236" t="inlineStr">
        <is>
          <t>美食滋补</t>
        </is>
      </c>
      <c r="U2236" t="inlineStr">
        <is>
          <t>休闲零食</t>
        </is>
      </c>
      <c r="V2236" s="3">
        <v>46130.98501157408</v>
      </c>
      <c r="W2236" t="inlineStr">
        <is>
          <t>2026-Q2</t>
        </is>
      </c>
    </row>
    <row r="2237" ht="25.5" customHeight="1">
      <c r="A2237" t="inlineStr">
        <is>
          <t>非油炸沙炒红薯条原味不加糖红薯干嘎嘣脆儿时味道小零食-偏硬</t>
        </is>
      </c>
      <c r="B2237" t="inlineStr">
        <is>
          <t>__upload_recvh9P0bmW0F3.jpg</t>
        </is>
      </c>
      <c r="C2237" s="2" t="str">
        <f>=HYPERLINK("https://xhslink.com/m/hz0eTxO1Ik", "https://xhslink.com/m/hz0eTxO1Ik")</f>
        <v>https://xhslink.com/m/hz0eTxO1Ik</v>
      </c>
      <c r="D2237"/>
      <c r="E2237">
        <v>123000</v>
      </c>
      <c r="F2237">
        <v>13.9</v>
      </c>
      <c r="G2237">
        <v>11.9</v>
      </c>
      <c r="H2237">
        <v>200</v>
      </c>
      <c r="I2237" t="inlineStr">
        <is>
          <t>低热量零食</t>
        </is>
      </c>
      <c r="J2237" t="inlineStr">
        <is>
          <t>0.00</t>
        </is>
      </c>
      <c r="K2237" t="inlineStr">
        <is>
          <t>🔥低粉爆款</t>
        </is>
      </c>
      <c r="L2237" t="inlineStr">
        <is>
          <t>小新糯叽叽的店</t>
        </is>
      </c>
      <c r="M2237">
        <v>30000</v>
      </c>
      <c r="N2237">
        <v>4.58</v>
      </c>
      <c r="O2237">
        <v>720000</v>
      </c>
      <c r="P2237" t="inlineStr">
        <is>
          <t>649bf37e3b99b20001df1294</t>
        </is>
      </c>
      <c r="Q2237" t="inlineStr">
        <is>
          <t>🚫重复</t>
        </is>
      </c>
      <c r="R2237" t="inlineStr">
        <is>
          <t>16周</t>
        </is>
      </c>
      <c r="S2237" t="inlineStr">
        <is>
          <t>4.10</t>
        </is>
      </c>
      <c r="T2237" t="inlineStr">
        <is>
          <t>美食滋补</t>
        </is>
      </c>
      <c r="U2237" t="inlineStr">
        <is>
          <t>休闲零食</t>
        </is>
      </c>
      <c r="V2237" s="3">
        <v>46130.98501157408</v>
      </c>
      <c r="W2237" t="inlineStr">
        <is>
          <t>2026-Q2</t>
        </is>
      </c>
    </row>
    <row r="2238" ht="25.5" customHeight="1">
      <c r="A2238" t="inlineStr">
        <is>
          <t>Craft手工丑墩墩巧克力纯可可脂比利时坚果夹心排块年货网红零食</t>
        </is>
      </c>
      <c r="B2238" t="inlineStr">
        <is>
          <t>__upload_recvh9P0bmORqe.jpg</t>
        </is>
      </c>
      <c r="C2238" s="2" t="str">
        <f>=HYPERLINK("https://xhslink.com/m/eIzC4GBHPx", "https://xhslink.com/m/eIzC4GBHPx")</f>
        <v>https://xhslink.com/m/eIzC4GBHPx</v>
      </c>
      <c r="D2238"/>
      <c r="E2238">
        <v>42000</v>
      </c>
      <c r="F2238">
        <v>69.9</v>
      </c>
      <c r="G2238"/>
      <c r="H2238">
        <v>200</v>
      </c>
      <c r="I2238" t="inlineStr">
        <is>
          <t>低热量零食</t>
        </is>
      </c>
      <c r="J2238" t="inlineStr">
        <is>
          <t>0.00</t>
        </is>
      </c>
      <c r="K2238"/>
      <c r="L2238" t="inlineStr">
        <is>
          <t>CRAFT手工巧克力的店</t>
        </is>
      </c>
      <c r="M2238">
        <v>103000</v>
      </c>
      <c r="N2238">
        <v>4.5</v>
      </c>
      <c r="O2238">
        <v>228000</v>
      </c>
      <c r="P2238" t="inlineStr">
        <is>
          <t>65f00a75ab9fce0001482e16</t>
        </is>
      </c>
      <c r="Q2238" t="inlineStr">
        <is>
          <t>🚫重复</t>
        </is>
      </c>
      <c r="R2238" t="inlineStr">
        <is>
          <t>16周</t>
        </is>
      </c>
      <c r="S2238" t="inlineStr">
        <is>
          <t>0.41</t>
        </is>
      </c>
      <c r="T2238" t="inlineStr">
        <is>
          <t>美食滋补</t>
        </is>
      </c>
      <c r="U2238" t="inlineStr">
        <is>
          <t>休闲零食</t>
        </is>
      </c>
      <c r="V2238" s="3">
        <v>46130.98501157408</v>
      </c>
      <c r="W2238" t="inlineStr">
        <is>
          <t>2026-Q2</t>
        </is>
      </c>
    </row>
    <row r="2239" ht="25.5" customHeight="1">
      <c r="A2239" t="inlineStr">
        <is>
          <t>【小爱果脯】加酸版酸梅粒无核厚切酸梅条桃梅肉蜜饯果脯酸爽零食</t>
        </is>
      </c>
      <c r="B2239" t="inlineStr">
        <is>
          <t>__upload_recvh9P0bmOvd4.jpg</t>
        </is>
      </c>
      <c r="C2239" s="2" t="str">
        <f>=HYPERLINK("https://xhslink.com/m/7wMHrJlzqbP", "https://xhslink.com/m/7wMHrJlzqbP")</f>
        <v>https://xhslink.com/m/7wMHrJlzqbP</v>
      </c>
      <c r="D2239"/>
      <c r="E2239">
        <v>272000</v>
      </c>
      <c r="F2239">
        <v>24.9</v>
      </c>
      <c r="G2239">
        <v>9.9</v>
      </c>
      <c r="H2239">
        <v>200</v>
      </c>
      <c r="I2239" t="inlineStr">
        <is>
          <t>低热量零食</t>
        </is>
      </c>
      <c r="J2239" t="inlineStr">
        <is>
          <t>0.00</t>
        </is>
      </c>
      <c r="K2239" t="inlineStr">
        <is>
          <t>🔥低粉爆款</t>
        </is>
      </c>
      <c r="L2239" t="inlineStr">
        <is>
          <t>小爱糯叽叽果脯的店</t>
        </is>
      </c>
      <c r="M2239">
        <v>5133</v>
      </c>
      <c r="N2239">
        <v>4.34</v>
      </c>
      <c r="O2239">
        <v>302000</v>
      </c>
      <c r="P2239" t="inlineStr">
        <is>
          <t>6852efe6ea2a810001940302</t>
        </is>
      </c>
      <c r="Q2239" t="inlineStr">
        <is>
          <t>🚫重复</t>
        </is>
      </c>
      <c r="R2239" t="inlineStr">
        <is>
          <t>16周</t>
        </is>
      </c>
      <c r="S2239" t="inlineStr">
        <is>
          <t>52.99</t>
        </is>
      </c>
      <c r="T2239" t="inlineStr">
        <is>
          <t>美食滋补</t>
        </is>
      </c>
      <c r="U2239" t="inlineStr">
        <is>
          <t>休闲零食</t>
        </is>
      </c>
      <c r="V2239" s="3">
        <v>46130.98501157408</v>
      </c>
      <c r="W2239" t="inlineStr">
        <is>
          <t>2026-Q2</t>
        </is>
      </c>
    </row>
    <row r="2240" ht="25.5" customHeight="1">
      <c r="A2240" t="inlineStr">
        <is>
          <t>苏农科JAAS · 农科院的无花果干 权威检测天然果干零食无硫熏</t>
        </is>
      </c>
      <c r="B2240" t="inlineStr">
        <is>
          <t>__upload_recvh9P0bmDnFe.jpg</t>
        </is>
      </c>
      <c r="C2240" s="2" t="str">
        <f>=HYPERLINK("https://xhslink.com/m/6hX8bdVaU4v", "https://xhslink.com/m/6hX8bdVaU4v")</f>
        <v>https://xhslink.com/m/6hX8bdVaU4v</v>
      </c>
      <c r="D2240"/>
      <c r="E2240">
        <v>215000</v>
      </c>
      <c r="F2240">
        <v>108.8</v>
      </c>
      <c r="G2240">
        <v>98.8</v>
      </c>
      <c r="H2240">
        <v>200</v>
      </c>
      <c r="I2240" t="inlineStr">
        <is>
          <t>低热量零食</t>
        </is>
      </c>
      <c r="J2240" t="inlineStr">
        <is>
          <t>0.00</t>
        </is>
      </c>
      <c r="K2240"/>
      <c r="L2240" t="inlineStr">
        <is>
          <t>苏农科JAAS的店</t>
        </is>
      </c>
      <c r="M2240">
        <v>137000</v>
      </c>
      <c r="N2240">
        <v>4.67</v>
      </c>
      <c r="O2240">
        <v>556000</v>
      </c>
      <c r="P2240" t="inlineStr">
        <is>
          <t>671ce15499bc520001e928b4</t>
        </is>
      </c>
      <c r="Q2240" t="inlineStr">
        <is>
          <t>🚫重复</t>
        </is>
      </c>
      <c r="R2240" t="inlineStr">
        <is>
          <t>16周</t>
        </is>
      </c>
      <c r="S2240" t="inlineStr">
        <is>
          <t>1.57</t>
        </is>
      </c>
      <c r="T2240" t="inlineStr">
        <is>
          <t>美食滋补</t>
        </is>
      </c>
      <c r="U2240" t="inlineStr">
        <is>
          <t>休闲零食</t>
        </is>
      </c>
      <c r="V2240" s="3">
        <v>46130.98501157408</v>
      </c>
      <c r="W2240" t="inlineStr">
        <is>
          <t>2026-Q2</t>
        </is>
      </c>
    </row>
    <row r="2241" ht="25.5" customHeight="1">
      <c r="A2241" t="inlineStr">
        <is>
          <t>Daily Seeds&amp;Co烘焙燕麦片·多口味</t>
        </is>
      </c>
      <c r="B2241" t="inlineStr">
        <is>
          <t>__upload_recvh9P0bm1wpX.jpg</t>
        </is>
      </c>
      <c r="C2241" s="2" t="str">
        <f>=HYPERLINK("https://xhslink.com/m/7Jji0QiWBXk", "https://xhslink.com/m/7Jji0QiWBXk")</f>
        <v>https://xhslink.com/m/7Jji0QiWBXk</v>
      </c>
      <c r="D2241"/>
      <c r="E2241">
        <v>60000</v>
      </c>
      <c r="F2241">
        <v>78</v>
      </c>
      <c r="G2241"/>
      <c r="H2241">
        <v>200</v>
      </c>
      <c r="I2241" t="inlineStr">
        <is>
          <t>低热量零食</t>
        </is>
      </c>
      <c r="J2241" t="inlineStr">
        <is>
          <t>0.00</t>
        </is>
      </c>
      <c r="K2241" t="inlineStr">
        <is>
          <t>🔥低粉爆款</t>
        </is>
      </c>
      <c r="L2241" t="inlineStr">
        <is>
          <t>DailySeeds&amp;Co种子世界的店</t>
        </is>
      </c>
      <c r="M2241">
        <v>14000</v>
      </c>
      <c r="N2241">
        <v>4.73</v>
      </c>
      <c r="O2241">
        <v>84000</v>
      </c>
      <c r="P2241" t="inlineStr">
        <is>
          <t>6941785cab7cc40001d0e31c</t>
        </is>
      </c>
      <c r="Q2241"/>
      <c r="R2241" t="inlineStr">
        <is>
          <t>16周</t>
        </is>
      </c>
      <c r="S2241" t="inlineStr">
        <is>
          <t>4.29</t>
        </is>
      </c>
      <c r="T2241" t="inlineStr">
        <is>
          <t>家居生活</t>
        </is>
      </c>
      <c r="U2241" t="inlineStr">
        <is>
          <t>厨房餐饮</t>
        </is>
      </c>
      <c r="V2241" s="3">
        <v>46130.98501157408</v>
      </c>
      <c r="W2241" t="inlineStr">
        <is>
          <t>2026-Q2</t>
        </is>
      </c>
    </row>
    <row r="2242" ht="25.5" customHeight="1">
      <c r="A2242" t="inlineStr">
        <is>
          <t>20种奶酪·新手试吃装-全球精选奶酪随机掉落20</t>
        </is>
      </c>
      <c r="B2242" t="inlineStr">
        <is>
          <t>__upload_recvh9P0bmnU4l.jpg</t>
        </is>
      </c>
      <c r="C2242" s="2" t="str">
        <f>=HYPERLINK("https://xhslink.com/m/2Y7IZf9p3To", "https://xhslink.com/m/2Y7IZf9p3To")</f>
        <v>https://xhslink.com/m/2Y7IZf9p3To</v>
      </c>
      <c r="D2242"/>
      <c r="E2242">
        <v>33000</v>
      </c>
      <c r="F2242">
        <v>176</v>
      </c>
      <c r="G2242">
        <v>140.8</v>
      </c>
      <c r="H2242">
        <v>200</v>
      </c>
      <c r="I2242" t="inlineStr">
        <is>
          <t>低热量零食</t>
        </is>
      </c>
      <c r="J2242" t="inlineStr">
        <is>
          <t>0.01</t>
        </is>
      </c>
      <c r="K2242"/>
      <c r="L2242" t="inlineStr">
        <is>
          <t>奶酪猴子Cheese Monkey的店</t>
        </is>
      </c>
      <c r="M2242">
        <v>82000</v>
      </c>
      <c r="N2242">
        <v>4.73</v>
      </c>
      <c r="O2242">
        <v>112000</v>
      </c>
      <c r="P2242" t="inlineStr">
        <is>
          <t>681f62279653670001f16812</t>
        </is>
      </c>
      <c r="Q2242"/>
      <c r="R2242" t="inlineStr">
        <is>
          <t>16周</t>
        </is>
      </c>
      <c r="S2242" t="inlineStr">
        <is>
          <t>0.40</t>
        </is>
      </c>
      <c r="T2242" t="inlineStr">
        <is>
          <t>美食滋补</t>
        </is>
      </c>
      <c r="U2242" t="inlineStr">
        <is>
          <t>休闲零食</t>
        </is>
      </c>
      <c r="V2242" s="3">
        <v>46130.98501157408</v>
      </c>
      <c r="W2242" t="inlineStr">
        <is>
          <t>2026-Q2</t>
        </is>
      </c>
    </row>
    <row r="2243" ht="25.5" customHeight="1">
      <c r="A2243" t="inlineStr">
        <is>
          <t>Venchi精选混合口味巧克力袋装320g500g进口零食送礼礼物</t>
        </is>
      </c>
      <c r="B2243" t="inlineStr">
        <is>
          <t>__upload_recvh9P0bmmQOl.jpg</t>
        </is>
      </c>
      <c r="C2243" s="2" t="str">
        <f>=HYPERLINK("https://xhslink.com/m/9UYQ9GIfoEY", "https://xhslink.com/m/9UYQ9GIfoEY")</f>
        <v>https://xhslink.com/m/9UYQ9GIfoEY</v>
      </c>
      <c r="D2243"/>
      <c r="E2243">
        <v>11000</v>
      </c>
      <c r="F2243">
        <v>550</v>
      </c>
      <c r="G2243"/>
      <c r="H2243">
        <v>200</v>
      </c>
      <c r="I2243" t="inlineStr">
        <is>
          <t>低热量零食</t>
        </is>
      </c>
      <c r="J2243" t="inlineStr">
        <is>
          <t>0.02</t>
        </is>
      </c>
      <c r="K2243" t="inlineStr">
        <is>
          <t>🔥低粉爆款</t>
        </is>
      </c>
      <c r="L2243" t="inlineStr">
        <is>
          <t>Tom巧克力管家的店</t>
        </is>
      </c>
      <c r="M2243">
        <v>2960</v>
      </c>
      <c r="N2243">
        <v>4.76</v>
      </c>
      <c r="O2243">
        <v>16000</v>
      </c>
      <c r="P2243" t="inlineStr">
        <is>
          <t>69bf7fdaffa26d0001a3572a</t>
        </is>
      </c>
      <c r="Q2243"/>
      <c r="R2243" t="inlineStr">
        <is>
          <t>16周</t>
        </is>
      </c>
      <c r="S2243" t="inlineStr">
        <is>
          <t>3.72</t>
        </is>
      </c>
      <c r="T2243" t="inlineStr">
        <is>
          <t>美食滋补</t>
        </is>
      </c>
      <c r="U2243" t="inlineStr">
        <is>
          <t>休闲零食</t>
        </is>
      </c>
      <c r="V2243" s="3">
        <v>46130.98501157408</v>
      </c>
      <c r="W2243" t="inlineStr">
        <is>
          <t>2026-Q2</t>
        </is>
      </c>
    </row>
    <row r="2244" ht="25.5" customHeight="1">
      <c r="A2244" t="inlineStr">
        <is>
          <t>麸味希腊冷萃干噎厚酸奶拍两罐及以上有满减单罐220</t>
        </is>
      </c>
      <c r="B2244" t="inlineStr">
        <is>
          <t>__upload_recvh9P0bmG1SI.jpg</t>
        </is>
      </c>
      <c r="C2244" s="2" t="str">
        <f>=HYPERLINK("https://xhslink.com/m/1aOTpTHg1kL", "https://xhslink.com/m/1aOTpTHg1kL")</f>
        <v>https://xhslink.com/m/1aOTpTHg1kL</v>
      </c>
      <c r="D2244"/>
      <c r="E2244">
        <v>235000</v>
      </c>
      <c r="F2244">
        <v>27.8</v>
      </c>
      <c r="G2244"/>
      <c r="H2244">
        <v>200</v>
      </c>
      <c r="I2244" t="inlineStr">
        <is>
          <t>低热量零食</t>
        </is>
      </c>
      <c r="J2244" t="inlineStr">
        <is>
          <t>0.00</t>
        </is>
      </c>
      <c r="K2244" t="inlineStr">
        <is>
          <t>🔥低粉爆款</t>
        </is>
      </c>
      <c r="L2244" t="inlineStr">
        <is>
          <t>麸味冷萃希腊酸奶的店</t>
        </is>
      </c>
      <c r="M2244">
        <v>27000</v>
      </c>
      <c r="N2244">
        <v>4.55</v>
      </c>
      <c r="O2244">
        <v>253000</v>
      </c>
      <c r="P2244" t="inlineStr">
        <is>
          <t>682302ed0a65390001a90919</t>
        </is>
      </c>
      <c r="Q2244" t="inlineStr">
        <is>
          <t>🚫重复</t>
        </is>
      </c>
      <c r="R2244" t="inlineStr">
        <is>
          <t>16周</t>
        </is>
      </c>
      <c r="S2244" t="inlineStr">
        <is>
          <t>8.70</t>
        </is>
      </c>
      <c r="T2244" t="inlineStr">
        <is>
          <t>美食滋补</t>
        </is>
      </c>
      <c r="U2244" t="inlineStr">
        <is>
          <t>酒水冲饮</t>
        </is>
      </c>
      <c r="V2244" s="3">
        <v>46130.98501157408</v>
      </c>
      <c r="W2244" t="inlineStr">
        <is>
          <t>2026-Q2</t>
        </is>
      </c>
    </row>
    <row r="2245" ht="25.5" customHeight="1">
      <c r="A2245" t="inlineStr">
        <is>
          <t>记补季 · 中国台式工艺手作三明治全新上市用料干净早餐烘焙主食生吐司</t>
        </is>
      </c>
      <c r="B2245" t="inlineStr">
        <is>
          <t>__upload_recvh9P0bmQZ0f.jpg</t>
        </is>
      </c>
      <c r="C2245" s="2" t="str">
        <f>=HYPERLINK("https://xhslink.com/m/5gUx9GWLSFD", "https://xhslink.com/m/5gUx9GWLSFD")</f>
        <v>https://xhslink.com/m/5gUx9GWLSFD</v>
      </c>
      <c r="D2245"/>
      <c r="E2245">
        <v>10000</v>
      </c>
      <c r="F2245">
        <v>87</v>
      </c>
      <c r="G2245"/>
      <c r="H2245">
        <v>200</v>
      </c>
      <c r="I2245" t="inlineStr">
        <is>
          <t>低热量零食</t>
        </is>
      </c>
      <c r="J2245" t="inlineStr">
        <is>
          <t>0.02</t>
        </is>
      </c>
      <c r="K2245" t="inlineStr">
        <is>
          <t>🔥低粉爆款</t>
        </is>
      </c>
      <c r="L2245" t="inlineStr">
        <is>
          <t>记补季旗舰店</t>
        </is>
      </c>
      <c r="M2245">
        <v>965</v>
      </c>
      <c r="N2245">
        <v>3.96</v>
      </c>
      <c r="O2245">
        <v>12000</v>
      </c>
      <c r="P2245" t="inlineStr">
        <is>
          <t>69077fa4e0dd1700013c4b52</t>
        </is>
      </c>
      <c r="Q2245" t="inlineStr">
        <is>
          <t>🚫重复</t>
        </is>
      </c>
      <c r="R2245" t="inlineStr">
        <is>
          <t>16周</t>
        </is>
      </c>
      <c r="S2245" t="inlineStr">
        <is>
          <t>10.36</t>
        </is>
      </c>
      <c r="T2245" t="inlineStr">
        <is>
          <t>美食滋补</t>
        </is>
      </c>
      <c r="U2245" t="inlineStr">
        <is>
          <t>休闲零食</t>
        </is>
      </c>
      <c r="V2245" s="3">
        <v>46130.98501157408</v>
      </c>
      <c r="W2245" t="inlineStr">
        <is>
          <t>2026-Q2</t>
        </is>
      </c>
    </row>
    <row r="2246" ht="25.5" customHeight="1">
      <c r="A2246" t="inlineStr">
        <is>
          <t>冷淡风气质醋酸鲨鱼夹秋冬款八爪夹日常通勤饱满盘发发夹女</t>
        </is>
      </c>
      <c r="B2246" t="inlineStr">
        <is>
          <t>__upload_recvh9P0bmr1BL.jpg</t>
        </is>
      </c>
      <c r="C2246" s="2" t="str">
        <f>=HYPERLINK("https://xhslink.com/m/82bcyuJ06Ps", "https://xhslink.com/m/82bcyuJ06Ps")</f>
        <v>https://xhslink.com/m/82bcyuJ06Ps</v>
      </c>
      <c r="D2246"/>
      <c r="E2246">
        <v>20000</v>
      </c>
      <c r="F2246">
        <v>22.8</v>
      </c>
      <c r="G2246">
        <v>12.8</v>
      </c>
      <c r="H2246">
        <v>200</v>
      </c>
      <c r="I2246" t="inlineStr">
        <is>
          <t>配饰</t>
        </is>
      </c>
      <c r="J2246" t="inlineStr">
        <is>
          <t>0.01</t>
        </is>
      </c>
      <c r="K2246" t="inlineStr">
        <is>
          <t>🔥低粉爆款</t>
        </is>
      </c>
      <c r="L2246" t="inlineStr">
        <is>
          <t>月球保姆的店</t>
        </is>
      </c>
      <c r="M2246">
        <v>696</v>
      </c>
      <c r="N2246">
        <v>4.38</v>
      </c>
      <c r="O2246">
        <v>29000</v>
      </c>
      <c r="P2246" t="inlineStr">
        <is>
          <t>68aaab786f3f72000183726a</t>
        </is>
      </c>
      <c r="Q2246" t="inlineStr">
        <is>
          <t>🚫重复</t>
        </is>
      </c>
      <c r="R2246" t="inlineStr">
        <is>
          <t>16周</t>
        </is>
      </c>
      <c r="S2246" t="inlineStr">
        <is>
          <t>28.74</t>
        </is>
      </c>
      <c r="T2246" t="inlineStr">
        <is>
          <t>服饰穿搭</t>
        </is>
      </c>
      <c r="U2246" t="inlineStr">
        <is>
          <t>配饰</t>
        </is>
      </c>
      <c r="V2246" s="3">
        <v>46130.98501157408</v>
      </c>
      <c r="W2246" t="inlineStr">
        <is>
          <t>2026-Q2</t>
        </is>
      </c>
    </row>
    <row r="2247" ht="25.5" customHeight="1">
      <c r="A2247" t="inlineStr">
        <is>
          <t>海边度假打卡拍照出大片发夹发卡仙女手作卡通风森系清新渐变</t>
        </is>
      </c>
      <c r="B2247" t="inlineStr">
        <is>
          <t>__upload_recvh9P0bmHTBP.jpg</t>
        </is>
      </c>
      <c r="C2247" s="2" t="str">
        <f>=HYPERLINK("https://xhslink.com/m/5iWrewungZL", "https://xhslink.com/m/5iWrewungZL")</f>
        <v>https://xhslink.com/m/5iWrewungZL</v>
      </c>
      <c r="D2247"/>
      <c r="E2247">
        <v>12000</v>
      </c>
      <c r="F2247">
        <v>12.9</v>
      </c>
      <c r="G2247"/>
      <c r="H2247">
        <v>200</v>
      </c>
      <c r="I2247" t="inlineStr">
        <is>
          <t>配饰</t>
        </is>
      </c>
      <c r="J2247" t="inlineStr">
        <is>
          <t>0.02</t>
        </is>
      </c>
      <c r="K2247"/>
      <c r="L2247" t="inlineStr">
        <is>
          <t>饭困蛋挞（花花版）的店</t>
        </is>
      </c>
      <c r="M2247">
        <v>5832</v>
      </c>
      <c r="N2247">
        <v>4.57</v>
      </c>
      <c r="O2247">
        <v>29000</v>
      </c>
      <c r="P2247" t="inlineStr">
        <is>
          <t>6852ddc69d4a5500013bbbcb</t>
        </is>
      </c>
      <c r="Q2247"/>
      <c r="R2247" t="inlineStr">
        <is>
          <t>16周</t>
        </is>
      </c>
      <c r="S2247" t="inlineStr">
        <is>
          <t>2.06</t>
        </is>
      </c>
      <c r="T2247" t="inlineStr">
        <is>
          <t>服饰穿搭</t>
        </is>
      </c>
      <c r="U2247" t="inlineStr">
        <is>
          <t>配饰</t>
        </is>
      </c>
      <c r="V2247" s="3">
        <v>46130.98501157408</v>
      </c>
      <c r="W2247" t="inlineStr">
        <is>
          <t>2026-Q2</t>
        </is>
      </c>
    </row>
    <row r="2248" ht="25.5" customHeight="1">
      <c r="A2248" t="inlineStr">
        <is>
          <t>【5元包邮】满10-1 2026春夏日韩流行新款发圈氛围感穿搭头绳头饰</t>
        </is>
      </c>
      <c r="B2248" t="inlineStr">
        <is>
          <t>__upload_recvh9P0bm0BbQ.jpg</t>
        </is>
      </c>
      <c r="C2248" s="2" t="str">
        <f>=HYPERLINK("https://xhslink.com/m/AMvNwXttbsZ", "https://xhslink.com/m/AMvNwXttbsZ")</f>
        <v>https://xhslink.com/m/AMvNwXttbsZ</v>
      </c>
      <c r="D2248"/>
      <c r="E2248">
        <v>10000</v>
      </c>
      <c r="F2248">
        <v>5</v>
      </c>
      <c r="G2248"/>
      <c r="H2248">
        <v>200</v>
      </c>
      <c r="I2248" t="inlineStr">
        <is>
          <t>配饰</t>
        </is>
      </c>
      <c r="J2248" t="inlineStr">
        <is>
          <t>0.02</t>
        </is>
      </c>
      <c r="K2248"/>
      <c r="L2248" t="inlineStr">
        <is>
          <t>winnie云妮的店</t>
        </is>
      </c>
      <c r="M2248">
        <v>200000</v>
      </c>
      <c r="N2248">
        <v>4.65</v>
      </c>
      <c r="O2248">
        <v>1047000</v>
      </c>
      <c r="P2248" t="inlineStr">
        <is>
          <t>69d8b26461bf490001a58f57</t>
        </is>
      </c>
      <c r="Q2248" t="inlineStr">
        <is>
          <t>🚫重复</t>
        </is>
      </c>
      <c r="R2248" t="inlineStr">
        <is>
          <t>16周</t>
        </is>
      </c>
      <c r="S2248" t="inlineStr">
        <is>
          <t>0.05</t>
        </is>
      </c>
      <c r="T2248" t="inlineStr">
        <is>
          <t>服饰穿搭</t>
        </is>
      </c>
      <c r="U2248" t="inlineStr">
        <is>
          <t>配饰</t>
        </is>
      </c>
      <c r="V2248" s="3">
        <v>46130.98501157408</v>
      </c>
      <c r="W2248" t="inlineStr">
        <is>
          <t>2026-Q2</t>
        </is>
      </c>
    </row>
    <row r="2249" ht="25.5" customHeight="1">
      <c r="A2249" t="inlineStr">
        <is>
          <t>4色春夏薄款白袜镂空爱心无骨纯棉网眼透气芭蕾风中筒堆堆袜（1）</t>
        </is>
      </c>
      <c r="B2249" t="inlineStr">
        <is>
          <t>__upload_recvh9P0bmZdTa.jpg</t>
        </is>
      </c>
      <c r="C2249" s="2" t="str">
        <f>=HYPERLINK("https://xhslink.com/m/4rwvcVxTDOi", "https://xhslink.com/m/4rwvcVxTDOi")</f>
        <v>https://xhslink.com/m/4rwvcVxTDOi</v>
      </c>
      <c r="D2249"/>
      <c r="E2249">
        <v>33000</v>
      </c>
      <c r="F2249">
        <v>16.5</v>
      </c>
      <c r="G2249"/>
      <c r="H2249">
        <v>200</v>
      </c>
      <c r="I2249" t="inlineStr">
        <is>
          <t>袜子</t>
        </is>
      </c>
      <c r="J2249" t="inlineStr">
        <is>
          <t>0.01</t>
        </is>
      </c>
      <c r="K2249"/>
      <c r="L2249" t="inlineStr">
        <is>
          <t>sweet焦糖派对的店</t>
        </is>
      </c>
      <c r="M2249">
        <v>15000</v>
      </c>
      <c r="N2249">
        <v>4.67</v>
      </c>
      <c r="O2249">
        <v>169000</v>
      </c>
      <c r="P2249" t="inlineStr">
        <is>
          <t>67e95730c90d830001caf7ff</t>
        </is>
      </c>
      <c r="Q2249" t="inlineStr">
        <is>
          <t>🚫重复</t>
        </is>
      </c>
      <c r="R2249" t="inlineStr">
        <is>
          <t>16周</t>
        </is>
      </c>
      <c r="S2249" t="inlineStr">
        <is>
          <t>2.20</t>
        </is>
      </c>
      <c r="T2249" t="inlineStr">
        <is>
          <t>服饰穿搭</t>
        </is>
      </c>
      <c r="U2249" t="inlineStr">
        <is>
          <t>鞋靴箱包</t>
        </is>
      </c>
      <c r="V2249" s="3">
        <v>46130.98501157408</v>
      </c>
      <c r="W2249" t="inlineStr">
        <is>
          <t>2026-Q2</t>
        </is>
      </c>
    </row>
    <row r="2250" ht="25.5" customHeight="1">
      <c r="A2250" t="inlineStr">
        <is>
          <t>春夏款袜子春夏款薄款棉袜好看的小袜子</t>
        </is>
      </c>
      <c r="B2250" t="inlineStr">
        <is>
          <t>__upload_recvh9P0bmIrCB.jpg</t>
        </is>
      </c>
      <c r="C2250" s="2" t="str">
        <f>=HYPERLINK("https://xhslink.com/m/268T2qrxmzo", "https://xhslink.com/m/268T2qrxmzo")</f>
        <v>https://xhslink.com/m/268T2qrxmzo</v>
      </c>
      <c r="D2250"/>
      <c r="E2250">
        <v>4442</v>
      </c>
      <c r="F2250">
        <v>12.9</v>
      </c>
      <c r="G2250"/>
      <c r="H2250">
        <v>200</v>
      </c>
      <c r="I2250" t="inlineStr">
        <is>
          <t>袜子</t>
        </is>
      </c>
      <c r="J2250" t="inlineStr">
        <is>
          <t>0.05</t>
        </is>
      </c>
      <c r="K2250"/>
      <c r="L2250" t="inlineStr">
        <is>
          <t>1.79一双纯棉袜子的店</t>
        </is>
      </c>
      <c r="M2250">
        <v>3064</v>
      </c>
      <c r="N2250">
        <v>4.63</v>
      </c>
      <c r="O2250">
        <v>17000</v>
      </c>
      <c r="P2250" t="inlineStr">
        <is>
          <t>69b12b47771a670001ce20cf</t>
        </is>
      </c>
      <c r="Q2250" t="inlineStr">
        <is>
          <t>🚫重复</t>
        </is>
      </c>
      <c r="R2250" t="inlineStr">
        <is>
          <t>16周</t>
        </is>
      </c>
      <c r="S2250" t="inlineStr">
        <is>
          <t>1.45</t>
        </is>
      </c>
      <c r="T2250" t="inlineStr">
        <is>
          <t>服饰穿搭</t>
        </is>
      </c>
      <c r="U2250" t="inlineStr">
        <is>
          <t>鞋靴箱包</t>
        </is>
      </c>
      <c r="V2250" s="3">
        <v>46130.98501157408</v>
      </c>
      <c r="W2250" t="inlineStr">
        <is>
          <t>2026-Q2</t>
        </is>
      </c>
    </row>
    <row r="2251" ht="25.5" customHeight="1">
      <c r="A2251" t="inlineStr">
        <is>
          <t>珊癸尔 · SHINESTUDIO 珍珠美学大道至简人鱼泪美人骨珍珠项链高级简约时尚</t>
        </is>
      </c>
      <c r="B2251" t="inlineStr">
        <is>
          <t>__upload_recvh9P0bmtvFz.jpg</t>
        </is>
      </c>
      <c r="C2251" s="2" t="str">
        <f>=HYPERLINK("https://xhslink.com/m/alOpWefd8Z", "https://xhslink.com/m/alOpWefd8Z")</f>
        <v>https://xhslink.com/m/alOpWefd8Z</v>
      </c>
      <c r="D2251"/>
      <c r="E2251">
        <v>25000</v>
      </c>
      <c r="F2251">
        <v>138.9</v>
      </c>
      <c r="G2251"/>
      <c r="H2251">
        <v>200</v>
      </c>
      <c r="I2251" t="inlineStr">
        <is>
          <t>项链</t>
        </is>
      </c>
      <c r="J2251" t="inlineStr">
        <is>
          <t>0.01</t>
        </is>
      </c>
      <c r="K2251"/>
      <c r="L2251" t="inlineStr">
        <is>
          <t>珊癸尔的店</t>
        </is>
      </c>
      <c r="M2251">
        <v>57000</v>
      </c>
      <c r="N2251">
        <v>4.65</v>
      </c>
      <c r="O2251">
        <v>70000</v>
      </c>
      <c r="P2251" t="inlineStr">
        <is>
          <t>66e18bec9cf133000130b8d2</t>
        </is>
      </c>
      <c r="Q2251"/>
      <c r="R2251" t="inlineStr">
        <is>
          <t>16周</t>
        </is>
      </c>
      <c r="S2251" t="inlineStr">
        <is>
          <t>0.44</t>
        </is>
      </c>
      <c r="T2251" t="inlineStr">
        <is>
          <t>服饰穿搭</t>
        </is>
      </c>
      <c r="U2251" t="inlineStr">
        <is>
          <t>配饰</t>
        </is>
      </c>
      <c r="V2251" s="3">
        <v>46130.98501157408</v>
      </c>
      <c r="W2251" t="inlineStr">
        <is>
          <t>2026-Q2</t>
        </is>
      </c>
    </row>
    <row r="2252" ht="25.5" customHeight="1">
      <c r="A2252" t="inlineStr">
        <is>
          <t>Minky · 「奥利安娜」欧阳娜娜同款简约珍珠耳环蚊香盘无耳洞耳夹精致耳饰</t>
        </is>
      </c>
      <c r="B2252" t="inlineStr">
        <is>
          <t>__upload_recvh9P0bmi6Ii.jpg</t>
        </is>
      </c>
      <c r="C2252" s="2" t="str">
        <f>=HYPERLINK("https://xhslink.com/m/3rjmUkDaLuK", "https://xhslink.com/m/3rjmUkDaLuK")</f>
        <v>https://xhslink.com/m/3rjmUkDaLuK</v>
      </c>
      <c r="D2252"/>
      <c r="E2252">
        <v>45000</v>
      </c>
      <c r="F2252">
        <v>34.8</v>
      </c>
      <c r="G2252"/>
      <c r="H2252">
        <v>200</v>
      </c>
      <c r="I2252" t="inlineStr">
        <is>
          <t>项链</t>
        </is>
      </c>
      <c r="J2252" t="inlineStr">
        <is>
          <t>0.00</t>
        </is>
      </c>
      <c r="K2252"/>
      <c r="L2252" t="inlineStr">
        <is>
          <t>Minky的店</t>
        </is>
      </c>
      <c r="M2252">
        <v>95000</v>
      </c>
      <c r="N2252">
        <v>4.53</v>
      </c>
      <c r="O2252">
        <v>207000</v>
      </c>
      <c r="P2252" t="inlineStr">
        <is>
          <t>68afd1a69a164100014f9771</t>
        </is>
      </c>
      <c r="Q2252"/>
      <c r="R2252" t="inlineStr">
        <is>
          <t>16周</t>
        </is>
      </c>
      <c r="S2252" t="inlineStr">
        <is>
          <t>0.47</t>
        </is>
      </c>
      <c r="T2252" t="inlineStr">
        <is>
          <t>服饰穿搭</t>
        </is>
      </c>
      <c r="U2252" t="inlineStr">
        <is>
          <t>配饰</t>
        </is>
      </c>
      <c r="V2252" s="3">
        <v>46130.98501157408</v>
      </c>
      <c r="W2252" t="inlineStr">
        <is>
          <t>2026-Q2</t>
        </is>
      </c>
    </row>
    <row r="2253" ht="25.5" customHeight="1">
      <c r="A2253" t="inlineStr">
        <is>
          <t>s925纯银颈间一滴泪锆石项链单钻一克拉闪钻锁骨链女生日礼物</t>
        </is>
      </c>
      <c r="B2253" t="inlineStr">
        <is>
          <t>__upload_recvh9P0bmHfiz.jpg</t>
        </is>
      </c>
      <c r="C2253" s="2" t="str">
        <f>=HYPERLINK("https://xhslink.com/m/3v6EJYy3Vbc", "https://xhslink.com/m/3v6EJYy3Vbc")</f>
        <v>https://xhslink.com/m/3v6EJYy3Vbc</v>
      </c>
      <c r="D2253"/>
      <c r="E2253">
        <v>6637</v>
      </c>
      <c r="F2253">
        <v>92.8</v>
      </c>
      <c r="G2253">
        <v>82.8</v>
      </c>
      <c r="H2253">
        <v>200</v>
      </c>
      <c r="I2253" t="inlineStr">
        <is>
          <t>项链</t>
        </is>
      </c>
      <c r="J2253" t="inlineStr">
        <is>
          <t>0.03</t>
        </is>
      </c>
      <c r="K2253"/>
      <c r="L2253" t="inlineStr">
        <is>
          <t>wengen可可的店</t>
        </is>
      </c>
      <c r="M2253">
        <v>24000</v>
      </c>
      <c r="N2253">
        <v>4.55</v>
      </c>
      <c r="O2253">
        <v>251000</v>
      </c>
      <c r="P2253" t="inlineStr">
        <is>
          <t>69c775f0c6fcf50001518624</t>
        </is>
      </c>
      <c r="Q2253"/>
      <c r="R2253" t="inlineStr">
        <is>
          <t>16周</t>
        </is>
      </c>
      <c r="S2253" t="inlineStr">
        <is>
          <t>0.28</t>
        </is>
      </c>
      <c r="T2253" t="inlineStr">
        <is>
          <t>服饰穿搭</t>
        </is>
      </c>
      <c r="U2253" t="inlineStr">
        <is>
          <t>配饰</t>
        </is>
      </c>
      <c r="V2253" s="3">
        <v>46130.98501157408</v>
      </c>
      <c r="W2253" t="inlineStr">
        <is>
          <t>2026-Q2</t>
        </is>
      </c>
    </row>
    <row r="2254" ht="25.5" customHeight="1">
      <c r="A2254" t="inlineStr">
        <is>
          <t>Vintage｜「柔光星芒」锁骨链</t>
        </is>
      </c>
      <c r="B2254" t="inlineStr">
        <is>
          <t>__upload_recvh9P0bm7qdC.jpg</t>
        </is>
      </c>
      <c r="C2254" s="2" t="str">
        <f>=HYPERLINK("https://xhslink.com/m/3vKSkxSwpyi", "https://xhslink.com/m/3vKSkxSwpyi")</f>
        <v>https://xhslink.com/m/3vKSkxSwpyi</v>
      </c>
      <c r="D2254"/>
      <c r="E2254">
        <v>907</v>
      </c>
      <c r="F2254">
        <v>35.9</v>
      </c>
      <c r="G2254">
        <v>16.9</v>
      </c>
      <c r="H2254">
        <v>200</v>
      </c>
      <c r="I2254" t="inlineStr">
        <is>
          <t>项链</t>
        </is>
      </c>
      <c r="J2254" t="inlineStr">
        <is>
          <t>0.22</t>
        </is>
      </c>
      <c r="K2254"/>
      <c r="L2254" t="inlineStr">
        <is>
          <t>莓烦恼Kira的店</t>
        </is>
      </c>
      <c r="M2254">
        <v>5446</v>
      </c>
      <c r="N2254">
        <v>4.6</v>
      </c>
      <c r="O2254">
        <v>32000</v>
      </c>
      <c r="P2254" t="inlineStr">
        <is>
          <t>692da74d2aa9d000012a5edc</t>
        </is>
      </c>
      <c r="Q2254"/>
      <c r="R2254" t="inlineStr">
        <is>
          <t>16周</t>
        </is>
      </c>
      <c r="S2254" t="inlineStr">
        <is>
          <t>0.17</t>
        </is>
      </c>
      <c r="T2254" t="inlineStr">
        <is>
          <t>服饰穿搭</t>
        </is>
      </c>
      <c r="U2254" t="inlineStr">
        <is>
          <t>配饰</t>
        </is>
      </c>
      <c r="V2254" s="3">
        <v>46130.98501157408</v>
      </c>
      <c r="W2254" t="inlineStr">
        <is>
          <t>2026-Q2</t>
        </is>
      </c>
    </row>
    <row r="2255" ht="25.5" customHeight="1">
      <c r="A2255" t="inlineStr">
        <is>
          <t>南瓜巧饼手工现做低脂健康即食早餐糕点饱腹感强的代餐速食小袋装</t>
        </is>
      </c>
      <c r="B2255" t="inlineStr">
        <is>
          <t>__upload_recvh9P0bm5A1j.jpg</t>
        </is>
      </c>
      <c r="C2255" s="2" t="str">
        <f>=HYPERLINK("https://xhslink.com/m/8hErqh5QtSy", "https://xhslink.com/m/8hErqh5QtSy")</f>
        <v>https://xhslink.com/m/8hErqh5QtSy</v>
      </c>
      <c r="D2255"/>
      <c r="E2255">
        <v>104000</v>
      </c>
      <c r="F2255">
        <v>22.9</v>
      </c>
      <c r="G2255">
        <v>15.9</v>
      </c>
      <c r="H2255">
        <v>200</v>
      </c>
      <c r="I2255" t="inlineStr">
        <is>
          <t>减脂主食</t>
        </is>
      </c>
      <c r="J2255" t="inlineStr">
        <is>
          <t>0.00</t>
        </is>
      </c>
      <c r="K2255" t="inlineStr">
        <is>
          <t>🔥低粉爆款</t>
        </is>
      </c>
      <c r="L2255" t="inlineStr">
        <is>
          <t>嗦吧轻食荟的店</t>
        </is>
      </c>
      <c r="M2255">
        <v>7840</v>
      </c>
      <c r="N2255">
        <v>4.59</v>
      </c>
      <c r="O2255">
        <v>164000</v>
      </c>
      <c r="P2255" t="inlineStr">
        <is>
          <t>68459abcf89aa500010cb30f</t>
        </is>
      </c>
      <c r="Q2255" t="inlineStr">
        <is>
          <t>🚫重复</t>
        </is>
      </c>
      <c r="R2255" t="inlineStr">
        <is>
          <t>16周</t>
        </is>
      </c>
      <c r="S2255" t="inlineStr">
        <is>
          <t>13.27</t>
        </is>
      </c>
      <c r="T2255" t="inlineStr">
        <is>
          <t>美食滋补</t>
        </is>
      </c>
      <c r="U2255" t="inlineStr">
        <is>
          <t>休闲零食</t>
        </is>
      </c>
      <c r="V2255" s="3">
        <v>46130.98501157408</v>
      </c>
      <c r="W2255" t="inlineStr">
        <is>
          <t>2026-Q2</t>
        </is>
      </c>
    </row>
    <row r="2256" ht="25.5" customHeight="1">
      <c r="A2256" t="inlineStr">
        <is>
          <t>原神 全新正版清仓 吧唧</t>
        </is>
      </c>
      <c r="B2256" t="inlineStr">
        <is>
          <t>__upload_recvhfQmhqSBiR.jpg</t>
        </is>
      </c>
      <c r="C2256" s="2" t="str">
        <f>=HYPERLINK("https://xhslink.com/m/1XgyD1buaDi", "https://xhslink.com/m/1XgyD1buaDi")</f>
        <v>https://xhslink.com/m/1XgyD1buaDi</v>
      </c>
      <c r="D2256"/>
      <c r="E2256">
        <v>5382</v>
      </c>
      <c r="F2256">
        <v>10</v>
      </c>
      <c r="G2256"/>
      <c r="H2256">
        <v>200</v>
      </c>
      <c r="I2256" t="inlineStr">
        <is>
          <t>谷子</t>
        </is>
      </c>
      <c r="J2256" t="inlineStr">
        <is>
          <t>0.04</t>
        </is>
      </c>
      <c r="K2256"/>
      <c r="L2256" t="inlineStr">
        <is>
          <t>半价吃谷（二哥）的店</t>
        </is>
      </c>
      <c r="M2256">
        <v>11000</v>
      </c>
      <c r="N2256">
        <v>4.78</v>
      </c>
      <c r="O2256">
        <v>52000</v>
      </c>
      <c r="P2256" t="inlineStr">
        <is>
          <t>69898682a5576f000191a585</t>
        </is>
      </c>
      <c r="Q2256" t="inlineStr">
        <is>
          <t>🚫重复</t>
        </is>
      </c>
      <c r="R2256" t="inlineStr">
        <is>
          <t>17周</t>
        </is>
      </c>
      <c r="S2256" t="inlineStr">
        <is>
          <t>0.49</t>
        </is>
      </c>
      <c r="T2256" t="inlineStr">
        <is>
          <t>运动潮玩</t>
        </is>
      </c>
      <c r="U2256" t="inlineStr">
        <is>
          <t>潮玩手办</t>
        </is>
      </c>
      <c r="V2256" s="3">
        <v>46132.014918981484</v>
      </c>
      <c r="W2256" t="inlineStr">
        <is>
          <t>2026-Q2</t>
        </is>
      </c>
    </row>
    <row r="2257" ht="25.5" customHeight="1">
      <c r="A2257" t="inlineStr">
        <is>
          <t>纯手工食品级硅胶捏捏</t>
        </is>
      </c>
      <c r="B2257" t="inlineStr">
        <is>
          <t>__upload_recvhfQmhqwQIy.jpg</t>
        </is>
      </c>
      <c r="C2257" s="2" t="str">
        <f>=HYPERLINK("https://xhslink.com/m/9k5ofEtmhvK", "https://xhslink.com/m/9k5ofEtmhvK")</f>
        <v>https://xhslink.com/m/9k5ofEtmhvK</v>
      </c>
      <c r="D2257"/>
      <c r="E2257">
        <v>25000</v>
      </c>
      <c r="F2257">
        <v>27.9</v>
      </c>
      <c r="G2257"/>
      <c r="H2257">
        <v>200</v>
      </c>
      <c r="I2257" t="inlineStr">
        <is>
          <t>硅胶捏捏</t>
        </is>
      </c>
      <c r="J2257" t="inlineStr">
        <is>
          <t>0.01</t>
        </is>
      </c>
      <c r="K2257"/>
      <c r="L2257" t="inlineStr">
        <is>
          <t>xinxin's捏捏的店</t>
        </is>
      </c>
      <c r="M2257">
        <v>25000</v>
      </c>
      <c r="N2257">
        <v>4.44</v>
      </c>
      <c r="O2257">
        <v>48000</v>
      </c>
      <c r="P2257" t="inlineStr">
        <is>
          <t>69b84d2dbf49420001c24d17</t>
        </is>
      </c>
      <c r="Q2257" t="inlineStr">
        <is>
          <t>🚫重复</t>
        </is>
      </c>
      <c r="R2257" t="inlineStr">
        <is>
          <t>17周</t>
        </is>
      </c>
      <c r="S2257" t="inlineStr">
        <is>
          <t>1.00</t>
        </is>
      </c>
      <c r="T2257" t="inlineStr">
        <is>
          <t>运动潮玩</t>
        </is>
      </c>
      <c r="U2257" t="inlineStr">
        <is>
          <t>潮玩手办</t>
        </is>
      </c>
      <c r="V2257" s="3">
        <v>46132.014918981484</v>
      </c>
      <c r="W2257" t="inlineStr">
        <is>
          <t>2026-Q2</t>
        </is>
      </c>
    </row>
    <row r="2258" ht="25.5" customHeight="1">
      <c r="A2258" t="inlineStr">
        <is>
          <t>零点森态 · 新鲜凤梨释迦果3/5斤牛奶大目番荔枝佛头摩尼果当季水果整箱水果</t>
        </is>
      </c>
      <c r="B2258" t="inlineStr">
        <is>
          <t>__upload_recvhfQmhqrKSd.jpg</t>
        </is>
      </c>
      <c r="C2258" s="2" t="str">
        <f>=HYPERLINK("https://xhslink.com/m/AQ2nm3tEZd7", "https://xhslink.com/m/AQ2nm3tEZd7")</f>
        <v>https://xhslink.com/m/AQ2nm3tEZd7</v>
      </c>
      <c r="D2258"/>
      <c r="E2258">
        <v>260000</v>
      </c>
      <c r="F2258">
        <v>39.8</v>
      </c>
      <c r="G2258">
        <v>29.8</v>
      </c>
      <c r="H2258">
        <v>200</v>
      </c>
      <c r="I2258" t="inlineStr">
        <is>
          <t>水果</t>
        </is>
      </c>
      <c r="J2258" t="inlineStr">
        <is>
          <t>0.00</t>
        </is>
      </c>
      <c r="K2258" t="inlineStr">
        <is>
          <t>🔥低粉爆款</t>
        </is>
      </c>
      <c r="L2258" t="inlineStr">
        <is>
          <t>零点森态旗舰店</t>
        </is>
      </c>
      <c r="M2258">
        <v>10000</v>
      </c>
      <c r="N2258">
        <v>4.58</v>
      </c>
      <c r="O2258">
        <v>236000</v>
      </c>
      <c r="P2258" t="inlineStr">
        <is>
          <t>65d183a5b7b2260001eacef4</t>
        </is>
      </c>
      <c r="Q2258"/>
      <c r="R2258" t="inlineStr">
        <is>
          <t>17周</t>
        </is>
      </c>
      <c r="S2258" t="inlineStr">
        <is>
          <t>26.00</t>
        </is>
      </c>
      <c r="T2258" t="inlineStr">
        <is>
          <t>美食滋补</t>
        </is>
      </c>
      <c r="U2258" t="inlineStr">
        <is>
          <t>酒水冲饮</t>
        </is>
      </c>
      <c r="V2258" s="3">
        <v>46132.014918981484</v>
      </c>
      <c r="W2258" t="inlineStr">
        <is>
          <t>2026-Q2</t>
        </is>
      </c>
    </row>
    <row r="2259" ht="25.5" customHeight="1">
      <c r="A2259" t="inlineStr">
        <is>
          <t>【前10000名平均7元到手100g】干噎酸奶1斤装希腊风味冷萃酸奶</t>
        </is>
      </c>
      <c r="B2259" t="inlineStr">
        <is>
          <t>__upload_recvhfQmhqenwV.jpg</t>
        </is>
      </c>
      <c r="C2259" s="2" t="str">
        <f>=HYPERLINK("https://xhslink.com/m/3dLVvN57FrM", "https://xhslink.com/m/3dLVvN57FrM")</f>
        <v>https://xhslink.com/m/3dLVvN57FrM</v>
      </c>
      <c r="D2259"/>
      <c r="E2259">
        <v>18000</v>
      </c>
      <c r="F2259">
        <v>33.99</v>
      </c>
      <c r="G2259">
        <v>23.99</v>
      </c>
      <c r="H2259">
        <v>200</v>
      </c>
      <c r="I2259" t="inlineStr">
        <is>
          <t>酸奶</t>
        </is>
      </c>
      <c r="J2259" t="inlineStr">
        <is>
          <t>0.01</t>
        </is>
      </c>
      <c r="K2259" t="inlineStr">
        <is>
          <t>🔥低粉爆款</t>
        </is>
      </c>
      <c r="L2259" t="inlineStr">
        <is>
          <t>零食抱佛脚的店</t>
        </is>
      </c>
      <c r="M2259">
        <v>2477</v>
      </c>
      <c r="N2259">
        <v>4.09</v>
      </c>
      <c r="O2259">
        <v>18000</v>
      </c>
      <c r="P2259" t="inlineStr">
        <is>
          <t>69be43a699f8fe00018eab6b</t>
        </is>
      </c>
      <c r="Q2259"/>
      <c r="R2259" t="inlineStr">
        <is>
          <t>17周</t>
        </is>
      </c>
      <c r="S2259" t="inlineStr">
        <is>
          <t>7.27</t>
        </is>
      </c>
      <c r="T2259" t="inlineStr">
        <is>
          <t>美食滋补</t>
        </is>
      </c>
      <c r="U2259" t="inlineStr">
        <is>
          <t>酒水冲饮</t>
        </is>
      </c>
      <c r="V2259" s="3">
        <v>46132.014918981484</v>
      </c>
      <c r="W2259" t="inlineStr">
        <is>
          <t>2026-Q2</t>
        </is>
      </c>
    </row>
    <row r="2260" ht="25.5" customHeight="1">
      <c r="A2260" t="inlineStr">
        <is>
          <t>Oarmilk吾岛酸奶无蔗糖希腊酸奶420g中桶多口味低温特浓0蔗糖酸奶</t>
        </is>
      </c>
      <c r="B2260" t="inlineStr">
        <is>
          <t>__upload_recvhfQmhqE4Hf.jpg</t>
        </is>
      </c>
      <c r="C2260" s="2" t="str">
        <f>=HYPERLINK("https://xhslink.com/m/ubMVyavOIG", "https://xhslink.com/m/ubMVyavOIG")</f>
        <v>https://xhslink.com/m/ubMVyavOIG</v>
      </c>
      <c r="D2260"/>
      <c r="E2260">
        <v>13000</v>
      </c>
      <c r="F2260">
        <v>26.5</v>
      </c>
      <c r="G2260">
        <v>16.5</v>
      </c>
      <c r="H2260">
        <v>200</v>
      </c>
      <c r="I2260" t="inlineStr">
        <is>
          <t>酸奶</t>
        </is>
      </c>
      <c r="J2260" t="inlineStr">
        <is>
          <t>0.02</t>
        </is>
      </c>
      <c r="K2260" t="inlineStr">
        <is>
          <t>🔥低粉爆款</t>
        </is>
      </c>
      <c r="L2260" t="inlineStr">
        <is>
          <t>新鲜美食的店</t>
        </is>
      </c>
      <c r="M2260">
        <v>517</v>
      </c>
      <c r="N2260">
        <v>4.36</v>
      </c>
      <c r="O2260">
        <v>25000</v>
      </c>
      <c r="P2260" t="inlineStr">
        <is>
          <t>68930b1eeab7930001a78560</t>
        </is>
      </c>
      <c r="Q2260" t="inlineStr">
        <is>
          <t>🚫重复</t>
        </is>
      </c>
      <c r="R2260" t="inlineStr">
        <is>
          <t>17周</t>
        </is>
      </c>
      <c r="S2260" t="inlineStr">
        <is>
          <t>25.15</t>
        </is>
      </c>
      <c r="T2260" t="inlineStr">
        <is>
          <t>美食滋补</t>
        </is>
      </c>
      <c r="U2260" t="inlineStr">
        <is>
          <t>酒水冲饮</t>
        </is>
      </c>
      <c r="V2260" s="3">
        <v>46132.014918981484</v>
      </c>
      <c r="W2260" t="inlineStr">
        <is>
          <t>2026-Q2</t>
        </is>
      </c>
    </row>
    <row r="2261" ht="25.5" customHeight="1">
      <c r="A2261" t="inlineStr">
        <is>
          <t>【CHERRY】原创 温感变色 细款皮质手环（手工制品默认存在瑕疵）</t>
        </is>
      </c>
      <c r="B2261" t="inlineStr">
        <is>
          <t>__upload_recvhfQmhqmSDv.jpg</t>
        </is>
      </c>
      <c r="C2261" s="2" t="str">
        <f>=HYPERLINK("https://xhslink.com/m/8qqq8B6AXK7", "https://xhslink.com/m/8qqq8B6AXK7")</f>
        <v>https://xhslink.com/m/8qqq8B6AXK7</v>
      </c>
      <c r="D2261"/>
      <c r="E2261">
        <v>4822</v>
      </c>
      <c r="F2261">
        <v>27</v>
      </c>
      <c r="G2261">
        <v>18.9</v>
      </c>
      <c r="H2261">
        <v>200</v>
      </c>
      <c r="I2261" t="inlineStr">
        <is>
          <t>配饰</t>
        </is>
      </c>
      <c r="J2261" t="inlineStr">
        <is>
          <t>0.04</t>
        </is>
      </c>
      <c r="K2261"/>
      <c r="L2261" t="inlineStr">
        <is>
          <t>LostCherry 迷失樱桃的店</t>
        </is>
      </c>
      <c r="M2261">
        <v>13000</v>
      </c>
      <c r="N2261">
        <v>4.75</v>
      </c>
      <c r="O2261">
        <v>42000</v>
      </c>
      <c r="P2261" t="inlineStr">
        <is>
          <t>69b283a547c2d5000139ec94</t>
        </is>
      </c>
      <c r="Q2261" t="inlineStr">
        <is>
          <t>🚫重复</t>
        </is>
      </c>
      <c r="R2261" t="inlineStr">
        <is>
          <t>17周</t>
        </is>
      </c>
      <c r="S2261" t="inlineStr">
        <is>
          <t>0.37</t>
        </is>
      </c>
      <c r="T2261" t="inlineStr">
        <is>
          <t>服饰穿搭</t>
        </is>
      </c>
      <c r="U2261" t="inlineStr">
        <is>
          <t>配饰</t>
        </is>
      </c>
      <c r="V2261" s="3">
        <v>46132.014918981484</v>
      </c>
      <c r="W2261" t="inlineStr">
        <is>
          <t>2026-Q2</t>
        </is>
      </c>
    </row>
    <row r="2262" ht="25.5" customHeight="1">
      <c r="A2262" t="inlineStr">
        <is>
          <t>缪斯女神·满钻锆石高级感手链</t>
        </is>
      </c>
      <c r="B2262" t="inlineStr">
        <is>
          <t>__upload_recvhfQmhqB3Pf.jpg</t>
        </is>
      </c>
      <c r="C2262" s="2" t="str">
        <f>=HYPERLINK("https://xhslink.com/m/5JpizC2Bsy2", "https://xhslink.com/m/5JpizC2Bsy2")</f>
        <v>https://xhslink.com/m/5JpizC2Bsy2</v>
      </c>
      <c r="D2262"/>
      <c r="E2262">
        <v>1356</v>
      </c>
      <c r="F2262">
        <v>49</v>
      </c>
      <c r="G2262">
        <v>39</v>
      </c>
      <c r="H2262">
        <v>200</v>
      </c>
      <c r="I2262" t="inlineStr">
        <is>
          <t>配饰</t>
        </is>
      </c>
      <c r="J2262" t="inlineStr">
        <is>
          <t>0.15</t>
        </is>
      </c>
      <c r="K2262"/>
      <c r="L2262" t="inlineStr">
        <is>
          <t>The Girl's Diary的店</t>
        </is>
      </c>
      <c r="M2262">
        <v>2343</v>
      </c>
      <c r="N2262">
        <v>4.61</v>
      </c>
      <c r="O2262">
        <v>5376</v>
      </c>
      <c r="P2262" t="inlineStr">
        <is>
          <t>69a6c8570635fd0001d245fd</t>
        </is>
      </c>
      <c r="Q2262" t="inlineStr">
        <is>
          <t>🚫重复</t>
        </is>
      </c>
      <c r="R2262" t="inlineStr">
        <is>
          <t>17周</t>
        </is>
      </c>
      <c r="S2262" t="inlineStr">
        <is>
          <t>0.58</t>
        </is>
      </c>
      <c r="T2262" t="inlineStr">
        <is>
          <t>服饰穿搭</t>
        </is>
      </c>
      <c r="U2262" t="inlineStr">
        <is>
          <t>配饰</t>
        </is>
      </c>
      <c r="V2262" s="3">
        <v>46132.014918981484</v>
      </c>
      <c r="W2262" t="inlineStr">
        <is>
          <t>2026-Q2</t>
        </is>
      </c>
    </row>
    <row r="2263" ht="25.5" customHeight="1">
      <c r="A2263" t="inlineStr">
        <is>
          <t>梦幻粉贝项链小众高级送闺蜜项链生日礼物贝母项链铜镀金</t>
        </is>
      </c>
      <c r="B2263" t="inlineStr">
        <is>
          <t>__upload_recvhfQmhqlOay.jpg</t>
        </is>
      </c>
      <c r="C2263" s="2" t="str">
        <f>=HYPERLINK("https://xhslink.com/m/4dQTI5wNX0S", "https://xhslink.com/m/4dQTI5wNX0S")</f>
        <v>https://xhslink.com/m/4dQTI5wNX0S</v>
      </c>
      <c r="D2263"/>
      <c r="E2263">
        <v>2421</v>
      </c>
      <c r="F2263">
        <v>69.9</v>
      </c>
      <c r="G2263">
        <v>48.9</v>
      </c>
      <c r="H2263">
        <v>200</v>
      </c>
      <c r="I2263" t="inlineStr">
        <is>
          <t>配饰</t>
        </is>
      </c>
      <c r="J2263" t="inlineStr">
        <is>
          <t>0.08</t>
        </is>
      </c>
      <c r="K2263"/>
      <c r="L2263" t="inlineStr">
        <is>
          <t>金梦梦子的店</t>
        </is>
      </c>
      <c r="M2263">
        <v>3842</v>
      </c>
      <c r="N2263">
        <v>4.61</v>
      </c>
      <c r="O2263">
        <v>11000</v>
      </c>
      <c r="P2263" t="inlineStr">
        <is>
          <t>67f677192a334f0001c9fb8b</t>
        </is>
      </c>
      <c r="Q2263"/>
      <c r="R2263" t="inlineStr">
        <is>
          <t>17周</t>
        </is>
      </c>
      <c r="S2263" t="inlineStr">
        <is>
          <t>0.63</t>
        </is>
      </c>
      <c r="T2263" t="inlineStr">
        <is>
          <t>服饰穿搭</t>
        </is>
      </c>
      <c r="U2263" t="inlineStr">
        <is>
          <t>配饰</t>
        </is>
      </c>
      <c r="V2263" s="3">
        <v>46132.014918981484</v>
      </c>
      <c r="W2263" t="inlineStr">
        <is>
          <t>2026-Q2</t>
        </is>
      </c>
    </row>
    <row r="2264" ht="25.5" customHeight="1">
      <c r="A2264" t="inlineStr">
        <is>
          <t>张张包百搭编织纹理硬底通勤单肩斜挎包</t>
        </is>
      </c>
      <c r="B2264" t="inlineStr">
        <is>
          <t>__upload_recvhfQmhq486d.jpg</t>
        </is>
      </c>
      <c r="C2264" s="2" t="str">
        <f>=HYPERLINK("https://xhslink.com/m/5zlBCgrmVw9", "https://xhslink.com/m/5zlBCgrmVw9")</f>
        <v>https://xhslink.com/m/5zlBCgrmVw9</v>
      </c>
      <c r="D2264"/>
      <c r="E2264">
        <v>6283</v>
      </c>
      <c r="F2264">
        <v>39.9</v>
      </c>
      <c r="G2264"/>
      <c r="H2264">
        <v>200</v>
      </c>
      <c r="I2264" t="inlineStr">
        <is>
          <t>小斜挎包</t>
        </is>
      </c>
      <c r="J2264" t="inlineStr">
        <is>
          <t>0.03</t>
        </is>
      </c>
      <c r="K2264"/>
      <c r="L2264" t="inlineStr">
        <is>
          <t>来个张张包的店</t>
        </is>
      </c>
      <c r="M2264">
        <v>138000</v>
      </c>
      <c r="N2264">
        <v>4.32</v>
      </c>
      <c r="O2264">
        <v>137000</v>
      </c>
      <c r="P2264" t="inlineStr">
        <is>
          <t>6908a116dcedc7000138f26f</t>
        </is>
      </c>
      <c r="Q2264" t="inlineStr">
        <is>
          <t>🚫重复</t>
        </is>
      </c>
      <c r="R2264" t="inlineStr">
        <is>
          <t>17周</t>
        </is>
      </c>
      <c r="S2264" t="inlineStr">
        <is>
          <t>0.05</t>
        </is>
      </c>
      <c r="T2264" t="inlineStr">
        <is>
          <t>服饰穿搭</t>
        </is>
      </c>
      <c r="U2264" t="inlineStr">
        <is>
          <t>鞋靴箱包</t>
        </is>
      </c>
      <c r="V2264" s="3">
        <v>46132.014918981484</v>
      </c>
      <c r="W2264" t="inlineStr">
        <is>
          <t>2026-Q2</t>
        </is>
      </c>
    </row>
    <row r="2265" ht="25.5" customHeight="1">
      <c r="A2265" t="inlineStr">
        <is>
          <t>LANJIANG 漫奏曲 温柔系仙女网纱垂感百褶a字高腰半身裙</t>
        </is>
      </c>
      <c r="B2265" t="inlineStr">
        <is>
          <t>__upload_recvhfQmhqLmK3.jpg</t>
        </is>
      </c>
      <c r="C2265" s="2" t="str">
        <f>=HYPERLINK("https://xhslink.com/m/CZPdzCiCww", "https://xhslink.com/m/CZPdzCiCww")</f>
        <v>https://xhslink.com/m/CZPdzCiCww</v>
      </c>
      <c r="D2265"/>
      <c r="E2265">
        <v>945</v>
      </c>
      <c r="F2265">
        <v>188</v>
      </c>
      <c r="G2265"/>
      <c r="H2265">
        <v>200</v>
      </c>
      <c r="I2265" t="inlineStr">
        <is>
          <t>半身裙</t>
        </is>
      </c>
      <c r="J2265" t="inlineStr">
        <is>
          <t>0.21</t>
        </is>
      </c>
      <c r="K2265" t="inlineStr">
        <is>
          <t>🔥低粉爆款</t>
        </is>
      </c>
      <c r="L2265" t="inlineStr">
        <is>
          <t>LANJIANG 蓝酱酱的店</t>
        </is>
      </c>
      <c r="M2265">
        <v>96</v>
      </c>
      <c r="N2265">
        <v>4.66</v>
      </c>
      <c r="O2265">
        <v>14000</v>
      </c>
      <c r="P2265" t="inlineStr">
        <is>
          <t>69bce14a7c9c8f0001f9a268</t>
        </is>
      </c>
      <c r="Q2265"/>
      <c r="R2265" t="inlineStr">
        <is>
          <t>17周</t>
        </is>
      </c>
      <c r="S2265" t="inlineStr">
        <is>
          <t>9.84</t>
        </is>
      </c>
      <c r="T2265" t="inlineStr">
        <is>
          <t>服饰穿搭</t>
        </is>
      </c>
      <c r="U2265" t="inlineStr">
        <is>
          <t>女装</t>
        </is>
      </c>
      <c r="V2265" s="3">
        <v>46132.014918981484</v>
      </c>
      <c r="W2265" t="inlineStr">
        <is>
          <t>2026-Q2</t>
        </is>
      </c>
    </row>
    <row r="2266" ht="25.5" customHeight="1">
      <c r="A2266" t="inlineStr">
        <is>
          <t>黄色半身裙女夏季高腰显瘦a字长裙小个子垂感伞裙显瘦大裙摆鹅黄</t>
        </is>
      </c>
      <c r="B2266" t="inlineStr">
        <is>
          <t>__upload_recvhfQmhqLxD9.jpg</t>
        </is>
      </c>
      <c r="C2266" s="2" t="str">
        <f>=HYPERLINK("https://xhslink.com/m/3W37BpXX8hH", "https://xhslink.com/m/3W37BpXX8hH")</f>
        <v>https://xhslink.com/m/3W37BpXX8hH</v>
      </c>
      <c r="D2266"/>
      <c r="E2266">
        <v>798</v>
      </c>
      <c r="F2266">
        <v>49</v>
      </c>
      <c r="G2266">
        <v>46</v>
      </c>
      <c r="H2266">
        <v>200</v>
      </c>
      <c r="I2266" t="inlineStr">
        <is>
          <t>半身裙</t>
        </is>
      </c>
      <c r="J2266" t="inlineStr">
        <is>
          <t>0.25</t>
        </is>
      </c>
      <c r="K2266" t="inlineStr">
        <is>
          <t>🔥低粉爆款</t>
        </is>
      </c>
      <c r="L2266" t="inlineStr">
        <is>
          <t>依点点穿搭的店</t>
        </is>
      </c>
      <c r="M2266">
        <v>223</v>
      </c>
      <c r="N2266">
        <v>4.69</v>
      </c>
      <c r="O2266">
        <v>1302</v>
      </c>
      <c r="P2266" t="inlineStr">
        <is>
          <t>697ea3baf89e9d001509235a</t>
        </is>
      </c>
      <c r="Q2266" t="inlineStr">
        <is>
          <t>🚫重复</t>
        </is>
      </c>
      <c r="R2266" t="inlineStr">
        <is>
          <t>17周</t>
        </is>
      </c>
      <c r="S2266" t="inlineStr">
        <is>
          <t>3.58</t>
        </is>
      </c>
      <c r="T2266" t="inlineStr">
        <is>
          <t>服饰穿搭</t>
        </is>
      </c>
      <c r="U2266" t="inlineStr">
        <is>
          <t>女装</t>
        </is>
      </c>
      <c r="V2266" s="3">
        <v>46132.014918981484</v>
      </c>
      <c r="W2266" t="inlineStr">
        <is>
          <t>2026-Q2</t>
        </is>
      </c>
    </row>
    <row r="2267" ht="25.5" customHeight="1">
      <c r="A2267" t="inlineStr">
        <is>
          <t>懒.全麦五黑紫薯养生米糕代餐饱腹低卡脂无蔗糖早八宿舍早餐解馋</t>
        </is>
      </c>
      <c r="B2267" t="inlineStr">
        <is>
          <t>__upload_recvhfQmhqmW2O.jpg</t>
        </is>
      </c>
      <c r="C2267" s="2" t="str">
        <f>=HYPERLINK("https://xhslink.com/m/7V8JmYthWqk", "https://xhslink.com/m/7V8JmYthWqk")</f>
        <v>https://xhslink.com/m/7V8JmYthWqk</v>
      </c>
      <c r="D2267"/>
      <c r="E2267">
        <v>54000</v>
      </c>
      <c r="F2267">
        <v>34.6</v>
      </c>
      <c r="G2267">
        <v>24.6</v>
      </c>
      <c r="H2267">
        <v>200</v>
      </c>
      <c r="I2267" t="inlineStr">
        <is>
          <t>甜品</t>
        </is>
      </c>
      <c r="J2267" t="inlineStr">
        <is>
          <t>0.00</t>
        </is>
      </c>
      <c r="K2267" t="inlineStr">
        <is>
          <t>🔥低粉爆款</t>
        </is>
      </c>
      <c r="L2267" t="inlineStr">
        <is>
          <t>木子姐姐食语的店</t>
        </is>
      </c>
      <c r="M2267">
        <v>10000</v>
      </c>
      <c r="N2267">
        <v>4.43</v>
      </c>
      <c r="O2267">
        <v>162000</v>
      </c>
      <c r="P2267" t="inlineStr">
        <is>
          <t>69436f1bc3ae5b0001750006</t>
        </is>
      </c>
      <c r="Q2267" t="inlineStr">
        <is>
          <t>🚫重复</t>
        </is>
      </c>
      <c r="R2267" t="inlineStr">
        <is>
          <t>17周</t>
        </is>
      </c>
      <c r="S2267" t="inlineStr">
        <is>
          <t>5.40</t>
        </is>
      </c>
      <c r="T2267" t="inlineStr">
        <is>
          <t>美食滋补</t>
        </is>
      </c>
      <c r="U2267" t="inlineStr">
        <is>
          <t>休闲零食</t>
        </is>
      </c>
      <c r="V2267" s="3">
        <v>46132.014918981484</v>
      </c>
      <c r="W2267" t="inlineStr">
        <is>
          <t>2026-Q2</t>
        </is>
      </c>
    </row>
    <row r="2268" ht="25.5" customHeight="1">
      <c r="A2268" t="inlineStr">
        <is>
          <t>抹茶南瓜巧饼独立小包装即食现做早餐速食老式糕点</t>
        </is>
      </c>
      <c r="B2268" t="inlineStr">
        <is>
          <t>__upload_recvhfQmhqyHpS.jpg</t>
        </is>
      </c>
      <c r="C2268" s="2" t="str">
        <f>=HYPERLINK("https://xhslink.com/m/9v6vwO7h3QO", "https://xhslink.com/m/9v6vwO7h3QO")</f>
        <v>https://xhslink.com/m/9v6vwO7h3QO</v>
      </c>
      <c r="D2268"/>
      <c r="E2268">
        <v>17000</v>
      </c>
      <c r="F2268">
        <v>18.81</v>
      </c>
      <c r="G2268">
        <v>15.98</v>
      </c>
      <c r="H2268">
        <v>200</v>
      </c>
      <c r="I2268" t="inlineStr">
        <is>
          <t>甜品</t>
        </is>
      </c>
      <c r="J2268" t="inlineStr">
        <is>
          <t>0.01</t>
        </is>
      </c>
      <c r="K2268" t="inlineStr">
        <is>
          <t>🔥低粉爆款</t>
        </is>
      </c>
      <c r="L2268" t="inlineStr">
        <is>
          <t>寻味记食品的店</t>
        </is>
      </c>
      <c r="M2268">
        <v>3031</v>
      </c>
      <c r="N2268">
        <v>4.6</v>
      </c>
      <c r="O2268">
        <v>52000</v>
      </c>
      <c r="P2268" t="inlineStr">
        <is>
          <t>680f975f1e075b00016a56df</t>
        </is>
      </c>
      <c r="Q2268" t="inlineStr">
        <is>
          <t>🚫重复</t>
        </is>
      </c>
      <c r="R2268" t="inlineStr">
        <is>
          <t>17周</t>
        </is>
      </c>
      <c r="S2268" t="inlineStr">
        <is>
          <t>5.61</t>
        </is>
      </c>
      <c r="T2268" t="inlineStr">
        <is>
          <t>美食滋补</t>
        </is>
      </c>
      <c r="U2268" t="inlineStr">
        <is>
          <t>休闲零食</t>
        </is>
      </c>
      <c r="V2268" s="3">
        <v>46132.014918981484</v>
      </c>
      <c r="W2268" t="inlineStr">
        <is>
          <t>2026-Q2</t>
        </is>
      </c>
    </row>
    <row r="2269" ht="25.5" customHeight="1">
      <c r="A2269" t="inlineStr">
        <is>
          <t>汐谷轻岚 · 纯黑巧克力无蔗糖饱腹感进口纯可可脂液块烘焙原料健身零食学生</t>
        </is>
      </c>
      <c r="B2269" t="inlineStr">
        <is>
          <t>__upload_recvhfQmhqfkR4.jpg</t>
        </is>
      </c>
      <c r="C2269" s="2" t="str">
        <f>=HYPERLINK("https://xhslink.com/m/19JnruBhiVG", "https://xhslink.com/m/19JnruBhiVG")</f>
        <v>https://xhslink.com/m/19JnruBhiVG</v>
      </c>
      <c r="D2269"/>
      <c r="E2269">
        <v>87000</v>
      </c>
      <c r="F2269">
        <v>48.9</v>
      </c>
      <c r="G2269"/>
      <c r="H2269">
        <v>200</v>
      </c>
      <c r="I2269" t="inlineStr">
        <is>
          <t>甜品</t>
        </is>
      </c>
      <c r="J2269" t="inlineStr">
        <is>
          <t>0.00</t>
        </is>
      </c>
      <c r="K2269" t="inlineStr">
        <is>
          <t>🔥低粉爆款</t>
        </is>
      </c>
      <c r="L2269" t="inlineStr">
        <is>
          <t>铭铭好吃宝的店</t>
        </is>
      </c>
      <c r="M2269">
        <v>10000</v>
      </c>
      <c r="N2269">
        <v>4.66</v>
      </c>
      <c r="O2269">
        <v>93000</v>
      </c>
      <c r="P2269" t="inlineStr">
        <is>
          <t>68eb19fcf8d1f000018e8d7c</t>
        </is>
      </c>
      <c r="Q2269" t="inlineStr">
        <is>
          <t>🚫重复</t>
        </is>
      </c>
      <c r="R2269" t="inlineStr">
        <is>
          <t>17周</t>
        </is>
      </c>
      <c r="S2269" t="inlineStr">
        <is>
          <t>8.70</t>
        </is>
      </c>
      <c r="T2269" t="inlineStr">
        <is>
          <t>美食滋补</t>
        </is>
      </c>
      <c r="U2269" t="inlineStr">
        <is>
          <t>休闲零食</t>
        </is>
      </c>
      <c r="V2269" s="3">
        <v>46132.014918981484</v>
      </c>
      <c r="W2269" t="inlineStr">
        <is>
          <t>2026-Q2</t>
        </is>
      </c>
    </row>
    <row r="2270" ht="25.5" customHeight="1">
      <c r="A2270" t="inlineStr">
        <is>
          <t>QSSD【自选3个】魔芋蛋糕无面粉无蔗糖燕麦奶酱伪酱多多控糖</t>
        </is>
      </c>
      <c r="B2270" t="inlineStr">
        <is>
          <t>__upload_recvhfQmhq8XLm.jpg</t>
        </is>
      </c>
      <c r="C2270" s="2" t="str">
        <f>=HYPERLINK("https://xhslink.com/m/9BsWsZk0nWQ", "https://xhslink.com/m/9BsWsZk0nWQ")</f>
        <v>https://xhslink.com/m/9BsWsZk0nWQ</v>
      </c>
      <c r="D2270"/>
      <c r="E2270">
        <v>20000</v>
      </c>
      <c r="F2270">
        <v>30</v>
      </c>
      <c r="G2270">
        <v>24.95</v>
      </c>
      <c r="H2270">
        <v>200</v>
      </c>
      <c r="I2270" t="inlineStr">
        <is>
          <t>甜品</t>
        </is>
      </c>
      <c r="J2270" t="inlineStr">
        <is>
          <t>0.01</t>
        </is>
      </c>
      <c r="K2270"/>
      <c r="L2270" t="inlineStr">
        <is>
          <t>QSSD烘焙的店</t>
        </is>
      </c>
      <c r="M2270">
        <v>54000</v>
      </c>
      <c r="N2270">
        <v>4.72</v>
      </c>
      <c r="O2270">
        <v>201000</v>
      </c>
      <c r="P2270" t="inlineStr">
        <is>
          <t>6969f74a85c6db00017b0435</t>
        </is>
      </c>
      <c r="Q2270" t="inlineStr">
        <is>
          <t>🚫重复</t>
        </is>
      </c>
      <c r="R2270" t="inlineStr">
        <is>
          <t>17周</t>
        </is>
      </c>
      <c r="S2270" t="inlineStr">
        <is>
          <t>0.37</t>
        </is>
      </c>
      <c r="T2270" t="inlineStr">
        <is>
          <t>美食滋补</t>
        </is>
      </c>
      <c r="U2270" t="inlineStr">
        <is>
          <t>休闲零食</t>
        </is>
      </c>
      <c r="V2270" s="3">
        <v>46132.014918981484</v>
      </c>
      <c r="W2270" t="inlineStr">
        <is>
          <t>2026-Q2</t>
        </is>
      </c>
    </row>
    <row r="2271" ht="25.5" customHeight="1">
      <c r="A2271" t="inlineStr">
        <is>
          <t>摘夏棠 · 30口味任选含【山竹 猫山王】减糖冰淇淋Gelato礼盒装</t>
        </is>
      </c>
      <c r="B2271" t="inlineStr">
        <is>
          <t>__upload_recvhfQmhqkRgh.jpg</t>
        </is>
      </c>
      <c r="C2271" s="2" t="str">
        <f>=HYPERLINK("https://xhslink.com/m/5IRyjqTTc3o", "https://xhslink.com/m/5IRyjqTTc3o")</f>
        <v>https://xhslink.com/m/5IRyjqTTc3o</v>
      </c>
      <c r="D2271"/>
      <c r="E2271">
        <v>13000</v>
      </c>
      <c r="F2271">
        <v>158</v>
      </c>
      <c r="G2271">
        <v>153</v>
      </c>
      <c r="H2271">
        <v>200</v>
      </c>
      <c r="I2271" t="inlineStr">
        <is>
          <t>榴莲</t>
        </is>
      </c>
      <c r="J2271" t="inlineStr">
        <is>
          <t>0.02</t>
        </is>
      </c>
      <c r="K2271"/>
      <c r="L2271" t="inlineStr">
        <is>
          <t>摘夏棠WonderCup的店</t>
        </is>
      </c>
      <c r="M2271">
        <v>41000</v>
      </c>
      <c r="N2271">
        <v>4.66</v>
      </c>
      <c r="O2271">
        <v>33000</v>
      </c>
      <c r="P2271" t="inlineStr">
        <is>
          <t>68ff5180e379430001a26e7b</t>
        </is>
      </c>
      <c r="Q2271" t="inlineStr">
        <is>
          <t>🚫重复</t>
        </is>
      </c>
      <c r="R2271" t="inlineStr">
        <is>
          <t>17周</t>
        </is>
      </c>
      <c r="S2271" t="inlineStr">
        <is>
          <t>0.32</t>
        </is>
      </c>
      <c r="T2271" t="inlineStr">
        <is>
          <t>美食滋补</t>
        </is>
      </c>
      <c r="U2271" t="inlineStr">
        <is>
          <t>生鲜特产</t>
        </is>
      </c>
      <c r="V2271" s="3">
        <v>46132.014918981484</v>
      </c>
      <c r="W2271" t="inlineStr">
        <is>
          <t>2026-Q2</t>
        </is>
      </c>
    </row>
    <row r="2272" ht="25.5" customHeight="1">
      <c r="A2272" t="inlineStr">
        <is>
          <t>【Sam推荐零食合集】店长推荐零食合集套餐热门 加购物车满49包邮</t>
        </is>
      </c>
      <c r="B2272" t="inlineStr">
        <is>
          <t>__upload_recvhfQmhqw2pU.jpg</t>
        </is>
      </c>
      <c r="C2272" s="2" t="str">
        <f>=HYPERLINK("https://xhslink.com/m/7yLTRATmkSD", "https://xhslink.com/m/7yLTRATmkSD")</f>
        <v>https://xhslink.com/m/7yLTRATmkSD</v>
      </c>
      <c r="D2272"/>
      <c r="E2272">
        <v>159000</v>
      </c>
      <c r="F2272">
        <v>2.88</v>
      </c>
      <c r="G2272"/>
      <c r="H2272">
        <v>200</v>
      </c>
      <c r="I2272" t="inlineStr">
        <is>
          <t>榴莲</t>
        </is>
      </c>
      <c r="J2272" t="inlineStr">
        <is>
          <t>0.00</t>
        </is>
      </c>
      <c r="K2272"/>
      <c r="L2272" t="inlineStr">
        <is>
          <t>小禾家零食分装的店</t>
        </is>
      </c>
      <c r="M2272">
        <v>58000</v>
      </c>
      <c r="N2272">
        <v>4.69</v>
      </c>
      <c r="O2272">
        <v>1231000</v>
      </c>
      <c r="P2272" t="inlineStr">
        <is>
          <t>69370cd37ca563000110eb57</t>
        </is>
      </c>
      <c r="Q2272" t="inlineStr">
        <is>
          <t>🚫重复</t>
        </is>
      </c>
      <c r="R2272" t="inlineStr">
        <is>
          <t>17周</t>
        </is>
      </c>
      <c r="S2272" t="inlineStr">
        <is>
          <t>2.74</t>
        </is>
      </c>
      <c r="T2272" t="inlineStr">
        <is>
          <t>美食滋补</t>
        </is>
      </c>
      <c r="U2272" t="inlineStr">
        <is>
          <t>休闲零食</t>
        </is>
      </c>
      <c r="V2272" s="3">
        <v>46132.014918981484</v>
      </c>
      <c r="W2272" t="inlineStr">
        <is>
          <t>2026-Q2</t>
        </is>
      </c>
    </row>
    <row r="2273" ht="25.5" customHeight="1">
      <c r="A2273" t="inlineStr">
        <is>
          <t>碳烤八风干纯瘦牛肉干（无添加、非油炸）</t>
        </is>
      </c>
      <c r="B2273" t="inlineStr">
        <is>
          <t>__upload_recvhfQmhqjnXe.jpg</t>
        </is>
      </c>
      <c r="C2273" s="2" t="str">
        <f>=HYPERLINK("https://xhslink.com/m/2xQXE2GwpZA", "https://xhslink.com/m/2xQXE2GwpZA")</f>
        <v>https://xhslink.com/m/2xQXE2GwpZA</v>
      </c>
      <c r="D2273"/>
      <c r="E2273">
        <v>133000</v>
      </c>
      <c r="F2273">
        <v>9.9</v>
      </c>
      <c r="G2273"/>
      <c r="H2273">
        <v>200</v>
      </c>
      <c r="I2273" t="inlineStr">
        <is>
          <t>零食</t>
        </is>
      </c>
      <c r="J2273" t="inlineStr">
        <is>
          <t>0.00</t>
        </is>
      </c>
      <c r="K2273" t="inlineStr">
        <is>
          <t>🔥低粉爆款</t>
        </is>
      </c>
      <c r="L2273" t="inlineStr">
        <is>
          <t>97只做现烤牛肉干的店</t>
        </is>
      </c>
      <c r="M2273">
        <v>11000</v>
      </c>
      <c r="N2273">
        <v>4.63</v>
      </c>
      <c r="O2273">
        <v>175000</v>
      </c>
      <c r="P2273" t="inlineStr">
        <is>
          <t>664980bf533bfa0001858fd0</t>
        </is>
      </c>
      <c r="Q2273" t="inlineStr">
        <is>
          <t>🚫重复</t>
        </is>
      </c>
      <c r="R2273" t="inlineStr">
        <is>
          <t>17周</t>
        </is>
      </c>
      <c r="S2273" t="inlineStr">
        <is>
          <t>12.09</t>
        </is>
      </c>
      <c r="T2273" t="inlineStr">
        <is>
          <t>美食滋补</t>
        </is>
      </c>
      <c r="U2273" t="inlineStr">
        <is>
          <t>休闲零食</t>
        </is>
      </c>
      <c r="V2273" s="3">
        <v>46132.014918981484</v>
      </c>
      <c r="W2273" t="inlineStr">
        <is>
          <t>2026-Q2</t>
        </is>
      </c>
    </row>
    <row r="2274" ht="25.5" customHeight="1">
      <c r="A2274" t="inlineStr">
        <is>
          <t>懒.全麦五黑紫薯养生米糕代餐饱腹低卡脂无蔗糖早八宿舍早餐解馋</t>
        </is>
      </c>
      <c r="B2274" t="inlineStr">
        <is>
          <t>__upload_recvhfQmhqU4NN.jpg</t>
        </is>
      </c>
      <c r="C2274" s="2" t="str">
        <f>=HYPERLINK("https://xhslink.com/m/2FLWuuUWXit", "https://xhslink.com/m/2FLWuuUWXit")</f>
        <v>https://xhslink.com/m/2FLWuuUWXit</v>
      </c>
      <c r="D2274"/>
      <c r="E2274">
        <v>54000</v>
      </c>
      <c r="F2274">
        <v>22.9</v>
      </c>
      <c r="G2274">
        <v>12.9</v>
      </c>
      <c r="H2274">
        <v>200</v>
      </c>
      <c r="I2274" t="inlineStr">
        <is>
          <t>早餐食品</t>
        </is>
      </c>
      <c r="J2274" t="inlineStr">
        <is>
          <t>0.00</t>
        </is>
      </c>
      <c r="K2274" t="inlineStr">
        <is>
          <t>🔥低粉爆款</t>
        </is>
      </c>
      <c r="L2274" t="inlineStr">
        <is>
          <t>木子姐姐食语的店</t>
        </is>
      </c>
      <c r="M2274">
        <v>10000</v>
      </c>
      <c r="N2274">
        <v>4.43</v>
      </c>
      <c r="O2274">
        <v>162000</v>
      </c>
      <c r="P2274" t="inlineStr">
        <is>
          <t>64576113c62a01000192c9bc</t>
        </is>
      </c>
      <c r="Q2274" t="inlineStr">
        <is>
          <t>🚫重复</t>
        </is>
      </c>
      <c r="R2274" t="inlineStr">
        <is>
          <t>17周</t>
        </is>
      </c>
      <c r="S2274" t="inlineStr">
        <is>
          <t>5.40</t>
        </is>
      </c>
      <c r="T2274" t="inlineStr">
        <is>
          <t>美食滋补</t>
        </is>
      </c>
      <c r="U2274" t="inlineStr">
        <is>
          <t>休闲零食</t>
        </is>
      </c>
      <c r="V2274" s="3">
        <v>46132.014918981484</v>
      </c>
      <c r="W2274" t="inlineStr">
        <is>
          <t>2026-Q2</t>
        </is>
      </c>
    </row>
    <row r="2275" ht="25.5" customHeight="1">
      <c r="A2275" t="inlineStr">
        <is>
          <t>花雕熟醉蟹醉罗氏虾·大闸蟹·新鲜现做·开袋即食</t>
        </is>
      </c>
      <c r="B2275" t="inlineStr">
        <is>
          <t>__upload_recvhfQmhqDi8Z.jpg</t>
        </is>
      </c>
      <c r="C2275" s="2" t="str">
        <f>=HYPERLINK("https://xhslink.com/m/9XdmqBaw9aL", "https://xhslink.com/m/9XdmqBaw9aL")</f>
        <v>https://xhslink.com/m/9XdmqBaw9aL</v>
      </c>
      <c r="D2275"/>
      <c r="E2275">
        <v>45000</v>
      </c>
      <c r="F2275">
        <v>128</v>
      </c>
      <c r="G2275">
        <v>88</v>
      </c>
      <c r="H2275">
        <v>200</v>
      </c>
      <c r="I2275" t="inlineStr">
        <is>
          <t>海鲜</t>
        </is>
      </c>
      <c r="J2275" t="inlineStr">
        <is>
          <t>0.00</t>
        </is>
      </c>
      <c r="K2275"/>
      <c r="L2275" t="inlineStr">
        <is>
          <t>魏建伟卖大闸蟹的店</t>
        </is>
      </c>
      <c r="M2275">
        <v>122000</v>
      </c>
      <c r="N2275">
        <v>4.78</v>
      </c>
      <c r="O2275">
        <v>235000</v>
      </c>
      <c r="P2275" t="inlineStr">
        <is>
          <t>66d2f16e0cfd4b0001327e84</t>
        </is>
      </c>
      <c r="Q2275" t="inlineStr">
        <is>
          <t>🚫重复</t>
        </is>
      </c>
      <c r="R2275" t="inlineStr">
        <is>
          <t>17周</t>
        </is>
      </c>
      <c r="S2275" t="inlineStr">
        <is>
          <t>0.37</t>
        </is>
      </c>
      <c r="T2275" t="inlineStr">
        <is>
          <t>美食滋补</t>
        </is>
      </c>
      <c r="U2275" t="inlineStr">
        <is>
          <t>生鲜特产</t>
        </is>
      </c>
      <c r="V2275" s="3">
        <v>46132.014918981484</v>
      </c>
      <c r="W2275" t="inlineStr">
        <is>
          <t>2026-Q2</t>
        </is>
      </c>
    </row>
    <row r="2276" ht="25.5" customHeight="1">
      <c r="A2276" t="inlineStr">
        <is>
          <t>新鲜满黄母蟹丹东东港黄海野生梭子蟹（保鲜不保活）顺丰包邮</t>
        </is>
      </c>
      <c r="B2276" t="inlineStr">
        <is>
          <t>__upload_recvhfQmhqp91b.jpg</t>
        </is>
      </c>
      <c r="C2276" s="2" t="str">
        <f>=HYPERLINK("https://xhslink.com/m/7b6VHupZAUm", "https://xhslink.com/m/7b6VHupZAUm")</f>
        <v>https://xhslink.com/m/7b6VHupZAUm</v>
      </c>
      <c r="D2276"/>
      <c r="E2276">
        <v>8363</v>
      </c>
      <c r="F2276">
        <v>399</v>
      </c>
      <c r="G2276">
        <v>348</v>
      </c>
      <c r="H2276">
        <v>200</v>
      </c>
      <c r="I2276" t="inlineStr">
        <is>
          <t>海鲜</t>
        </is>
      </c>
      <c r="J2276" t="inlineStr">
        <is>
          <t>0.02</t>
        </is>
      </c>
      <c r="K2276"/>
      <c r="L2276" t="inlineStr">
        <is>
          <t>海鲜大咖妹东港海鲜（本人）的店</t>
        </is>
      </c>
      <c r="M2276">
        <v>52000</v>
      </c>
      <c r="N2276">
        <v>4.52</v>
      </c>
      <c r="O2276">
        <v>48000</v>
      </c>
      <c r="P2276" t="inlineStr">
        <is>
          <t>6442946e79308a0001b60cd8</t>
        </is>
      </c>
      <c r="Q2276"/>
      <c r="R2276" t="inlineStr">
        <is>
          <t>17周</t>
        </is>
      </c>
      <c r="S2276" t="inlineStr">
        <is>
          <t>0.16</t>
        </is>
      </c>
      <c r="T2276" t="inlineStr">
        <is>
          <t>家居生活</t>
        </is>
      </c>
      <c r="U2276" t="inlineStr">
        <is>
          <t>家居日用</t>
        </is>
      </c>
      <c r="V2276" s="3">
        <v>46132.014918981484</v>
      </c>
      <c r="W2276" t="inlineStr">
        <is>
          <t>2026-Q2</t>
        </is>
      </c>
    </row>
    <row r="2277" ht="25.5" customHeight="1">
      <c r="A2277" t="inlineStr">
        <is>
          <t>酵色 · 【118/2支】固体唇蜜全新不易沾杯镜面时髦口红推荐5585591990</t>
        </is>
      </c>
      <c r="B2277" t="inlineStr">
        <is>
          <t>__upload_recvhfQmhqGXO1.jpg</t>
        </is>
      </c>
      <c r="C2277" s="2" t="str">
        <f>=HYPERLINK("https://xhslink.com/m/2GiFS9NqQeT", "https://xhslink.com/m/2GiFS9NqQeT")</f>
        <v>https://xhslink.com/m/2GiFS9NqQeT</v>
      </c>
      <c r="D2277"/>
      <c r="E2277">
        <v>93000</v>
      </c>
      <c r="F2277">
        <v>79</v>
      </c>
      <c r="G2277"/>
      <c r="H2277">
        <v>200</v>
      </c>
      <c r="I2277" t="inlineStr">
        <is>
          <t>美妆</t>
        </is>
      </c>
      <c r="J2277" t="inlineStr">
        <is>
          <t>0.00</t>
        </is>
      </c>
      <c r="K2277"/>
      <c r="L2277" t="inlineStr">
        <is>
          <t>JOOCYEE酵色旗舰店</t>
        </is>
      </c>
      <c r="M2277">
        <v>163000</v>
      </c>
      <c r="N2277">
        <v>4.77</v>
      </c>
      <c r="O2277">
        <v>851000</v>
      </c>
      <c r="P2277" t="inlineStr">
        <is>
          <t>67ffd3c8b2c30c000104ea18</t>
        </is>
      </c>
      <c r="Q2277" t="inlineStr">
        <is>
          <t>🚫重复</t>
        </is>
      </c>
      <c r="R2277" t="inlineStr">
        <is>
          <t>17周</t>
        </is>
      </c>
      <c r="S2277" t="inlineStr">
        <is>
          <t>0.57</t>
        </is>
      </c>
      <c r="T2277" t="inlineStr">
        <is>
          <t>美妆个护</t>
        </is>
      </c>
      <c r="U2277" t="inlineStr">
        <is>
          <t>护肤彩妆</t>
        </is>
      </c>
      <c r="V2277" s="3">
        <v>46132.014918981484</v>
      </c>
      <c r="W2277" t="inlineStr">
        <is>
          <t>2026-Q2</t>
        </is>
      </c>
    </row>
    <row r="2278" ht="25.5" customHeight="1">
      <c r="A2278" t="inlineStr">
        <is>
          <t>Heaven pink · 【达人同款2支减28】精华多用棒持久保湿滋润口红水光腮红修饰</t>
        </is>
      </c>
      <c r="B2278" t="inlineStr">
        <is>
          <t>__upload_recvhfQmhqlznS.jpg</t>
        </is>
      </c>
      <c r="C2278" s="2" t="str">
        <f>=HYPERLINK("https://xhslink.com/m/A4HlLMn9TSX", "https://xhslink.com/m/A4HlLMn9TSX")</f>
        <v>https://xhslink.com/m/A4HlLMn9TSX</v>
      </c>
      <c r="D2278"/>
      <c r="E2278">
        <v>3706</v>
      </c>
      <c r="F2278">
        <v>98</v>
      </c>
      <c r="G2278"/>
      <c r="H2278">
        <v>200</v>
      </c>
      <c r="I2278" t="inlineStr">
        <is>
          <t>美妆</t>
        </is>
      </c>
      <c r="J2278" t="inlineStr">
        <is>
          <t>0.05</t>
        </is>
      </c>
      <c r="K2278"/>
      <c r="L2278" t="inlineStr">
        <is>
          <t>Heaven pink旗舰店</t>
        </is>
      </c>
      <c r="M2278">
        <v>5887</v>
      </c>
      <c r="N2278">
        <v>4.49</v>
      </c>
      <c r="O2278">
        <v>46000</v>
      </c>
      <c r="P2278" t="inlineStr">
        <is>
          <t>683eb8ca4b53070001ff9902</t>
        </is>
      </c>
      <c r="Q2278" t="inlineStr">
        <is>
          <t>🚫重复</t>
        </is>
      </c>
      <c r="R2278" t="inlineStr">
        <is>
          <t>17周</t>
        </is>
      </c>
      <c r="S2278" t="inlineStr">
        <is>
          <t>0.63</t>
        </is>
      </c>
      <c r="T2278" t="inlineStr">
        <is>
          <t>美妆个护</t>
        </is>
      </c>
      <c r="U2278" t="inlineStr">
        <is>
          <t>护肤彩妆</t>
        </is>
      </c>
      <c r="V2278" s="3">
        <v>46132.014918981484</v>
      </c>
      <c r="W2278" t="inlineStr">
        <is>
          <t>2026-Q2</t>
        </is>
      </c>
    </row>
    <row r="2279" ht="25.5" customHeight="1">
      <c r="A2279" t="inlineStr">
        <is>
          <t>金喜家-【小田同款】韩系减龄晕染小马圆领磨毛打底T恤</t>
        </is>
      </c>
      <c r="B2279" t="inlineStr">
        <is>
          <t>recvcB48ezGEDJ.jpg</t>
        </is>
      </c>
      <c r="C2279" s="2" t="str">
        <f>=HYPERLINK("https://xhslink.com/m/2jkjb4HwgJ2", "https://xhslink.com/m/2jkjb4HwgJ2")</f>
        <v>https://xhslink.com/m/2jkjb4HwgJ2</v>
      </c>
      <c r="D2279"/>
      <c r="E2279">
        <v>2953</v>
      </c>
      <c r="F2279">
        <v>399</v>
      </c>
      <c r="G2279"/>
      <c r="H2279">
        <v>100</v>
      </c>
      <c r="I2279" t="inlineStr">
        <is>
          <t>T恤</t>
        </is>
      </c>
      <c r="J2279" t="inlineStr">
        <is>
          <t>0.03</t>
        </is>
      </c>
      <c r="K2279"/>
      <c r="L2279" t="inlineStr">
        <is>
          <t>喜喜studio韩系穿搭的店</t>
        </is>
      </c>
      <c r="M2279">
        <v>70000</v>
      </c>
      <c r="N2279">
        <v>4.52</v>
      </c>
      <c r="O2279">
        <v>36000</v>
      </c>
      <c r="P2279" t="inlineStr">
        <is>
          <t>6971dede7bbc820015020a10</t>
        </is>
      </c>
      <c r="Q2279" t="inlineStr">
        <is>
          <t>🚫重复</t>
        </is>
      </c>
      <c r="R2279" t="inlineStr">
        <is>
          <t>14周</t>
        </is>
      </c>
      <c r="S2279" t="inlineStr">
        <is>
          <t>0.04</t>
        </is>
      </c>
      <c r="T2279" t="inlineStr">
        <is>
          <t>服饰穿搭</t>
        </is>
      </c>
      <c r="U2279" t="inlineStr">
        <is>
          <t>女装</t>
        </is>
      </c>
      <c r="V2279" s="3">
        <v>46112.78107638889</v>
      </c>
      <c r="W2279" t="inlineStr">
        <is>
          <t>2026-Q1</t>
        </is>
      </c>
    </row>
    <row r="2280" ht="25.5" customHeight="1">
      <c r="A2280" t="inlineStr">
        <is>
          <t>没得说 金蕾丝镂空修身抹胸吊带长裙</t>
        </is>
      </c>
      <c r="B2280" t="inlineStr">
        <is>
          <t>recvcB48ezedoH.jpg</t>
        </is>
      </c>
      <c r="C2280" s="2" t="str">
        <f>=HYPERLINK("https://xhslink.com/m/9G9zwmcKLHf", "https://xhslink.com/m/9G9zwmcKLHf")</f>
        <v>https://xhslink.com/m/9G9zwmcKLHf</v>
      </c>
      <c r="D2280"/>
      <c r="E2280">
        <v>9954</v>
      </c>
      <c r="F2280">
        <v>299</v>
      </c>
      <c r="G2280"/>
      <c r="H2280">
        <v>100</v>
      </c>
      <c r="I2280" t="inlineStr">
        <is>
          <t>连衣裙</t>
        </is>
      </c>
      <c r="J2280" t="inlineStr">
        <is>
          <t>0.01</t>
        </is>
      </c>
      <c r="K2280"/>
      <c r="L2280" t="inlineStr">
        <is>
          <t>没得说的店</t>
        </is>
      </c>
      <c r="M2280">
        <v>41000</v>
      </c>
      <c r="N2280">
        <v>4.52</v>
      </c>
      <c r="O2280">
        <v>44000</v>
      </c>
      <c r="P2280" t="inlineStr">
        <is>
          <t>68f637803f37a90001be37b1</t>
        </is>
      </c>
      <c r="Q2280" t="inlineStr">
        <is>
          <t>🚫重复</t>
        </is>
      </c>
      <c r="R2280" t="inlineStr">
        <is>
          <t>14周</t>
        </is>
      </c>
      <c r="S2280" t="inlineStr">
        <is>
          <t>0.24</t>
        </is>
      </c>
      <c r="T2280" t="inlineStr">
        <is>
          <t>服饰穿搭</t>
        </is>
      </c>
      <c r="U2280" t="inlineStr">
        <is>
          <t>女装</t>
        </is>
      </c>
      <c r="V2280" s="3">
        <v>46112.78107638889</v>
      </c>
      <c r="W2280" t="inlineStr">
        <is>
          <t>2026-Q1</t>
        </is>
      </c>
    </row>
    <row r="2281" ht="25.5" customHeight="1">
      <c r="A2281" t="inlineStr">
        <is>
          <t>版型是灵魂！初剪羊毛连衣裙</t>
        </is>
      </c>
      <c r="B2281" t="inlineStr">
        <is>
          <t>recvcB48ezIjca.jpg</t>
        </is>
      </c>
      <c r="C2281" s="2" t="str">
        <f>=HYPERLINK("https://xhslink.com/m/1jZADY04Pb5", "https://xhslink.com/m/1jZADY04Pb5")</f>
        <v>https://xhslink.com/m/1jZADY04Pb5</v>
      </c>
      <c r="D2281"/>
      <c r="E2281">
        <v>1629</v>
      </c>
      <c r="F2281">
        <v>899</v>
      </c>
      <c r="G2281"/>
      <c r="H2281">
        <v>100</v>
      </c>
      <c r="I2281" t="inlineStr">
        <is>
          <t>连衣裙</t>
        </is>
      </c>
      <c r="J2281" t="inlineStr">
        <is>
          <t>0.06</t>
        </is>
      </c>
      <c r="K2281"/>
      <c r="L2281" t="inlineStr">
        <is>
          <t>推土机的的店</t>
        </is>
      </c>
      <c r="M2281">
        <v>36000</v>
      </c>
      <c r="N2281">
        <v>4.76</v>
      </c>
      <c r="O2281">
        <v>64000</v>
      </c>
      <c r="P2281" t="inlineStr">
        <is>
          <t>69460c9df17edd0001a4b2f2</t>
        </is>
      </c>
      <c r="Q2281" t="inlineStr">
        <is>
          <t>🚫重复</t>
        </is>
      </c>
      <c r="R2281" t="inlineStr">
        <is>
          <t>14周</t>
        </is>
      </c>
      <c r="S2281" t="inlineStr">
        <is>
          <t>0.05</t>
        </is>
      </c>
      <c r="T2281" t="inlineStr">
        <is>
          <t>服饰穿搭</t>
        </is>
      </c>
      <c r="U2281" t="inlineStr">
        <is>
          <t>女装</t>
        </is>
      </c>
      <c r="V2281" s="3">
        <v>46112.78107638889</v>
      </c>
      <c r="W2281" t="inlineStr">
        <is>
          <t>2026-Q1</t>
        </is>
      </c>
    </row>
    <row r="2282" ht="25.5" customHeight="1">
      <c r="A2282" t="inlineStr">
        <is>
          <t>Soyez愫一 复古小直筒法式九分烟管牛仔裤</t>
        </is>
      </c>
      <c r="B2282" t="inlineStr">
        <is>
          <t>recvcB48ezpO9J.jpg</t>
        </is>
      </c>
      <c r="C2282" s="2" t="str">
        <f>=HYPERLINK("https://xhslink.com/m/5w6EmXnb2ld", "https://xhslink.com/m/5w6EmXnb2ld")</f>
        <v>https://xhslink.com/m/5w6EmXnb2ld</v>
      </c>
      <c r="D2282"/>
      <c r="E2282">
        <v>12000</v>
      </c>
      <c r="F2282">
        <v>490</v>
      </c>
      <c r="G2282"/>
      <c r="H2282">
        <v>100</v>
      </c>
      <c r="I2282" t="inlineStr">
        <is>
          <t>牛仔裤</t>
        </is>
      </c>
      <c r="J2282" t="inlineStr">
        <is>
          <t>0.01</t>
        </is>
      </c>
      <c r="K2282" t="inlineStr">
        <is>
          <t>🔥低粉爆款</t>
        </is>
      </c>
      <c r="L2282" t="inlineStr">
        <is>
          <t>soyez的店</t>
        </is>
      </c>
      <c r="M2282">
        <v>1754</v>
      </c>
      <c r="N2282">
        <v>4.69</v>
      </c>
      <c r="O2282">
        <v>40000</v>
      </c>
      <c r="P2282" t="inlineStr">
        <is>
          <t>6803499692ada400010fd256</t>
        </is>
      </c>
      <c r="Q2282"/>
      <c r="R2282" t="inlineStr">
        <is>
          <t>14周</t>
        </is>
      </c>
      <c r="S2282" t="inlineStr">
        <is>
          <t>6.84</t>
        </is>
      </c>
      <c r="T2282" t="inlineStr">
        <is>
          <t>服饰穿搭</t>
        </is>
      </c>
      <c r="U2282" t="inlineStr">
        <is>
          <t>女装</t>
        </is>
      </c>
      <c r="V2282" s="3">
        <v>46112.78107638889</v>
      </c>
      <c r="W2282" t="inlineStr">
        <is>
          <t>2026-Q1</t>
        </is>
      </c>
    </row>
    <row r="2283" ht="25.5" customHeight="1">
      <c r="A2283" t="inlineStr">
        <is>
          <t>【辣妹衬衫】jk收腰衬衫显瘦紧身学院风学生套装长短袖春夏纯欲女</t>
        </is>
      </c>
      <c r="B2283" t="inlineStr">
        <is>
          <t>recvcB48ezTecD.jpg</t>
        </is>
      </c>
      <c r="C2283" s="2" t="str">
        <f>=HYPERLINK("https://xhslink.com/m/AlHxV8TYOQS", "https://xhslink.com/m/AlHxV8TYOQS")</f>
        <v>https://xhslink.com/m/AlHxV8TYOQS</v>
      </c>
      <c r="D2283"/>
      <c r="E2283">
        <v>74000</v>
      </c>
      <c r="F2283">
        <v>49.9</v>
      </c>
      <c r="G2283"/>
      <c r="H2283">
        <v>100</v>
      </c>
      <c r="I2283" t="inlineStr">
        <is>
          <t>衬衫</t>
        </is>
      </c>
      <c r="J2283" t="inlineStr">
        <is>
          <t>0.00</t>
        </is>
      </c>
      <c r="K2283" t="inlineStr">
        <is>
          <t>🔥低粉爆款</t>
        </is>
      </c>
      <c r="L2283" t="inlineStr">
        <is>
          <t>王哪跑漂亮衣柜的店</t>
        </is>
      </c>
      <c r="M2283">
        <v>8778</v>
      </c>
      <c r="N2283">
        <v>4.7</v>
      </c>
      <c r="O2283">
        <v>84000</v>
      </c>
      <c r="P2283" t="inlineStr">
        <is>
          <t>65b0e9c3adec65000171e6a0</t>
        </is>
      </c>
      <c r="Q2283"/>
      <c r="R2283" t="inlineStr">
        <is>
          <t>14周</t>
        </is>
      </c>
      <c r="S2283" t="inlineStr">
        <is>
          <t>8.43</t>
        </is>
      </c>
      <c r="T2283" t="inlineStr">
        <is>
          <t>服饰穿搭</t>
        </is>
      </c>
      <c r="U2283" t="inlineStr">
        <is>
          <t>女装</t>
        </is>
      </c>
      <c r="V2283" s="3">
        <v>46112.78107638889</v>
      </c>
      <c r="W2283" t="inlineStr">
        <is>
          <t>2026-Q1</t>
        </is>
      </c>
    </row>
    <row r="2284" ht="25.5" customHeight="1">
      <c r="A2284" t="inlineStr">
        <is>
          <t>ROJITA · 小领结育克拼接衬衫(1441147)</t>
        </is>
      </c>
      <c r="B2284" t="inlineStr">
        <is>
          <t>recvcB48ezX27v.jpg</t>
        </is>
      </c>
      <c r="C2284" s="2" t="str">
        <f>=HYPERLINK("https://xhslink.com/m/12KEd9a6DTQ", "https://xhslink.com/m/12KEd9a6DTQ")</f>
        <v>https://xhslink.com/m/12KEd9a6DTQ</v>
      </c>
      <c r="D2284"/>
      <c r="E2284">
        <v>4107</v>
      </c>
      <c r="F2284">
        <v>467</v>
      </c>
      <c r="G2284"/>
      <c r="H2284">
        <v>100</v>
      </c>
      <c r="I2284" t="inlineStr">
        <is>
          <t>衬衫</t>
        </is>
      </c>
      <c r="J2284" t="inlineStr">
        <is>
          <t>0.02</t>
        </is>
      </c>
      <c r="K2284"/>
      <c r="L2284" t="inlineStr">
        <is>
          <t>ROJITA旗舰店</t>
        </is>
      </c>
      <c r="M2284">
        <v>233000</v>
      </c>
      <c r="N2284">
        <v>4.64</v>
      </c>
      <c r="O2284">
        <v>232000</v>
      </c>
      <c r="P2284" t="inlineStr">
        <is>
          <t>67401a4b53417c00015b9c0e</t>
        </is>
      </c>
      <c r="Q2284"/>
      <c r="R2284" t="inlineStr">
        <is>
          <t>14周</t>
        </is>
      </c>
      <c r="S2284" t="inlineStr">
        <is>
          <t>0.02</t>
        </is>
      </c>
      <c r="T2284" t="inlineStr">
        <is>
          <t>服饰穿搭</t>
        </is>
      </c>
      <c r="U2284" t="inlineStr">
        <is>
          <t>女装</t>
        </is>
      </c>
      <c r="V2284" s="3">
        <v>46112.78107638889</v>
      </c>
      <c r="W2284" t="inlineStr">
        <is>
          <t>2026-Q1</t>
        </is>
      </c>
    </row>
    <row r="2285" ht="25.5" customHeight="1">
      <c r="A2285" t="inlineStr">
        <is>
          <t>辛巴蒂「版型超好的西裤」四季款微胖穿上巨显瘦立体剪裁阔腿西裤</t>
        </is>
      </c>
      <c r="B2285" t="inlineStr">
        <is>
          <t>recvcB48ezwThX.jpg</t>
        </is>
      </c>
      <c r="C2285" s="2" t="str">
        <f>=HYPERLINK("https://xhslink.com/m/4MRnKRcwg3R", "https://xhslink.com/m/4MRnKRcwg3R")</f>
        <v>https://xhslink.com/m/4MRnKRcwg3R</v>
      </c>
      <c r="D2285"/>
      <c r="E2285">
        <v>9129</v>
      </c>
      <c r="F2285">
        <v>239</v>
      </c>
      <c r="G2285"/>
      <c r="H2285">
        <v>100</v>
      </c>
      <c r="I2285" t="inlineStr">
        <is>
          <t>阔腿西装裤</t>
        </is>
      </c>
      <c r="J2285" t="inlineStr">
        <is>
          <t>0.01</t>
        </is>
      </c>
      <c r="K2285"/>
      <c r="L2285" t="inlineStr">
        <is>
          <t>辛巴蒂的店</t>
        </is>
      </c>
      <c r="M2285">
        <v>67000</v>
      </c>
      <c r="N2285">
        <v>4.58</v>
      </c>
      <c r="O2285">
        <v>51000</v>
      </c>
      <c r="P2285" t="inlineStr">
        <is>
          <t>67e9037ac90d830001c6e622</t>
        </is>
      </c>
      <c r="Q2285" t="inlineStr">
        <is>
          <t>🚫重复</t>
        </is>
      </c>
      <c r="R2285" t="inlineStr">
        <is>
          <t>14周</t>
        </is>
      </c>
      <c r="S2285" t="inlineStr">
        <is>
          <t>0.14</t>
        </is>
      </c>
      <c r="T2285" t="inlineStr">
        <is>
          <t>服饰穿搭</t>
        </is>
      </c>
      <c r="U2285" t="inlineStr">
        <is>
          <t>女装</t>
        </is>
      </c>
      <c r="V2285" s="3">
        <v>46112.78107638889</v>
      </c>
      <c r="W2285" t="inlineStr">
        <is>
          <t>2026-Q1</t>
        </is>
      </c>
    </row>
    <row r="2286" ht="25.5" customHeight="1">
      <c r="A2286" t="inlineStr">
        <is>
          <t>CL JINLI 秋冬桑蚕丝羊毛显瘦垂坠感宽松直筒休闲裤</t>
        </is>
      </c>
      <c r="B2286" t="inlineStr">
        <is>
          <t>recvcB48ez4QHf.jpg</t>
        </is>
      </c>
      <c r="C2286" s="2" t="str">
        <f>=HYPERLINK("https://xhslink.com/m/3jVwF9QFccx", "https://xhslink.com/m/3jVwF9QFccx")</f>
        <v>https://xhslink.com/m/3jVwF9QFccx</v>
      </c>
      <c r="D2286"/>
      <c r="E2286">
        <v>32000</v>
      </c>
      <c r="F2286">
        <v>298</v>
      </c>
      <c r="G2286"/>
      <c r="H2286">
        <v>100</v>
      </c>
      <c r="I2286" t="inlineStr">
        <is>
          <t>直裤</t>
        </is>
      </c>
      <c r="J2286" t="inlineStr">
        <is>
          <t>0.00</t>
        </is>
      </c>
      <c r="K2286"/>
      <c r="L2286" t="inlineStr">
        <is>
          <t>是锦鲤呀的店</t>
        </is>
      </c>
      <c r="M2286">
        <v>72000</v>
      </c>
      <c r="N2286">
        <v>4.61</v>
      </c>
      <c r="O2286">
        <v>422000</v>
      </c>
      <c r="P2286" t="inlineStr">
        <is>
          <t>68e282e7c192ac00018fe420</t>
        </is>
      </c>
      <c r="Q2286" t="inlineStr">
        <is>
          <t>🚫重复</t>
        </is>
      </c>
      <c r="R2286" t="inlineStr">
        <is>
          <t>14周</t>
        </is>
      </c>
      <c r="S2286" t="inlineStr">
        <is>
          <t>0.44</t>
        </is>
      </c>
      <c r="T2286" t="inlineStr">
        <is>
          <t>服饰穿搭</t>
        </is>
      </c>
      <c r="U2286" t="inlineStr">
        <is>
          <t>女装</t>
        </is>
      </c>
      <c r="V2286" s="3">
        <v>46112.78107638889</v>
      </c>
      <c r="W2286" t="inlineStr">
        <is>
          <t>2026-Q1</t>
        </is>
      </c>
    </row>
    <row r="2287" ht="25.5" customHeight="1">
      <c r="A2287" t="inlineStr">
        <is>
          <t>【极简主义】冬季显瘦百搭保暖可机洗休闲直筒裤</t>
        </is>
      </c>
      <c r="B2287" t="inlineStr">
        <is>
          <t>recvcB48ezIdl4.jpg</t>
        </is>
      </c>
      <c r="C2287" s="2" t="str">
        <f>=HYPERLINK("https://xhslink.com/m/7lKJ1bCgdJ2", "https://xhslink.com/m/7lKJ1bCgdJ2")</f>
        <v>https://xhslink.com/m/7lKJ1bCgdJ2</v>
      </c>
      <c r="D2287"/>
      <c r="E2287">
        <v>13000</v>
      </c>
      <c r="F2287">
        <v>199.9</v>
      </c>
      <c r="G2287"/>
      <c r="H2287">
        <v>100</v>
      </c>
      <c r="I2287" t="inlineStr">
        <is>
          <t>直裤</t>
        </is>
      </c>
      <c r="J2287" t="inlineStr">
        <is>
          <t>0.01</t>
        </is>
      </c>
      <c r="K2287"/>
      <c r="L2287" t="inlineStr">
        <is>
          <t>SN STUDIO的店</t>
        </is>
      </c>
      <c r="M2287">
        <v>16000</v>
      </c>
      <c r="N2287">
        <v>4.72</v>
      </c>
      <c r="O2287">
        <v>47000</v>
      </c>
      <c r="P2287" t="inlineStr">
        <is>
          <t>68f0c064f8d1f00001b80efc</t>
        </is>
      </c>
      <c r="Q2287"/>
      <c r="R2287" t="inlineStr">
        <is>
          <t>14周</t>
        </is>
      </c>
      <c r="S2287" t="inlineStr">
        <is>
          <t>0.81</t>
        </is>
      </c>
      <c r="T2287" t="inlineStr">
        <is>
          <t>服饰穿搭</t>
        </is>
      </c>
      <c r="U2287" t="inlineStr">
        <is>
          <t>女装</t>
        </is>
      </c>
      <c r="V2287" s="3">
        <v>46112.78107638889</v>
      </c>
      <c r="W2287" t="inlineStr">
        <is>
          <t>2026-Q1</t>
        </is>
      </c>
    </row>
    <row r="2288" ht="25.5" customHeight="1">
      <c r="A2288" t="inlineStr">
        <is>
          <t>泡泡羊自制· 【天丝亚麻直筒空调裤】微胖可穿会呼吸的低腰裤</t>
        </is>
      </c>
      <c r="B2288" t="inlineStr">
        <is>
          <t>recvcB48ezZlpe.jpg</t>
        </is>
      </c>
      <c r="C2288" s="2" t="str">
        <f>=HYPERLINK("https://xhslink.com/m/4UmXozHt4bi", "https://xhslink.com/m/4UmXozHt4bi")</f>
        <v>https://xhslink.com/m/4UmXozHt4bi</v>
      </c>
      <c r="D2288"/>
      <c r="E2288">
        <v>14000</v>
      </c>
      <c r="F2288">
        <v>93</v>
      </c>
      <c r="G2288"/>
      <c r="H2288">
        <v>100</v>
      </c>
      <c r="I2288" t="inlineStr">
        <is>
          <t>休闲裤</t>
        </is>
      </c>
      <c r="J2288" t="inlineStr">
        <is>
          <t>0.01</t>
        </is>
      </c>
      <c r="K2288"/>
      <c r="L2288" t="inlineStr">
        <is>
          <t>小羊来个泡泡糖的店</t>
        </is>
      </c>
      <c r="M2288">
        <v>63000</v>
      </c>
      <c r="N2288">
        <v>4.76</v>
      </c>
      <c r="O2288">
        <v>233000</v>
      </c>
      <c r="P2288" t="inlineStr">
        <is>
          <t>68553f477590770001611c55</t>
        </is>
      </c>
      <c r="Q2288" t="inlineStr">
        <is>
          <t>🚫重复</t>
        </is>
      </c>
      <c r="R2288" t="inlineStr">
        <is>
          <t>14周</t>
        </is>
      </c>
      <c r="S2288" t="inlineStr">
        <is>
          <t>0.22</t>
        </is>
      </c>
      <c r="T2288" t="inlineStr">
        <is>
          <t>数码家电</t>
        </is>
      </c>
      <c r="U2288" t="inlineStr">
        <is>
          <t>大家电</t>
        </is>
      </c>
      <c r="V2288" s="3">
        <v>46112.78107638889</v>
      </c>
      <c r="W2288" t="inlineStr">
        <is>
          <t>2026-Q1</t>
        </is>
      </c>
    </row>
    <row r="2289" ht="25.5" customHeight="1">
      <c r="A2289" t="inlineStr">
        <is>
          <t>CL JINLI 气质显瘦休闲直筒牛仔裤</t>
        </is>
      </c>
      <c r="B2289" t="inlineStr">
        <is>
          <t>recvcB48ezzZ9A.jpg</t>
        </is>
      </c>
      <c r="C2289" s="2" t="str">
        <f>=HYPERLINK("https://xhslink.com/m/3j4awGlmwp9", "https://xhslink.com/m/3j4awGlmwp9")</f>
        <v>https://xhslink.com/m/3j4awGlmwp9</v>
      </c>
      <c r="D2289"/>
      <c r="E2289">
        <v>21000</v>
      </c>
      <c r="F2289">
        <v>298</v>
      </c>
      <c r="G2289"/>
      <c r="H2289">
        <v>100</v>
      </c>
      <c r="I2289" t="inlineStr">
        <is>
          <t>春装裤子</t>
        </is>
      </c>
      <c r="J2289" t="inlineStr">
        <is>
          <t>0.00</t>
        </is>
      </c>
      <c r="K2289"/>
      <c r="L2289" t="inlineStr">
        <is>
          <t>是锦鲤呀的店</t>
        </is>
      </c>
      <c r="M2289">
        <v>72000</v>
      </c>
      <c r="N2289">
        <v>4.61</v>
      </c>
      <c r="O2289">
        <v>422000</v>
      </c>
      <c r="P2289" t="inlineStr">
        <is>
          <t>68f4d22c4272610001067070</t>
        </is>
      </c>
      <c r="Q2289" t="inlineStr">
        <is>
          <t>🚫重复</t>
        </is>
      </c>
      <c r="R2289" t="inlineStr">
        <is>
          <t>14周</t>
        </is>
      </c>
      <c r="S2289" t="inlineStr">
        <is>
          <t>0.29</t>
        </is>
      </c>
      <c r="T2289" t="inlineStr">
        <is>
          <t>服饰穿搭</t>
        </is>
      </c>
      <c r="U2289" t="inlineStr">
        <is>
          <t>女装</t>
        </is>
      </c>
      <c r="V2289" s="3">
        <v>46112.78107638889</v>
      </c>
      <c r="W2289" t="inlineStr">
        <is>
          <t>2026-Q1</t>
        </is>
      </c>
    </row>
    <row r="2290" ht="25.5" customHeight="1">
      <c r="A2290" t="inlineStr">
        <is>
          <t>CL JINLI 秋冬桑蚕丝羊毛显瘦垂坠感宽松直筒休闲裤</t>
        </is>
      </c>
      <c r="B2290" t="inlineStr">
        <is>
          <t>recvcB48eznQI5.jpg</t>
        </is>
      </c>
      <c r="C2290" s="2" t="str">
        <f>=HYPERLINK("https://xhslink.com/m/2tHozFBGsW7", "https://xhslink.com/m/2tHozFBGsW7")</f>
        <v>https://xhslink.com/m/2tHozFBGsW7</v>
      </c>
      <c r="D2290"/>
      <c r="E2290">
        <v>32000</v>
      </c>
      <c r="F2290">
        <v>298</v>
      </c>
      <c r="G2290"/>
      <c r="H2290">
        <v>100</v>
      </c>
      <c r="I2290" t="inlineStr">
        <is>
          <t>长裤</t>
        </is>
      </c>
      <c r="J2290" t="inlineStr">
        <is>
          <t>0.00</t>
        </is>
      </c>
      <c r="K2290"/>
      <c r="L2290" t="inlineStr">
        <is>
          <t>是锦鲤呀的店</t>
        </is>
      </c>
      <c r="M2290">
        <v>72000</v>
      </c>
      <c r="N2290">
        <v>4.61</v>
      </c>
      <c r="O2290">
        <v>422000</v>
      </c>
      <c r="P2290" t="inlineStr">
        <is>
          <t>68f44ef0c4f8910001823401</t>
        </is>
      </c>
      <c r="Q2290" t="inlineStr">
        <is>
          <t>🚫重复</t>
        </is>
      </c>
      <c r="R2290" t="inlineStr">
        <is>
          <t>14周</t>
        </is>
      </c>
      <c r="S2290" t="inlineStr">
        <is>
          <t>0.44</t>
        </is>
      </c>
      <c r="T2290" t="inlineStr">
        <is>
          <t>服饰穿搭</t>
        </is>
      </c>
      <c r="U2290" t="inlineStr">
        <is>
          <t>女装</t>
        </is>
      </c>
      <c r="V2290" s="3">
        <v>46112.78107638889</v>
      </c>
      <c r="W2290" t="inlineStr">
        <is>
          <t>2026-Q1</t>
        </is>
      </c>
    </row>
    <row r="2291" ht="25.5" customHeight="1">
      <c r="A2291" t="inlineStr">
        <is>
          <t>超细澳羊毛阔腿裤</t>
        </is>
      </c>
      <c r="B2291" t="inlineStr">
        <is>
          <t>recvcB48ezQoOh.jpg</t>
        </is>
      </c>
      <c r="C2291" s="2" t="str">
        <f>=HYPERLINK("https://xhslink.com/m/6TjhxkXm6Kd", "https://xhslink.com/m/6TjhxkXm6Kd")</f>
        <v>https://xhslink.com/m/6TjhxkXm6Kd</v>
      </c>
      <c r="D2291"/>
      <c r="E2291">
        <v>12000</v>
      </c>
      <c r="F2291">
        <v>768</v>
      </c>
      <c r="G2291"/>
      <c r="H2291">
        <v>100</v>
      </c>
      <c r="I2291" t="inlineStr">
        <is>
          <t>长裤</t>
        </is>
      </c>
      <c r="J2291" t="inlineStr">
        <is>
          <t>0.01</t>
        </is>
      </c>
      <c r="K2291"/>
      <c r="L2291" t="inlineStr">
        <is>
          <t>高坂大叔的店</t>
        </is>
      </c>
      <c r="M2291">
        <v>110000</v>
      </c>
      <c r="N2291">
        <v>4.77</v>
      </c>
      <c r="O2291">
        <v>402000</v>
      </c>
      <c r="P2291" t="inlineStr">
        <is>
          <t>6941993e6109ef0001965627</t>
        </is>
      </c>
      <c r="Q2291" t="inlineStr">
        <is>
          <t>🚫重复</t>
        </is>
      </c>
      <c r="R2291" t="inlineStr">
        <is>
          <t>14周</t>
        </is>
      </c>
      <c r="S2291" t="inlineStr">
        <is>
          <t>0.11</t>
        </is>
      </c>
      <c r="T2291" t="inlineStr">
        <is>
          <t>服饰穿搭</t>
        </is>
      </c>
      <c r="U2291" t="inlineStr">
        <is>
          <t>女装</t>
        </is>
      </c>
      <c r="V2291" s="3">
        <v>46112.78107638889</v>
      </c>
      <c r="W2291" t="inlineStr">
        <is>
          <t>2026-Q1</t>
        </is>
      </c>
    </row>
    <row r="2292" ht="25.5" customHeight="1">
      <c r="A2292" t="inlineStr">
        <is>
          <t>泡泡【海盐裤】显瘦显腿长弹性白色不贴腿微喇叭牛仔裤苹果梨身材</t>
        </is>
      </c>
      <c r="B2292" t="inlineStr">
        <is>
          <t>recvcB48ezGQ5R.jpg</t>
        </is>
      </c>
      <c r="C2292" s="2" t="str">
        <f>=HYPERLINK("https://xhslink.com/m/AmYTUvZuq8e", "https://xhslink.com/m/AmYTUvZuq8e")</f>
        <v>https://xhslink.com/m/AmYTUvZuq8e</v>
      </c>
      <c r="D2292"/>
      <c r="E2292">
        <v>6162</v>
      </c>
      <c r="F2292">
        <v>298</v>
      </c>
      <c r="G2292"/>
      <c r="H2292">
        <v>100</v>
      </c>
      <c r="I2292" t="inlineStr">
        <is>
          <t>长裤</t>
        </is>
      </c>
      <c r="J2292" t="inlineStr">
        <is>
          <t>0.02</t>
        </is>
      </c>
      <c r="K2292"/>
      <c r="L2292" t="inlineStr">
        <is>
          <t>泡儿的店</t>
        </is>
      </c>
      <c r="M2292">
        <v>3404</v>
      </c>
      <c r="N2292">
        <v>4.57</v>
      </c>
      <c r="O2292">
        <v>34000</v>
      </c>
      <c r="P2292" t="inlineStr">
        <is>
          <t>68f2f8abcdf9d60001e5d089</t>
        </is>
      </c>
      <c r="Q2292" t="inlineStr">
        <is>
          <t>🚫重复</t>
        </is>
      </c>
      <c r="R2292" t="inlineStr">
        <is>
          <t>14周</t>
        </is>
      </c>
      <c r="S2292" t="inlineStr">
        <is>
          <t>1.81</t>
        </is>
      </c>
      <c r="T2292" t="inlineStr">
        <is>
          <t>服饰穿搭</t>
        </is>
      </c>
      <c r="U2292" t="inlineStr">
        <is>
          <t>女装</t>
        </is>
      </c>
      <c r="V2292" s="3">
        <v>46112.78107638889</v>
      </c>
      <c r="W2292" t="inlineStr">
        <is>
          <t>2026-Q1</t>
        </is>
      </c>
    </row>
    <row r="2293" ht="25.5" customHeight="1">
      <c r="A2293" t="inlineStr">
        <is>
          <t>Aveline 梨型之友 不会皱系列天丝醋酸羊毛明线丹宁色弯刀牛仔裤</t>
        </is>
      </c>
      <c r="B2293" t="inlineStr">
        <is>
          <t>recvcB48eznT25.jpg</t>
        </is>
      </c>
      <c r="C2293" s="2" t="str">
        <f>=HYPERLINK("https://xhslink.com/m/7FwR8UF4vqZ", "https://xhslink.com/m/7FwR8UF4vqZ")</f>
        <v>https://xhslink.com/m/7FwR8UF4vqZ</v>
      </c>
      <c r="D2293"/>
      <c r="E2293">
        <v>4448</v>
      </c>
      <c r="F2293">
        <v>399</v>
      </c>
      <c r="G2293"/>
      <c r="H2293">
        <v>100</v>
      </c>
      <c r="I2293" t="inlineStr">
        <is>
          <t>牛仔裤</t>
        </is>
      </c>
      <c r="J2293" t="inlineStr">
        <is>
          <t>0.02</t>
        </is>
      </c>
      <c r="K2293"/>
      <c r="L2293" t="inlineStr">
        <is>
          <t>Aveline Collective的店</t>
        </is>
      </c>
      <c r="M2293">
        <v>2334</v>
      </c>
      <c r="N2293">
        <v>4.46</v>
      </c>
      <c r="O2293">
        <v>79000</v>
      </c>
      <c r="P2293" t="inlineStr">
        <is>
          <t>6888e4359e837400017b5acf</t>
        </is>
      </c>
      <c r="Q2293"/>
      <c r="R2293" t="inlineStr">
        <is>
          <t>14周</t>
        </is>
      </c>
      <c r="S2293" t="inlineStr">
        <is>
          <t>1.91</t>
        </is>
      </c>
      <c r="T2293" t="inlineStr">
        <is>
          <t>服饰穿搭</t>
        </is>
      </c>
      <c r="U2293" t="inlineStr">
        <is>
          <t>女装</t>
        </is>
      </c>
      <c r="V2293" s="3">
        <v>46112.78107638889</v>
      </c>
      <c r="W2293" t="inlineStr">
        <is>
          <t>2026-Q1</t>
        </is>
      </c>
    </row>
    <row r="2294" ht="25.5" customHeight="1">
      <c r="A2294" t="inlineStr">
        <is>
          <t>辛巴蒂「版型超好的西裤」四季款微胖穿上巨显瘦立体剪裁阔腿西裤</t>
        </is>
      </c>
      <c r="B2294" t="inlineStr">
        <is>
          <t>recvcB48ezWy3f.jpg</t>
        </is>
      </c>
      <c r="C2294" s="2" t="str">
        <f>=HYPERLINK("https://xhslink.com/m/8WYSwMYgqvT", "https://xhslink.com/m/8WYSwMYgqvT")</f>
        <v>https://xhslink.com/m/8WYSwMYgqvT</v>
      </c>
      <c r="D2294"/>
      <c r="E2294">
        <v>9131</v>
      </c>
      <c r="F2294">
        <v>239</v>
      </c>
      <c r="G2294"/>
      <c r="H2294">
        <v>100</v>
      </c>
      <c r="I2294" t="inlineStr">
        <is>
          <t>西裤</t>
        </is>
      </c>
      <c r="J2294" t="inlineStr">
        <is>
          <t>0.01</t>
        </is>
      </c>
      <c r="K2294"/>
      <c r="L2294" t="inlineStr">
        <is>
          <t>辛巴蒂的店</t>
        </is>
      </c>
      <c r="M2294">
        <v>67000</v>
      </c>
      <c r="N2294">
        <v>4.58</v>
      </c>
      <c r="O2294">
        <v>51000</v>
      </c>
      <c r="P2294" t="inlineStr">
        <is>
          <t>67ee0bf8ae4ae00001a334be</t>
        </is>
      </c>
      <c r="Q2294" t="inlineStr">
        <is>
          <t>🚫重复</t>
        </is>
      </c>
      <c r="R2294" t="inlineStr">
        <is>
          <t>14周</t>
        </is>
      </c>
      <c r="S2294" t="inlineStr">
        <is>
          <t>0.14</t>
        </is>
      </c>
      <c r="T2294" t="inlineStr">
        <is>
          <t>服饰穿搭</t>
        </is>
      </c>
      <c r="U2294" t="inlineStr">
        <is>
          <t>女装</t>
        </is>
      </c>
      <c r="V2294" s="3">
        <v>46112.78107638889</v>
      </c>
      <c r="W2294" t="inlineStr">
        <is>
          <t>2026-Q1</t>
        </is>
      </c>
    </row>
    <row r="2295" ht="25.5" customHeight="1">
      <c r="A2295" t="inlineStr">
        <is>
          <t>ADDTOBAG · 【奢感】秋冬羊毛混纺西裤极简老钱高腰直筒微喇垂感拖地长裤</t>
        </is>
      </c>
      <c r="B2295" t="inlineStr">
        <is>
          <t>recvcB48ezZ3uv.jpg</t>
        </is>
      </c>
      <c r="C2295" s="2" t="str">
        <f>=HYPERLINK("https://xhslink.com/m/2TLfrZbQKFz", "https://xhslink.com/m/2TLfrZbQKFz")</f>
        <v>https://xhslink.com/m/2TLfrZbQKFz</v>
      </c>
      <c r="D2295"/>
      <c r="E2295">
        <v>1128</v>
      </c>
      <c r="F2295">
        <v>269</v>
      </c>
      <c r="G2295"/>
      <c r="H2295">
        <v>100</v>
      </c>
      <c r="I2295" t="inlineStr">
        <is>
          <t>西裤</t>
        </is>
      </c>
      <c r="J2295" t="inlineStr">
        <is>
          <t>0.09</t>
        </is>
      </c>
      <c r="K2295"/>
      <c r="L2295" t="inlineStr">
        <is>
          <t>ADDTOBAG的店</t>
        </is>
      </c>
      <c r="M2295">
        <v>631</v>
      </c>
      <c r="N2295">
        <v>4.61</v>
      </c>
      <c r="O2295">
        <v>2179</v>
      </c>
      <c r="P2295" t="inlineStr">
        <is>
          <t>6909a39ac4f891000185b45d</t>
        </is>
      </c>
      <c r="Q2295" t="inlineStr">
        <is>
          <t>🚫重复</t>
        </is>
      </c>
      <c r="R2295" t="inlineStr">
        <is>
          <t>14周</t>
        </is>
      </c>
      <c r="S2295" t="inlineStr">
        <is>
          <t>1.79</t>
        </is>
      </c>
      <c r="T2295" t="inlineStr">
        <is>
          <t>服饰穿搭</t>
        </is>
      </c>
      <c r="U2295" t="inlineStr">
        <is>
          <t>女装</t>
        </is>
      </c>
      <c r="V2295" s="3">
        <v>46112.78107638889</v>
      </c>
      <c r="W2295" t="inlineStr">
        <is>
          <t>2026-Q1</t>
        </is>
      </c>
    </row>
    <row r="2296" ht="25.5" customHeight="1">
      <c r="A2296" t="inlineStr">
        <is>
          <t>NeedShop1 【小猎装】简约气质版亚麻西装外套</t>
        </is>
      </c>
      <c r="B2296" t="inlineStr">
        <is>
          <t>recvcB48ezvDE7.jpg</t>
        </is>
      </c>
      <c r="C2296" s="2" t="str">
        <f>=HYPERLINK("https://xhslink.com/m/3hOj3vEobO2", "https://xhslink.com/m/3hOj3vEobO2")</f>
        <v>https://xhslink.com/m/3hOj3vEobO2</v>
      </c>
      <c r="D2296"/>
      <c r="E2296">
        <v>1726</v>
      </c>
      <c r="F2296">
        <v>599</v>
      </c>
      <c r="G2296"/>
      <c r="H2296">
        <v>100</v>
      </c>
      <c r="I2296" t="inlineStr">
        <is>
          <t>西服西装</t>
        </is>
      </c>
      <c r="J2296" t="inlineStr">
        <is>
          <t>0.06</t>
        </is>
      </c>
      <c r="K2296"/>
      <c r="L2296" t="inlineStr">
        <is>
          <t>Needshop1娜娜子的店</t>
        </is>
      </c>
      <c r="M2296">
        <v>98000</v>
      </c>
      <c r="N2296">
        <v>4.51</v>
      </c>
      <c r="O2296">
        <v>65000</v>
      </c>
      <c r="P2296" t="inlineStr">
        <is>
          <t>68a2d4b166d44d00011d621b</t>
        </is>
      </c>
      <c r="Q2296"/>
      <c r="R2296" t="inlineStr">
        <is>
          <t>14周</t>
        </is>
      </c>
      <c r="S2296" t="inlineStr">
        <is>
          <t>0.02</t>
        </is>
      </c>
      <c r="T2296" t="inlineStr">
        <is>
          <t>服饰穿搭</t>
        </is>
      </c>
      <c r="U2296" t="inlineStr">
        <is>
          <t>女装</t>
        </is>
      </c>
      <c r="V2296" s="3">
        <v>46112.78107638889</v>
      </c>
      <c r="W2296" t="inlineStr">
        <is>
          <t>2026-Q1</t>
        </is>
      </c>
    </row>
    <row r="2297" ht="25.5" customHeight="1">
      <c r="A2297" t="inlineStr">
        <is>
          <t>韩版东大门蓝色牛仔外套女 2025春季新款显瘦百搭休闲上衣</t>
        </is>
      </c>
      <c r="B2297" t="inlineStr">
        <is>
          <t>recvcB48ezxctj.jpg</t>
        </is>
      </c>
      <c r="C2297" s="2" t="str">
        <f>=HYPERLINK("https://xhslink.com/m/3DkzClL0hwR", "https://xhslink.com/m/3DkzClL0hwR")</f>
        <v>https://xhslink.com/m/3DkzClL0hwR</v>
      </c>
      <c r="D2297"/>
      <c r="E2297">
        <v>3319</v>
      </c>
      <c r="F2297">
        <v>228</v>
      </c>
      <c r="G2297"/>
      <c r="H2297">
        <v>100</v>
      </c>
      <c r="I2297" t="inlineStr">
        <is>
          <t>牛仔外套</t>
        </is>
      </c>
      <c r="J2297" t="inlineStr">
        <is>
          <t>0.03</t>
        </is>
      </c>
      <c r="K2297"/>
      <c r="L2297" t="inlineStr">
        <is>
          <t>张张心XIN的店</t>
        </is>
      </c>
      <c r="M2297">
        <v>59000</v>
      </c>
      <c r="N2297">
        <v>4.74</v>
      </c>
      <c r="O2297">
        <v>155000</v>
      </c>
      <c r="P2297" t="inlineStr">
        <is>
          <t>67b33960eef182000115029f</t>
        </is>
      </c>
      <c r="Q2297"/>
      <c r="R2297" t="inlineStr">
        <is>
          <t>14周</t>
        </is>
      </c>
      <c r="S2297" t="inlineStr">
        <is>
          <t>0.06</t>
        </is>
      </c>
      <c r="T2297" t="inlineStr">
        <is>
          <t>服饰穿搭</t>
        </is>
      </c>
      <c r="U2297" t="inlineStr">
        <is>
          <t>女装</t>
        </is>
      </c>
      <c r="V2297" s="3">
        <v>46112.78107638889</v>
      </c>
      <c r="W2297" t="inlineStr">
        <is>
          <t>2026-Q1</t>
        </is>
      </c>
    </row>
    <row r="2298" ht="25.5" customHeight="1">
      <c r="A2298" t="inlineStr">
        <is>
          <t>沂蒙香妹儿 · 真粗粮手工大煎饼5斤-300克香软面包煎饼早餐速食煎饼</t>
        </is>
      </c>
      <c r="B2298" t="inlineStr">
        <is>
          <t>recvcB48ezBE03.jpg</t>
        </is>
      </c>
      <c r="C2298" s="2" t="str">
        <f>=HYPERLINK("https://xhslink.com/m/5NJFtkdnsrL", "https://xhslink.com/m/5NJFtkdnsrL")</f>
        <v>https://xhslink.com/m/5NJFtkdnsrL</v>
      </c>
      <c r="D2298"/>
      <c r="E2298">
        <v>5117</v>
      </c>
      <c r="F2298">
        <v>49.9</v>
      </c>
      <c r="G2298"/>
      <c r="H2298">
        <v>100</v>
      </c>
      <c r="I2298" t="inlineStr">
        <is>
          <t>煎饼</t>
        </is>
      </c>
      <c r="J2298" t="inlineStr">
        <is>
          <t>0.02</t>
        </is>
      </c>
      <c r="K2298"/>
      <c r="L2298" t="inlineStr">
        <is>
          <t>沂蒙香妹儿食品的店</t>
        </is>
      </c>
      <c r="M2298">
        <v>16000</v>
      </c>
      <c r="N2298">
        <v>4.5</v>
      </c>
      <c r="O2298">
        <v>10000</v>
      </c>
      <c r="P2298" t="inlineStr">
        <is>
          <t>69183217e78d99000165cee9</t>
        </is>
      </c>
      <c r="Q2298" t="inlineStr">
        <is>
          <t>🚫重复</t>
        </is>
      </c>
      <c r="R2298" t="inlineStr">
        <is>
          <t>14周</t>
        </is>
      </c>
      <c r="S2298" t="inlineStr">
        <is>
          <t>0.32</t>
        </is>
      </c>
      <c r="T2298" t="inlineStr">
        <is>
          <t>美食滋补</t>
        </is>
      </c>
      <c r="U2298" t="inlineStr">
        <is>
          <t>休闲零食</t>
        </is>
      </c>
      <c r="V2298" s="3">
        <v>46112.78107638889</v>
      </c>
      <c r="W2298" t="inlineStr">
        <is>
          <t>2026-Q1</t>
        </is>
      </c>
    </row>
    <row r="2299" ht="25.5" customHeight="1">
      <c r="A2299" t="inlineStr">
        <is>
          <t>美式复古连帽卫衣女春秋设计感拉链正肩显瘦休闲运动开衫外套</t>
        </is>
      </c>
      <c r="B2299" t="inlineStr">
        <is>
          <t>recvcB48ezQJCK.jpg</t>
        </is>
      </c>
      <c r="C2299" s="2" t="str">
        <f>=HYPERLINK("https://xhslink.com/m/AzIRT6PxLVK", "https://xhslink.com/m/AzIRT6PxLVK")</f>
        <v>https://xhslink.com/m/AzIRT6PxLVK</v>
      </c>
      <c r="D2299"/>
      <c r="E2299">
        <v>42000</v>
      </c>
      <c r="F2299">
        <v>89</v>
      </c>
      <c r="G2299"/>
      <c r="H2299">
        <v>100</v>
      </c>
      <c r="I2299" t="inlineStr">
        <is>
          <t>休闲外套</t>
        </is>
      </c>
      <c r="J2299" t="inlineStr">
        <is>
          <t>0.00</t>
        </is>
      </c>
      <c r="K2299" t="inlineStr">
        <is>
          <t>🔥低粉爆款</t>
        </is>
      </c>
      <c r="L2299" t="inlineStr">
        <is>
          <t>认真的林十一的店</t>
        </is>
      </c>
      <c r="M2299">
        <v>3457</v>
      </c>
      <c r="N2299">
        <v>4.51</v>
      </c>
      <c r="O2299">
        <v>58000</v>
      </c>
      <c r="P2299" t="inlineStr">
        <is>
          <t>66c43d23ad995900011b7f32</t>
        </is>
      </c>
      <c r="Q2299" t="inlineStr">
        <is>
          <t>🚫重复</t>
        </is>
      </c>
      <c r="R2299" t="inlineStr">
        <is>
          <t>14周</t>
        </is>
      </c>
      <c r="S2299" t="inlineStr">
        <is>
          <t>12.15</t>
        </is>
      </c>
      <c r="T2299" t="inlineStr">
        <is>
          <t>服饰穿搭</t>
        </is>
      </c>
      <c r="U2299" t="inlineStr">
        <is>
          <t>女装</t>
        </is>
      </c>
      <c r="V2299" s="3">
        <v>46112.78107638889</v>
      </c>
      <c r="W2299" t="inlineStr">
        <is>
          <t>2026-Q1</t>
        </is>
      </c>
    </row>
    <row r="2300" ht="25.5" customHeight="1">
      <c r="A2300" t="inlineStr">
        <is>
          <t>灰色阔腿裤女秋季2025新款窄版高腰宽松垂感休闲瑜伽运动卫裤</t>
        </is>
      </c>
      <c r="B2300" t="inlineStr">
        <is>
          <t>recvcB48ezl4rl.jpg</t>
        </is>
      </c>
      <c r="C2300" s="2" t="str">
        <f>=HYPERLINK("https://xhslink.com/m/66Pxv8eCMjv", "https://xhslink.com/m/66Pxv8eCMjv")</f>
        <v>https://xhslink.com/m/66Pxv8eCMjv</v>
      </c>
      <c r="D2300"/>
      <c r="E2300">
        <v>31000</v>
      </c>
      <c r="F2300">
        <v>99</v>
      </c>
      <c r="G2300"/>
      <c r="H2300">
        <v>100</v>
      </c>
      <c r="I2300" t="inlineStr">
        <is>
          <t>裤子</t>
        </is>
      </c>
      <c r="J2300" t="inlineStr">
        <is>
          <t>0.00</t>
        </is>
      </c>
      <c r="K2300" t="inlineStr">
        <is>
          <t>🔥低粉爆款</t>
        </is>
      </c>
      <c r="L2300" t="inlineStr">
        <is>
          <t>酸奶玉米汤的店</t>
        </is>
      </c>
      <c r="M2300">
        <v>2207</v>
      </c>
      <c r="N2300">
        <v>4.71</v>
      </c>
      <c r="O2300">
        <v>47000</v>
      </c>
      <c r="P2300" t="inlineStr">
        <is>
          <t>68f6de013f37a90001c24647</t>
        </is>
      </c>
      <c r="Q2300" t="inlineStr">
        <is>
          <t>🚫重复</t>
        </is>
      </c>
      <c r="R2300" t="inlineStr">
        <is>
          <t>14周</t>
        </is>
      </c>
      <c r="S2300" t="inlineStr">
        <is>
          <t>14.05</t>
        </is>
      </c>
      <c r="T2300" t="inlineStr">
        <is>
          <t>服饰穿搭</t>
        </is>
      </c>
      <c r="U2300" t="inlineStr">
        <is>
          <t>女装</t>
        </is>
      </c>
      <c r="V2300" s="3">
        <v>46112.78107638889</v>
      </c>
      <c r="W2300" t="inlineStr">
        <is>
          <t>2026-Q1</t>
        </is>
      </c>
    </row>
    <row r="2301" ht="25.5" customHeight="1">
      <c r="A2301" t="inlineStr">
        <is>
          <t>CL JINLI 气质显瘦休闲直筒牛仔裤</t>
        </is>
      </c>
      <c r="B2301" t="inlineStr">
        <is>
          <t>recvcB48ezfgmU.jpg</t>
        </is>
      </c>
      <c r="C2301" s="2" t="str">
        <f>=HYPERLINK("https://xhslink.com/m/6rVYaOQV7Gh", "https://xhslink.com/m/6rVYaOQV7Gh")</f>
        <v>https://xhslink.com/m/6rVYaOQV7Gh</v>
      </c>
      <c r="D2301"/>
      <c r="E2301">
        <v>21000</v>
      </c>
      <c r="F2301">
        <v>268</v>
      </c>
      <c r="G2301"/>
      <c r="H2301">
        <v>100</v>
      </c>
      <c r="I2301" t="inlineStr">
        <is>
          <t>裤子</t>
        </is>
      </c>
      <c r="J2301" t="inlineStr">
        <is>
          <t>0.00</t>
        </is>
      </c>
      <c r="K2301"/>
      <c r="L2301" t="inlineStr">
        <is>
          <t>是锦鲤呀的店</t>
        </is>
      </c>
      <c r="M2301">
        <v>72000</v>
      </c>
      <c r="N2301">
        <v>4.61</v>
      </c>
      <c r="O2301">
        <v>422000</v>
      </c>
      <c r="P2301" t="inlineStr">
        <is>
          <t>68e624fc7d3b3f0001f76e1d</t>
        </is>
      </c>
      <c r="Q2301" t="inlineStr">
        <is>
          <t>🚫重复</t>
        </is>
      </c>
      <c r="R2301" t="inlineStr">
        <is>
          <t>14周</t>
        </is>
      </c>
      <c r="S2301" t="inlineStr">
        <is>
          <t>0.29</t>
        </is>
      </c>
      <c r="T2301" t="inlineStr">
        <is>
          <t>服饰穿搭</t>
        </is>
      </c>
      <c r="U2301" t="inlineStr">
        <is>
          <t>女装</t>
        </is>
      </c>
      <c r="V2301" s="3">
        <v>46112.78107638889</v>
      </c>
      <c r="W2301" t="inlineStr">
        <is>
          <t>2026-Q1</t>
        </is>
      </c>
    </row>
    <row r="2302" ht="25.5" customHeight="1">
      <c r="A2302" t="inlineStr">
        <is>
          <t>【温泉微喇裤】｛显瘦显腿长｝纯色修身显瘦高腰直筒微喇裤休闲裤</t>
        </is>
      </c>
      <c r="B2302" t="inlineStr">
        <is>
          <t>recvcB48ezUoYi.jpg</t>
        </is>
      </c>
      <c r="C2302" s="2" t="str">
        <f>=HYPERLINK("https://xhslink.com/m/10ioDi2NHGY", "https://xhslink.com/m/10ioDi2NHGY")</f>
        <v>https://xhslink.com/m/10ioDi2NHGY</v>
      </c>
      <c r="D2302"/>
      <c r="E2302">
        <v>15000</v>
      </c>
      <c r="F2302">
        <v>268</v>
      </c>
      <c r="G2302"/>
      <c r="H2302">
        <v>100</v>
      </c>
      <c r="I2302" t="inlineStr">
        <is>
          <t>裤子</t>
        </is>
      </c>
      <c r="J2302" t="inlineStr">
        <is>
          <t>0.01</t>
        </is>
      </c>
      <c r="K2302"/>
      <c r="L2302" t="inlineStr">
        <is>
          <t>三天没有熬夜的店</t>
        </is>
      </c>
      <c r="M2302">
        <v>9958</v>
      </c>
      <c r="N2302">
        <v>4.71</v>
      </c>
      <c r="O2302">
        <v>47000</v>
      </c>
      <c r="P2302" t="inlineStr">
        <is>
          <t>691f0fb1f2c0f5000174ad6d</t>
        </is>
      </c>
      <c r="Q2302" t="inlineStr">
        <is>
          <t>🚫重复</t>
        </is>
      </c>
      <c r="R2302" t="inlineStr">
        <is>
          <t>14周</t>
        </is>
      </c>
      <c r="S2302" t="inlineStr">
        <is>
          <t>1.51</t>
        </is>
      </c>
      <c r="T2302" t="inlineStr">
        <is>
          <t>服饰穿搭</t>
        </is>
      </c>
      <c r="U2302" t="inlineStr">
        <is>
          <t>女装</t>
        </is>
      </c>
      <c r="V2302" s="3">
        <v>46112.78107638889</v>
      </c>
      <c r="W2302" t="inlineStr">
        <is>
          <t>2026-Q1</t>
        </is>
      </c>
    </row>
    <row r="2303" ht="25.5" customHeight="1">
      <c r="A2303" t="inlineStr">
        <is>
          <t>【天然植物材质 可水洗】圆形蒲草垫子手工地毯客厅茶几地垫装饰</t>
        </is>
      </c>
      <c r="B2303" t="inlineStr">
        <is>
          <t>recvcB48ezKrv3.jpg</t>
        </is>
      </c>
      <c r="C2303" s="2" t="str">
        <f>=HYPERLINK("https://xhslink.com/m/8cuMRoTSCjt", "https://xhslink.com/m/8cuMRoTSCjt")</f>
        <v>https://xhslink.com/m/8cuMRoTSCjt</v>
      </c>
      <c r="D2303"/>
      <c r="E2303">
        <v>49000</v>
      </c>
      <c r="F2303">
        <v>239</v>
      </c>
      <c r="G2303"/>
      <c r="H2303">
        <v>100</v>
      </c>
      <c r="I2303" t="inlineStr">
        <is>
          <t>地毯</t>
        </is>
      </c>
      <c r="J2303" t="inlineStr">
        <is>
          <t>0.00</t>
        </is>
      </c>
      <c r="K2303"/>
      <c r="L2303" t="inlineStr">
        <is>
          <t>宝哥宝弟家居的店</t>
        </is>
      </c>
      <c r="M2303">
        <v>147000</v>
      </c>
      <c r="N2303">
        <v>4.6</v>
      </c>
      <c r="O2303">
        <v>107000</v>
      </c>
      <c r="P2303" t="inlineStr">
        <is>
          <t>6916950093e3a6000116c953</t>
        </is>
      </c>
      <c r="Q2303" t="inlineStr">
        <is>
          <t>🚫重复</t>
        </is>
      </c>
      <c r="R2303" t="inlineStr">
        <is>
          <t>14周</t>
        </is>
      </c>
      <c r="S2303" t="inlineStr">
        <is>
          <t>0.33</t>
        </is>
      </c>
      <c r="T2303" t="inlineStr">
        <is>
          <t>家居生活</t>
        </is>
      </c>
      <c r="U2303" t="inlineStr">
        <is>
          <t>家居日用</t>
        </is>
      </c>
      <c r="V2303" s="3">
        <v>46112.78107638889</v>
      </c>
      <c r="W2303" t="inlineStr">
        <is>
          <t>2026-Q1</t>
        </is>
      </c>
    </row>
    <row r="2304" ht="25.5" customHeight="1">
      <c r="A2304" t="inlineStr">
        <is>
          <t>sobam索邦 · 免手洗懒人拖地神器拖布干湿两用家用拖地板吸水平板拖把</t>
        </is>
      </c>
      <c r="B2304" t="inlineStr">
        <is>
          <t>recvcB48ezW8wA.jpg</t>
        </is>
      </c>
      <c r="C2304" s="2" t="str">
        <f>=HYPERLINK("https://xhslink.com/m/9hfdFXWPj9d", "https://xhslink.com/m/9hfdFXWPj9d")</f>
        <v>https://xhslink.com/m/9hfdFXWPj9d</v>
      </c>
      <c r="D2304"/>
      <c r="E2304">
        <v>78000</v>
      </c>
      <c r="F2304">
        <v>69.9</v>
      </c>
      <c r="G2304"/>
      <c r="H2304">
        <v>100</v>
      </c>
      <c r="I2304" t="inlineStr">
        <is>
          <t>清洁</t>
        </is>
      </c>
      <c r="J2304" t="inlineStr">
        <is>
          <t>0.00</t>
        </is>
      </c>
      <c r="K2304"/>
      <c r="L2304" t="inlineStr">
        <is>
          <t>sobam索邦旗舰店</t>
        </is>
      </c>
      <c r="M2304">
        <v>157000</v>
      </c>
      <c r="N2304">
        <v>4.62</v>
      </c>
      <c r="O2304">
        <v>581000</v>
      </c>
      <c r="P2304" t="inlineStr">
        <is>
          <t>65d320d8b7b2260001f22381</t>
        </is>
      </c>
      <c r="Q2304" t="inlineStr">
        <is>
          <t>🚫重复</t>
        </is>
      </c>
      <c r="R2304" t="inlineStr">
        <is>
          <t>14周</t>
        </is>
      </c>
      <c r="S2304" t="inlineStr">
        <is>
          <t>0.50</t>
        </is>
      </c>
      <c r="T2304" t="inlineStr">
        <is>
          <t>家居生活</t>
        </is>
      </c>
      <c r="U2304" t="inlineStr">
        <is>
          <t>家居日用</t>
        </is>
      </c>
      <c r="V2304" s="3">
        <v>46112.78107638889</v>
      </c>
      <c r="W2304" t="inlineStr">
        <is>
          <t>2026-Q1</t>
        </is>
      </c>
    </row>
    <row r="2305" ht="25.5" customHeight="1">
      <c r="A2305" t="inlineStr">
        <is>
          <t>净造者 · 浴室多功能清洁刷玻璃水龙头洗手台去水渍去水垢神器自带液体仓</t>
        </is>
      </c>
      <c r="B2305" t="inlineStr">
        <is>
          <t>recvcB48ezvxKI.jpg</t>
        </is>
      </c>
      <c r="C2305" s="2" t="str">
        <f>=HYPERLINK("https://xhslink.com/m/6wztWTMW6cF", "https://xhslink.com/m/6wztWTMW6cF")</f>
        <v>https://xhslink.com/m/6wztWTMW6cF</v>
      </c>
      <c r="D2305"/>
      <c r="E2305">
        <v>22000</v>
      </c>
      <c r="F2305">
        <v>139.9</v>
      </c>
      <c r="G2305"/>
      <c r="H2305">
        <v>100</v>
      </c>
      <c r="I2305" t="inlineStr">
        <is>
          <t>清洁</t>
        </is>
      </c>
      <c r="J2305" t="inlineStr">
        <is>
          <t>0.00</t>
        </is>
      </c>
      <c r="K2305" t="inlineStr">
        <is>
          <t>🔥低粉爆款</t>
        </is>
      </c>
      <c r="L2305" t="inlineStr">
        <is>
          <t>净造者旗舰店</t>
        </is>
      </c>
      <c r="M2305">
        <v>1439</v>
      </c>
      <c r="N2305">
        <v>4.56</v>
      </c>
      <c r="O2305">
        <v>22000</v>
      </c>
      <c r="P2305" t="inlineStr">
        <is>
          <t>69146de8611c010001ba0511</t>
        </is>
      </c>
      <c r="Q2305"/>
      <c r="R2305" t="inlineStr">
        <is>
          <t>14周</t>
        </is>
      </c>
      <c r="S2305" t="inlineStr">
        <is>
          <t>15.29</t>
        </is>
      </c>
      <c r="T2305" t="inlineStr">
        <is>
          <t>家居生活</t>
        </is>
      </c>
      <c r="U2305" t="inlineStr">
        <is>
          <t>家居日用</t>
        </is>
      </c>
      <c r="V2305" s="3">
        <v>46112.78107638889</v>
      </c>
      <c r="W2305" t="inlineStr">
        <is>
          <t>2026-Q1</t>
        </is>
      </c>
    </row>
    <row r="2306" ht="25.5" customHeight="1">
      <c r="A2306" t="inlineStr">
        <is>
          <t>米小白 · 正品多功能有线大吸力手持吸拖一体吸尘器家用推荐吸猫毛清理神器</t>
        </is>
      </c>
      <c r="B2306" t="inlineStr">
        <is>
          <t>recvcB48ezr5wV.jpg</t>
        </is>
      </c>
      <c r="C2306" s="2" t="str">
        <f>=HYPERLINK("https://xhslink.com/m/sTuB9Mvw2j", "https://xhslink.com/m/sTuB9Mvw2j")</f>
        <v>https://xhslink.com/m/sTuB9Mvw2j</v>
      </c>
      <c r="D2306"/>
      <c r="E2306">
        <v>6584</v>
      </c>
      <c r="F2306">
        <v>256</v>
      </c>
      <c r="G2306"/>
      <c r="H2306">
        <v>100</v>
      </c>
      <c r="I2306" t="inlineStr">
        <is>
          <t>清洁</t>
        </is>
      </c>
      <c r="J2306" t="inlineStr">
        <is>
          <t>0.02</t>
        </is>
      </c>
      <c r="K2306"/>
      <c r="L2306" t="inlineStr">
        <is>
          <t>一只小超梦💰的店</t>
        </is>
      </c>
      <c r="M2306">
        <v>2212</v>
      </c>
      <c r="N2306">
        <v>4.45</v>
      </c>
      <c r="O2306">
        <v>26000</v>
      </c>
      <c r="P2306" t="inlineStr">
        <is>
          <t>68d1360a3f37a90001f4b9fb</t>
        </is>
      </c>
      <c r="Q2306"/>
      <c r="R2306" t="inlineStr">
        <is>
          <t>14周</t>
        </is>
      </c>
      <c r="S2306" t="inlineStr">
        <is>
          <t>2.98</t>
        </is>
      </c>
      <c r="T2306" t="inlineStr">
        <is>
          <t>家居生活</t>
        </is>
      </c>
      <c r="U2306" t="inlineStr">
        <is>
          <t>家居日用</t>
        </is>
      </c>
      <c r="V2306" s="3">
        <v>46112.78107638889</v>
      </c>
      <c r="W2306" t="inlineStr">
        <is>
          <t>2026-Q1</t>
        </is>
      </c>
    </row>
    <row r="2307" ht="25.5" customHeight="1">
      <c r="A2307" t="inlineStr">
        <is>
          <t>【天然植物材质 可水洗】圆形蒲草垫子手工地毯客厅茶几地垫装饰</t>
        </is>
      </c>
      <c r="B2307" t="inlineStr">
        <is>
          <t>recvcB48ezG1JD.jpg</t>
        </is>
      </c>
      <c r="C2307" s="2" t="str">
        <f>=HYPERLINK("https://xhslink.com/m/8yY019S0wwM", "https://xhslink.com/m/8yY019S0wwM")</f>
        <v>https://xhslink.com/m/8yY019S0wwM</v>
      </c>
      <c r="D2307"/>
      <c r="E2307">
        <v>49000</v>
      </c>
      <c r="F2307">
        <v>119</v>
      </c>
      <c r="G2307"/>
      <c r="H2307">
        <v>100</v>
      </c>
      <c r="I2307" t="inlineStr">
        <is>
          <t>地垫</t>
        </is>
      </c>
      <c r="J2307" t="inlineStr">
        <is>
          <t>0.00</t>
        </is>
      </c>
      <c r="K2307"/>
      <c r="L2307" t="inlineStr">
        <is>
          <t>宝哥宝弟家居的店</t>
        </is>
      </c>
      <c r="M2307">
        <v>147000</v>
      </c>
      <c r="N2307">
        <v>4.6</v>
      </c>
      <c r="O2307">
        <v>107000</v>
      </c>
      <c r="P2307" t="inlineStr">
        <is>
          <t>685b6e2e56ddbd0001bc79de</t>
        </is>
      </c>
      <c r="Q2307" t="inlineStr">
        <is>
          <t>🚫重复</t>
        </is>
      </c>
      <c r="R2307" t="inlineStr">
        <is>
          <t>14周</t>
        </is>
      </c>
      <c r="S2307" t="inlineStr">
        <is>
          <t>0.33</t>
        </is>
      </c>
      <c r="T2307" t="inlineStr">
        <is>
          <t>家居生活</t>
        </is>
      </c>
      <c r="U2307" t="inlineStr">
        <is>
          <t>家居日用</t>
        </is>
      </c>
      <c r="V2307" s="3">
        <v>46112.78107638889</v>
      </c>
      <c r="W2307" t="inlineStr">
        <is>
          <t>2026-Q1</t>
        </is>
      </c>
    </row>
    <row r="2308" ht="25.5" customHeight="1">
      <c r="A2308" t="inlineStr">
        <is>
          <t>45*180 45*120 各种版本的绒地垫 中间有海绵</t>
        </is>
      </c>
      <c r="B2308" t="inlineStr">
        <is>
          <t>recvcB48ezXbZ8.jpg</t>
        </is>
      </c>
      <c r="C2308" s="2" t="str">
        <f>=HYPERLINK("https://xhslink.com/m/9hZoBJ88jku", "https://xhslink.com/m/9hZoBJ88jku")</f>
        <v>https://xhslink.com/m/9hZoBJ88jku</v>
      </c>
      <c r="D2308"/>
      <c r="E2308">
        <v>1195</v>
      </c>
      <c r="F2308">
        <v>14.9</v>
      </c>
      <c r="G2308"/>
      <c r="H2308">
        <v>100</v>
      </c>
      <c r="I2308" t="inlineStr">
        <is>
          <t>门垫</t>
        </is>
      </c>
      <c r="J2308" t="inlineStr">
        <is>
          <t>0.08</t>
        </is>
      </c>
      <c r="K2308"/>
      <c r="L2308" t="inlineStr">
        <is>
          <t>绒美生活家纺折扣店的店</t>
        </is>
      </c>
      <c r="M2308">
        <v>125000</v>
      </c>
      <c r="N2308">
        <v>4.42</v>
      </c>
      <c r="O2308">
        <v>515000</v>
      </c>
      <c r="P2308" t="inlineStr">
        <is>
          <t>694cd0906109ef0001220487</t>
        </is>
      </c>
      <c r="Q2308"/>
      <c r="R2308" t="inlineStr">
        <is>
          <t>14周</t>
        </is>
      </c>
      <c r="S2308" t="inlineStr">
        <is>
          <t>0.01</t>
        </is>
      </c>
      <c r="T2308" t="inlineStr">
        <is>
          <t>家居生活</t>
        </is>
      </c>
      <c r="U2308" t="inlineStr">
        <is>
          <t>家居日用</t>
        </is>
      </c>
      <c r="V2308" s="3">
        <v>46112.78107638889</v>
      </c>
      <c r="W2308" t="inlineStr">
        <is>
          <t>2026-Q1</t>
        </is>
      </c>
    </row>
    <row r="2309" ht="25.5" customHeight="1">
      <c r="A2309" t="inlineStr">
        <is>
          <t>晚风温柔蝴蝶结浅口平底鞋复古黑色奶奶鞋瓢鞋春夏季女鞋韩版单鞋</t>
        </is>
      </c>
      <c r="B2309" t="inlineStr">
        <is>
          <t>recvcG44S0edmj.jpg</t>
        </is>
      </c>
      <c r="C2309" s="2" t="str">
        <f>=HYPERLINK("https://xhslink.com/m/50zAImEcr75", "https://xhslink.com/m/50zAImEcr75")</f>
        <v>https://xhslink.com/m/50zAImEcr75</v>
      </c>
      <c r="D2309"/>
      <c r="E2309">
        <v>4069</v>
      </c>
      <c r="F2309">
        <v>49.9</v>
      </c>
      <c r="G2309"/>
      <c r="H2309">
        <v>100</v>
      </c>
      <c r="I2309" t="inlineStr">
        <is>
          <t>单鞋</t>
        </is>
      </c>
      <c r="J2309" t="inlineStr">
        <is>
          <t>0.02</t>
        </is>
      </c>
      <c r="K2309"/>
      <c r="L2309" t="inlineStr">
        <is>
          <t>柠檬🍋(鞋教)的店</t>
        </is>
      </c>
      <c r="M2309">
        <v>28000</v>
      </c>
      <c r="N2309">
        <v>4.41</v>
      </c>
      <c r="O2309">
        <v>97000</v>
      </c>
      <c r="P2309" t="inlineStr">
        <is>
          <t>697c44726d22e700014a44b2</t>
        </is>
      </c>
      <c r="Q2309" t="inlineStr">
        <is>
          <t>🚫重复</t>
        </is>
      </c>
      <c r="R2309" t="inlineStr">
        <is>
          <t>14周</t>
        </is>
      </c>
      <c r="S2309" t="inlineStr">
        <is>
          <t>0.15</t>
        </is>
      </c>
      <c r="T2309" t="inlineStr">
        <is>
          <t>服饰穿搭</t>
        </is>
      </c>
      <c r="U2309" t="inlineStr">
        <is>
          <t>鞋靴箱包</t>
        </is>
      </c>
      <c r="V2309" s="3">
        <v>46112.78107638889</v>
      </c>
      <c r="W2309" t="inlineStr">
        <is>
          <t>2026-Q1</t>
        </is>
      </c>
    </row>
    <row r="2310" ht="25.5" customHeight="1">
      <c r="A2310" t="inlineStr">
        <is>
          <t>CBD女精英~经典蝴蝶结浅口粗跟芭蕾单鞋女平底鞋内增高软皮通勤鞋</t>
        </is>
      </c>
      <c r="B2310" t="inlineStr">
        <is>
          <t>recvcG44S00WSy.jpg</t>
        </is>
      </c>
      <c r="C2310" s="2" t="str">
        <f>=HYPERLINK("https://xhslink.com/m/5muBcjjogLV", "https://xhslink.com/m/5muBcjjogLV")</f>
        <v>https://xhslink.com/m/5muBcjjogLV</v>
      </c>
      <c r="D2310"/>
      <c r="E2310">
        <v>1727</v>
      </c>
      <c r="F2310">
        <v>138</v>
      </c>
      <c r="G2310"/>
      <c r="H2310">
        <v>100</v>
      </c>
      <c r="I2310" t="inlineStr">
        <is>
          <t>单鞋</t>
        </is>
      </c>
      <c r="J2310" t="inlineStr">
        <is>
          <t>0.06</t>
        </is>
      </c>
      <c r="K2310"/>
      <c r="L2310" t="inlineStr">
        <is>
          <t>妍妍小个子研究所的店</t>
        </is>
      </c>
      <c r="M2310">
        <v>2827</v>
      </c>
      <c r="N2310">
        <v>4.58</v>
      </c>
      <c r="O2310">
        <v>22000</v>
      </c>
      <c r="P2310" t="inlineStr">
        <is>
          <t>68dbbfcdd3eed20001f80fa0</t>
        </is>
      </c>
      <c r="Q2310" t="inlineStr">
        <is>
          <t>🚫重复</t>
        </is>
      </c>
      <c r="R2310" t="inlineStr">
        <is>
          <t>14周</t>
        </is>
      </c>
      <c r="S2310" t="inlineStr">
        <is>
          <t>0.61</t>
        </is>
      </c>
      <c r="T2310" t="inlineStr">
        <is>
          <t>服饰穿搭</t>
        </is>
      </c>
      <c r="U2310" t="inlineStr">
        <is>
          <t>鞋靴箱包</t>
        </is>
      </c>
      <c r="V2310" s="3">
        <v>46112.78107638889</v>
      </c>
      <c r="W2310" t="inlineStr">
        <is>
          <t>2026-Q1</t>
        </is>
      </c>
    </row>
    <row r="2311" ht="25.5" customHeight="1">
      <c r="A2311" t="inlineStr">
        <is>
          <t>骆驼 · 【银月】老爹鞋25新款7cm增高爆款女款厚底运动休闲鞋夏季穿搭</t>
        </is>
      </c>
      <c r="B2311" t="inlineStr">
        <is>
          <t>recvcG44S0LdjK.jpg</t>
        </is>
      </c>
      <c r="C2311" s="2" t="str">
        <f>=HYPERLINK("https://xhslink.com/m/1OdrpawXJp2", "https://xhslink.com/m/1OdrpawXJp2")</f>
        <v>https://xhslink.com/m/1OdrpawXJp2</v>
      </c>
      <c r="D2311"/>
      <c r="E2311">
        <v>7026</v>
      </c>
      <c r="F2311">
        <v>279</v>
      </c>
      <c r="G2311"/>
      <c r="H2311">
        <v>100</v>
      </c>
      <c r="I2311" t="inlineStr">
        <is>
          <t>老爹鞋</t>
        </is>
      </c>
      <c r="J2311" t="inlineStr">
        <is>
          <t>0.01</t>
        </is>
      </c>
      <c r="K2311"/>
      <c r="L2311" t="inlineStr">
        <is>
          <t>骆驼时尚旗舰店</t>
        </is>
      </c>
      <c r="M2311">
        <v>55000</v>
      </c>
      <c r="N2311">
        <v>4.46</v>
      </c>
      <c r="O2311">
        <v>25000</v>
      </c>
      <c r="P2311" t="inlineStr">
        <is>
          <t>68cd3926d1f7b800016538ac</t>
        </is>
      </c>
      <c r="Q2311" t="inlineStr">
        <is>
          <t>🚫重复</t>
        </is>
      </c>
      <c r="R2311" t="inlineStr">
        <is>
          <t>14周</t>
        </is>
      </c>
      <c r="S2311" t="inlineStr">
        <is>
          <t>0.13</t>
        </is>
      </c>
      <c r="T2311" t="inlineStr">
        <is>
          <t>服饰穿搭</t>
        </is>
      </c>
      <c r="U2311" t="inlineStr">
        <is>
          <t>鞋靴箱包</t>
        </is>
      </c>
      <c r="V2311" s="3">
        <v>46112.78107638889</v>
      </c>
      <c r="W2311" t="inlineStr">
        <is>
          <t>2026-Q1</t>
        </is>
      </c>
    </row>
    <row r="2312" ht="25.5" customHeight="1">
      <c r="A2312" t="inlineStr">
        <is>
          <t>SRSOO · 英伦风5cm厚底一脚蹬乐福鞋推荐女JK黑色软底小皮鞋通勤旅游暴走</t>
        </is>
      </c>
      <c r="B2312" t="inlineStr">
        <is>
          <t>recvcG44S00DhN.jpg</t>
        </is>
      </c>
      <c r="C2312" s="2" t="str">
        <f>=HYPERLINK("https://xhslink.com/m/9j8VYWpoe13", "https://xhslink.com/m/9j8VYWpoe13")</f>
        <v>https://xhslink.com/m/9j8VYWpoe13</v>
      </c>
      <c r="D2312"/>
      <c r="E2312">
        <v>45000</v>
      </c>
      <c r="F2312">
        <v>76.9</v>
      </c>
      <c r="G2312"/>
      <c r="H2312">
        <v>100</v>
      </c>
      <c r="I2312" t="inlineStr">
        <is>
          <t>乐福鞋</t>
        </is>
      </c>
      <c r="J2312" t="inlineStr">
        <is>
          <t>0.00</t>
        </is>
      </c>
      <c r="K2312" t="inlineStr">
        <is>
          <t>🔥低粉爆款</t>
        </is>
      </c>
      <c r="L2312" t="inlineStr">
        <is>
          <t>小小祎XIAOYI的店</t>
        </is>
      </c>
      <c r="M2312">
        <v>3301</v>
      </c>
      <c r="N2312">
        <v>4.63</v>
      </c>
      <c r="O2312">
        <v>355000</v>
      </c>
      <c r="P2312" t="inlineStr">
        <is>
          <t>6777c52b286c9f0001cd9534</t>
        </is>
      </c>
      <c r="Q2312" t="inlineStr">
        <is>
          <t>🚫重复</t>
        </is>
      </c>
      <c r="R2312" t="inlineStr">
        <is>
          <t>14周</t>
        </is>
      </c>
      <c r="S2312" t="inlineStr">
        <is>
          <t>13.63</t>
        </is>
      </c>
      <c r="T2312" t="inlineStr">
        <is>
          <t>服饰穿搭</t>
        </is>
      </c>
      <c r="U2312" t="inlineStr">
        <is>
          <t>鞋靴箱包</t>
        </is>
      </c>
      <c r="V2312" s="3">
        <v>46112.78107638889</v>
      </c>
      <c r="W2312" t="inlineStr">
        <is>
          <t>2026-Q1</t>
        </is>
      </c>
    </row>
    <row r="2313" ht="25.5" customHeight="1">
      <c r="A2313" t="inlineStr">
        <is>
          <t>叁時【8cm静音跟】粗跟乐福鞋百搭通勤头层羊皮高跟一脚蹬皮鞋女</t>
        </is>
      </c>
      <c r="B2313" t="inlineStr">
        <is>
          <t>recvcG44S0BguZ.jpg</t>
        </is>
      </c>
      <c r="C2313" s="2" t="str">
        <f>=HYPERLINK("https://xhslink.com/m/8W4DsiOzpEG", "https://xhslink.com/m/8W4DsiOzpEG")</f>
        <v>https://xhslink.com/m/8W4DsiOzpEG</v>
      </c>
      <c r="D2313"/>
      <c r="E2313">
        <v>40000</v>
      </c>
      <c r="F2313">
        <v>298</v>
      </c>
      <c r="G2313"/>
      <c r="H2313">
        <v>100</v>
      </c>
      <c r="I2313" t="inlineStr">
        <is>
          <t>乐福鞋</t>
        </is>
      </c>
      <c r="J2313" t="inlineStr">
        <is>
          <t>0.00</t>
        </is>
      </c>
      <c r="K2313"/>
      <c r="L2313" t="inlineStr">
        <is>
          <t>3rd.time叁時的店</t>
        </is>
      </c>
      <c r="M2313">
        <v>63000</v>
      </c>
      <c r="N2313">
        <v>4.65</v>
      </c>
      <c r="O2313">
        <v>97000</v>
      </c>
      <c r="P2313" t="inlineStr">
        <is>
          <t>67e0da4b1101af0001ae9a38</t>
        </is>
      </c>
      <c r="Q2313" t="inlineStr">
        <is>
          <t>🚫重复</t>
        </is>
      </c>
      <c r="R2313" t="inlineStr">
        <is>
          <t>14周</t>
        </is>
      </c>
      <c r="S2313" t="inlineStr">
        <is>
          <t>0.63</t>
        </is>
      </c>
      <c r="T2313" t="inlineStr">
        <is>
          <t>服饰穿搭</t>
        </is>
      </c>
      <c r="U2313" t="inlineStr">
        <is>
          <t>鞋靴箱包</t>
        </is>
      </c>
      <c r="V2313" s="3">
        <v>46112.78107638889</v>
      </c>
      <c r="W2313" t="inlineStr">
        <is>
          <t>2026-Q1</t>
        </is>
      </c>
    </row>
    <row r="2314" ht="25.5" customHeight="1">
      <c r="A2314" t="inlineStr">
        <is>
          <t>2026款帆布鞋1970s秋冬款低帮复古情侣款板鞋男百搭小白鞋女鞋</t>
        </is>
      </c>
      <c r="B2314" t="inlineStr">
        <is>
          <t>recvcG44S0UJTY.jpg</t>
        </is>
      </c>
      <c r="C2314" s="2" t="str">
        <f>=HYPERLINK("https://xhslink.com/m/6z2ycuXelWf", "https://xhslink.com/m/6z2ycuXelWf")</f>
        <v>https://xhslink.com/m/6z2ycuXelWf</v>
      </c>
      <c r="D2314"/>
      <c r="E2314">
        <v>32000</v>
      </c>
      <c r="F2314">
        <v>46.8</v>
      </c>
      <c r="G2314"/>
      <c r="H2314">
        <v>100</v>
      </c>
      <c r="I2314" t="inlineStr">
        <is>
          <t>帆布鞋</t>
        </is>
      </c>
      <c r="J2314" t="inlineStr">
        <is>
          <t>0.00</t>
        </is>
      </c>
      <c r="K2314"/>
      <c r="L2314" t="inlineStr">
        <is>
          <t>vintage宝藏鞋铺的店</t>
        </is>
      </c>
      <c r="M2314">
        <v>12000</v>
      </c>
      <c r="N2314">
        <v>4.59</v>
      </c>
      <c r="O2314">
        <v>116000</v>
      </c>
      <c r="P2314" t="inlineStr">
        <is>
          <t>640a88e5e757320001ade5d5</t>
        </is>
      </c>
      <c r="Q2314" t="inlineStr">
        <is>
          <t>🚫重复</t>
        </is>
      </c>
      <c r="R2314" t="inlineStr">
        <is>
          <t>14周</t>
        </is>
      </c>
      <c r="S2314" t="inlineStr">
        <is>
          <t>2.67</t>
        </is>
      </c>
      <c r="T2314" t="inlineStr">
        <is>
          <t>服饰穿搭</t>
        </is>
      </c>
      <c r="U2314" t="inlineStr">
        <is>
          <t>鞋靴箱包</t>
        </is>
      </c>
      <c r="V2314" s="3">
        <v>46112.78107638889</v>
      </c>
      <c r="W2314" t="inlineStr">
        <is>
          <t>2026-Q1</t>
        </is>
      </c>
    </row>
    <row r="2315" ht="25.5" customHeight="1">
      <c r="A2315" t="inlineStr">
        <is>
          <t>songmont · 【38节礼物】山下有松循迹hobo包植鞣牛皮单肩斜挎软包</t>
        </is>
      </c>
      <c r="B2315" t="inlineStr">
        <is>
          <t>recvcG44S0vTms.jpg</t>
        </is>
      </c>
      <c r="C2315" s="2" t="str">
        <f>=HYPERLINK("https://xhslink.com/m/7GLkcMbncfF", "https://xhslink.com/m/7GLkcMbncfF")</f>
        <v>https://xhslink.com/m/7GLkcMbncfF</v>
      </c>
      <c r="D2315"/>
      <c r="E2315">
        <v>3247</v>
      </c>
      <c r="F2315">
        <v>2280</v>
      </c>
      <c r="G2315"/>
      <c r="H2315">
        <v>100</v>
      </c>
      <c r="I2315" t="inlineStr">
        <is>
          <t>包包</t>
        </is>
      </c>
      <c r="J2315" t="inlineStr">
        <is>
          <t>0.03</t>
        </is>
      </c>
      <c r="K2315"/>
      <c r="L2315" t="inlineStr">
        <is>
          <t>Songmont山下有松旗舰店</t>
        </is>
      </c>
      <c r="M2315">
        <v>311000</v>
      </c>
      <c r="N2315">
        <v>4.78</v>
      </c>
      <c r="O2315">
        <v>71000</v>
      </c>
      <c r="P2315" t="inlineStr">
        <is>
          <t>663dc4bd8953a500012e8323</t>
        </is>
      </c>
      <c r="Q2315" t="inlineStr">
        <is>
          <t>🚫重复</t>
        </is>
      </c>
      <c r="R2315" t="inlineStr">
        <is>
          <t>14周</t>
        </is>
      </c>
      <c r="S2315" t="inlineStr">
        <is>
          <t>0.01</t>
        </is>
      </c>
      <c r="T2315" t="inlineStr">
        <is>
          <t>服饰穿搭</t>
        </is>
      </c>
      <c r="U2315" t="inlineStr">
        <is>
          <t>鞋靴箱包</t>
        </is>
      </c>
      <c r="V2315" s="3">
        <v>46112.78107638889</v>
      </c>
      <c r="W2315" t="inlineStr">
        <is>
          <t>2026-Q1</t>
        </is>
      </c>
    </row>
    <row r="2316" ht="25.5" customHeight="1">
      <c r="A2316" t="inlineStr">
        <is>
          <t>songmont · 【38节礼物】山下有松循迹hobo包植鞣牛皮单肩斜挎软包</t>
        </is>
      </c>
      <c r="B2316" t="inlineStr">
        <is>
          <t>recvcG44S0anT0.jpg</t>
        </is>
      </c>
      <c r="C2316" s="2" t="str">
        <f>=HYPERLINK("https://xhslink.com/m/AlPUGeZS0EX", "https://xhslink.com/m/AlPUGeZS0EX")</f>
        <v>https://xhslink.com/m/AlPUGeZS0EX</v>
      </c>
      <c r="D2316"/>
      <c r="E2316">
        <v>3248</v>
      </c>
      <c r="F2316">
        <v>2580</v>
      </c>
      <c r="G2316"/>
      <c r="H2316">
        <v>100</v>
      </c>
      <c r="I2316" t="inlineStr">
        <is>
          <t>单肩包</t>
        </is>
      </c>
      <c r="J2316" t="inlineStr">
        <is>
          <t>0.03</t>
        </is>
      </c>
      <c r="K2316"/>
      <c r="L2316" t="inlineStr">
        <is>
          <t>Songmont山下有松旗舰店</t>
        </is>
      </c>
      <c r="M2316">
        <v>311000</v>
      </c>
      <c r="N2316">
        <v>4.78</v>
      </c>
      <c r="O2316">
        <v>71000</v>
      </c>
      <c r="P2316" t="inlineStr">
        <is>
          <t>6964df0c54fb9e00016fbfe8</t>
        </is>
      </c>
      <c r="Q2316" t="inlineStr">
        <is>
          <t>🚫重复</t>
        </is>
      </c>
      <c r="R2316" t="inlineStr">
        <is>
          <t>14周</t>
        </is>
      </c>
      <c r="S2316" t="inlineStr">
        <is>
          <t>0.01</t>
        </is>
      </c>
      <c r="T2316" t="inlineStr">
        <is>
          <t>服饰穿搭</t>
        </is>
      </c>
      <c r="U2316" t="inlineStr">
        <is>
          <t>鞋靴箱包</t>
        </is>
      </c>
      <c r="V2316" s="3">
        <v>46112.78107638889</v>
      </c>
      <c r="W2316" t="inlineStr">
        <is>
          <t>2026-Q1</t>
        </is>
      </c>
    </row>
    <row r="2317" ht="25.5" customHeight="1">
      <c r="A2317" t="inlineStr">
        <is>
          <t>碳烤八风干纯瘦牛肉干（无添加、非油炸）</t>
        </is>
      </c>
      <c r="B2317" t="inlineStr">
        <is>
          <t>recvcMzZj8RFk6.jpg</t>
        </is>
      </c>
      <c r="C2317" s="2" t="str">
        <f>=HYPERLINK("https://xhslink.com/m/1IUXpHHGjVl", "https://xhslink.com/m/1IUXpHHGjVl")</f>
        <v>https://xhslink.com/m/1IUXpHHGjVl</v>
      </c>
      <c r="D2317"/>
      <c r="E2317">
        <v>121000</v>
      </c>
      <c r="F2317">
        <v>139.9</v>
      </c>
      <c r="G2317"/>
      <c r="H2317">
        <v>100</v>
      </c>
      <c r="I2317" t="inlineStr">
        <is>
          <t>零食小吃</t>
        </is>
      </c>
      <c r="J2317" t="inlineStr">
        <is>
          <t>0.00</t>
        </is>
      </c>
      <c r="K2317" t="inlineStr">
        <is>
          <t>🔥低粉爆款</t>
        </is>
      </c>
      <c r="L2317" t="inlineStr">
        <is>
          <t>97只做现烤牛肉干的店</t>
        </is>
      </c>
      <c r="M2317">
        <v>10000</v>
      </c>
      <c r="N2317">
        <v>4.63</v>
      </c>
      <c r="O2317">
        <v>159000</v>
      </c>
      <c r="P2317" t="inlineStr">
        <is>
          <t>66e41f8d6caced000145af8d</t>
        </is>
      </c>
      <c r="Q2317" t="inlineStr">
        <is>
          <t>🚫重复</t>
        </is>
      </c>
      <c r="R2317" t="inlineStr">
        <is>
          <t>14周</t>
        </is>
      </c>
      <c r="S2317" t="inlineStr">
        <is>
          <t>12.10</t>
        </is>
      </c>
      <c r="T2317" t="inlineStr">
        <is>
          <t>美食滋补</t>
        </is>
      </c>
      <c r="U2317" t="inlineStr">
        <is>
          <t>休闲零食</t>
        </is>
      </c>
      <c r="V2317" s="3">
        <v>46112.78107638889</v>
      </c>
      <c r="W2317" t="inlineStr">
        <is>
          <t>2026-Q1</t>
        </is>
      </c>
    </row>
    <row r="2318" ht="25.5" customHeight="1">
      <c r="A2318" t="inlineStr">
        <is>
          <t>上行斋 · 17枚和风生巧大福网红巧克力福团糯米糍脏脏团甜品团子</t>
        </is>
      </c>
      <c r="B2318" t="inlineStr">
        <is>
          <t>recvcMzZj8R9mk.jpg</t>
        </is>
      </c>
      <c r="C2318" s="2" t="str">
        <f>=HYPERLINK("https://xhslink.com/m/7HFwzaMm0Tq", "https://xhslink.com/m/7HFwzaMm0Tq")</f>
        <v>https://xhslink.com/m/7HFwzaMm0Tq</v>
      </c>
      <c r="D2318"/>
      <c r="E2318">
        <v>57000</v>
      </c>
      <c r="F2318">
        <v>19.9</v>
      </c>
      <c r="G2318"/>
      <c r="H2318">
        <v>100</v>
      </c>
      <c r="I2318" t="inlineStr">
        <is>
          <t>零食小吃</t>
        </is>
      </c>
      <c r="J2318" t="inlineStr">
        <is>
          <t>0.00</t>
        </is>
      </c>
      <c r="K2318" t="inlineStr">
        <is>
          <t>🔥低粉爆款</t>
        </is>
      </c>
      <c r="L2318" t="inlineStr">
        <is>
          <t>上行斋旗舰店</t>
        </is>
      </c>
      <c r="M2318">
        <v>3270</v>
      </c>
      <c r="N2318">
        <v>4.56</v>
      </c>
      <c r="O2318">
        <v>90000</v>
      </c>
      <c r="P2318" t="inlineStr">
        <is>
          <t>66d80ae70b841f000175e188</t>
        </is>
      </c>
      <c r="Q2318"/>
      <c r="R2318" t="inlineStr">
        <is>
          <t>14周</t>
        </is>
      </c>
      <c r="S2318" t="inlineStr">
        <is>
          <t>17.43</t>
        </is>
      </c>
      <c r="T2318" t="inlineStr">
        <is>
          <t>美食滋补</t>
        </is>
      </c>
      <c r="U2318" t="inlineStr">
        <is>
          <t>休闲零食</t>
        </is>
      </c>
      <c r="V2318" s="3">
        <v>46112.78107638889</v>
      </c>
      <c r="W2318" t="inlineStr">
        <is>
          <t>2026-Q1</t>
        </is>
      </c>
    </row>
    <row r="2319" ht="25.5" customHeight="1">
      <c r="A2319" t="inlineStr">
        <is>
          <t>【内蒙古风干牛胸口】春节正常发货呼伦贝尔原切牛胸口香脆真劲道</t>
        </is>
      </c>
      <c r="B2319" t="inlineStr">
        <is>
          <t>recvcMzZj8poCG.jpg</t>
        </is>
      </c>
      <c r="C2319" s="2" t="str">
        <f>=HYPERLINK("https://xhslink.com/m/qHcZzaVKJ3", "https://xhslink.com/m/qHcZzaVKJ3")</f>
        <v>https://xhslink.com/m/qHcZzaVKJ3</v>
      </c>
      <c r="D2319"/>
      <c r="E2319">
        <v>26000</v>
      </c>
      <c r="F2319">
        <v>298</v>
      </c>
      <c r="G2319"/>
      <c r="H2319">
        <v>100</v>
      </c>
      <c r="I2319" t="inlineStr">
        <is>
          <t>零食小吃</t>
        </is>
      </c>
      <c r="J2319" t="inlineStr">
        <is>
          <t>0.00</t>
        </is>
      </c>
      <c r="K2319"/>
      <c r="L2319" t="inlineStr">
        <is>
          <t>满洲里蒙祥羊食品有限公司的店</t>
        </is>
      </c>
      <c r="M2319">
        <v>11000</v>
      </c>
      <c r="N2319">
        <v>4.74</v>
      </c>
      <c r="O2319">
        <v>34000</v>
      </c>
      <c r="P2319" t="inlineStr">
        <is>
          <t>67397ecc4f0ec700019d1159</t>
        </is>
      </c>
      <c r="Q2319" t="inlineStr">
        <is>
          <t>🚫重复</t>
        </is>
      </c>
      <c r="R2319" t="inlineStr">
        <is>
          <t>14周</t>
        </is>
      </c>
      <c r="S2319" t="inlineStr">
        <is>
          <t>2.36</t>
        </is>
      </c>
      <c r="T2319" t="inlineStr">
        <is>
          <t>美食滋补</t>
        </is>
      </c>
      <c r="U2319" t="inlineStr">
        <is>
          <t>休闲零食</t>
        </is>
      </c>
      <c r="V2319" s="3">
        <v>46112.78107638889</v>
      </c>
      <c r="W2319" t="inlineStr">
        <is>
          <t>2026-Q1</t>
        </is>
      </c>
    </row>
    <row r="2320" ht="25.5" customHeight="1">
      <c r="A2320" t="inlineStr">
        <is>
          <t>枫糖三文鱼（挪威大西洋鲑鱼）顺丰苹果木烟熏去皮带皮口感随机发</t>
        </is>
      </c>
      <c r="B2320" t="inlineStr">
        <is>
          <t>recvcMzZj8kDrO.jpg</t>
        </is>
      </c>
      <c r="C2320" s="2" t="str">
        <f>=HYPERLINK("https://xhslink.com/m/2qtwStOqWsB", "https://xhslink.com/m/2qtwStOqWsB")</f>
        <v>https://xhslink.com/m/2qtwStOqWsB</v>
      </c>
      <c r="D2320"/>
      <c r="E2320">
        <v>2146</v>
      </c>
      <c r="F2320">
        <v>310</v>
      </c>
      <c r="G2320"/>
      <c r="H2320">
        <v>100</v>
      </c>
      <c r="I2320" t="inlineStr">
        <is>
          <t>零食小吃</t>
        </is>
      </c>
      <c r="J2320" t="inlineStr">
        <is>
          <t>0.05</t>
        </is>
      </c>
      <c r="K2320"/>
      <c r="L2320" t="inlineStr">
        <is>
          <t>金翅枫糖冷熏三文鱼的店</t>
        </is>
      </c>
      <c r="M2320">
        <v>1630</v>
      </c>
      <c r="N2320">
        <v>4.56</v>
      </c>
      <c r="O2320">
        <v>3050</v>
      </c>
      <c r="P2320" t="inlineStr">
        <is>
          <t>6922dbaa14b526000101ba73</t>
        </is>
      </c>
      <c r="Q2320"/>
      <c r="R2320" t="inlineStr">
        <is>
          <t>14周</t>
        </is>
      </c>
      <c r="S2320" t="inlineStr">
        <is>
          <t>1.32</t>
        </is>
      </c>
      <c r="T2320" t="inlineStr">
        <is>
          <t>服饰穿搭</t>
        </is>
      </c>
      <c r="U2320" t="inlineStr">
        <is>
          <t>配饰</t>
        </is>
      </c>
      <c r="V2320" s="3">
        <v>46112.78107638889</v>
      </c>
      <c r="W2320" t="inlineStr">
        <is>
          <t>2026-Q1</t>
        </is>
      </c>
    </row>
    <row r="2321" ht="25.5" customHeight="1">
      <c r="A2321" t="inlineStr">
        <is>
          <t>黔忆丝 · 【迪哥同款】甜辣土豆丝贵州特产原切土豆休闲零食美味解馋薯条</t>
        </is>
      </c>
      <c r="B2321" t="inlineStr">
        <is>
          <t>recvcMzZj8xaEa.jpg</t>
        </is>
      </c>
      <c r="C2321" s="2" t="str">
        <f>=HYPERLINK("https://xhslink.com/m/4owNvb3HmV0", "https://xhslink.com/m/4owNvb3HmV0")</f>
        <v>https://xhslink.com/m/4owNvb3HmV0</v>
      </c>
      <c r="D2321"/>
      <c r="E2321">
        <v>27000</v>
      </c>
      <c r="F2321">
        <v>29.6</v>
      </c>
      <c r="G2321"/>
      <c r="H2321">
        <v>100</v>
      </c>
      <c r="I2321" t="inlineStr">
        <is>
          <t>辣零食</t>
        </is>
      </c>
      <c r="J2321" t="inlineStr">
        <is>
          <t>0.00</t>
        </is>
      </c>
      <c r="K2321" t="inlineStr">
        <is>
          <t>🔥低粉爆款</t>
        </is>
      </c>
      <c r="L2321" t="inlineStr">
        <is>
          <t>黔忆丝食品旗舰店</t>
        </is>
      </c>
      <c r="M2321">
        <v>4099</v>
      </c>
      <c r="N2321">
        <v>4.55</v>
      </c>
      <c r="O2321">
        <v>31000</v>
      </c>
      <c r="P2321" t="inlineStr">
        <is>
          <t>696f65039727930001f026e7</t>
        </is>
      </c>
      <c r="Q2321"/>
      <c r="R2321" t="inlineStr">
        <is>
          <t>14周</t>
        </is>
      </c>
      <c r="S2321" t="inlineStr">
        <is>
          <t>6.59</t>
        </is>
      </c>
      <c r="T2321" t="inlineStr">
        <is>
          <t>美食滋补</t>
        </is>
      </c>
      <c r="U2321" t="inlineStr">
        <is>
          <t>休闲零食</t>
        </is>
      </c>
      <c r="V2321" s="3">
        <v>46112.78107638889</v>
      </c>
      <c r="W2321" t="inlineStr">
        <is>
          <t>2026-Q1</t>
        </is>
      </c>
    </row>
    <row r="2322" ht="25.5" customHeight="1">
      <c r="A2322" t="inlineStr">
        <is>
          <t>陈阿炳 · 【厂家直发】香辣风干鸭翅中学生宿舍休闲150g追剧办公室解馋零食</t>
        </is>
      </c>
      <c r="B2322" t="inlineStr">
        <is>
          <t>recvcMzZj84cRr.jpg</t>
        </is>
      </c>
      <c r="C2322" s="2" t="str">
        <f>=HYPERLINK("https://xhslink.com/m/9Evu4Cgboeq", "https://xhslink.com/m/9Evu4Cgboeq")</f>
        <v>https://xhslink.com/m/9Evu4Cgboeq</v>
      </c>
      <c r="D2322"/>
      <c r="E2322">
        <v>27000</v>
      </c>
      <c r="F2322">
        <v>39.9</v>
      </c>
      <c r="G2322"/>
      <c r="H2322">
        <v>100</v>
      </c>
      <c r="I2322" t="inlineStr">
        <is>
          <t>辣零食</t>
        </is>
      </c>
      <c r="J2322" t="inlineStr">
        <is>
          <t>0.00</t>
        </is>
      </c>
      <c r="K2322"/>
      <c r="L2322" t="inlineStr">
        <is>
          <t>陈阿炳食品旗舰店</t>
        </is>
      </c>
      <c r="M2322">
        <v>35000</v>
      </c>
      <c r="N2322">
        <v>4.62</v>
      </c>
      <c r="O2322">
        <v>198000</v>
      </c>
      <c r="P2322" t="inlineStr">
        <is>
          <t>6746cc46ea10700001158cef</t>
        </is>
      </c>
      <c r="Q2322"/>
      <c r="R2322" t="inlineStr">
        <is>
          <t>14周</t>
        </is>
      </c>
      <c r="S2322" t="inlineStr">
        <is>
          <t>0.77</t>
        </is>
      </c>
      <c r="T2322" t="inlineStr">
        <is>
          <t>美食滋补</t>
        </is>
      </c>
      <c r="U2322" t="inlineStr">
        <is>
          <t>休闲零食</t>
        </is>
      </c>
      <c r="V2322" s="3">
        <v>46112.78107638889</v>
      </c>
      <c r="W2322" t="inlineStr">
        <is>
          <t>2026-Q1</t>
        </is>
      </c>
    </row>
    <row r="2323" ht="25.5" customHeight="1">
      <c r="A2323" t="inlineStr">
        <is>
          <t>【顺丰】风靡小红书！内蒙老赵爆品和牛脆脆 原切烘烤和牛薯片</t>
        </is>
      </c>
      <c r="B2323" t="inlineStr">
        <is>
          <t>recvcMzZj8RL1x.jpg</t>
        </is>
      </c>
      <c r="C2323" s="2" t="str">
        <f>=HYPERLINK("https://xhslink.com/m/2RPyfvOapkw", "https://xhslink.com/m/2RPyfvOapkw")</f>
        <v>https://xhslink.com/m/2RPyfvOapkw</v>
      </c>
      <c r="D2323"/>
      <c r="E2323">
        <v>76000</v>
      </c>
      <c r="F2323">
        <v>329</v>
      </c>
      <c r="G2323"/>
      <c r="H2323">
        <v>100</v>
      </c>
      <c r="I2323" t="inlineStr">
        <is>
          <t>食品零食</t>
        </is>
      </c>
      <c r="J2323" t="inlineStr">
        <is>
          <t>0.00</t>
        </is>
      </c>
      <c r="K2323"/>
      <c r="L2323" t="inlineStr">
        <is>
          <t>内蒙老赵的店</t>
        </is>
      </c>
      <c r="M2323">
        <v>111000</v>
      </c>
      <c r="N2323">
        <v>4.67</v>
      </c>
      <c r="O2323">
        <v>509000</v>
      </c>
      <c r="P2323" t="inlineStr">
        <is>
          <t>6816db62e375ae00012986cc</t>
        </is>
      </c>
      <c r="Q2323" t="inlineStr">
        <is>
          <t>🚫重复</t>
        </is>
      </c>
      <c r="R2323" t="inlineStr">
        <is>
          <t>14周</t>
        </is>
      </c>
      <c r="S2323" t="inlineStr">
        <is>
          <t>0.68</t>
        </is>
      </c>
      <c r="T2323" t="inlineStr">
        <is>
          <t>美食滋补</t>
        </is>
      </c>
      <c r="U2323" t="inlineStr">
        <is>
          <t>休闲零食</t>
        </is>
      </c>
      <c r="V2323" s="3">
        <v>46112.78107638889</v>
      </c>
      <c r="W2323" t="inlineStr">
        <is>
          <t>2026-Q1</t>
        </is>
      </c>
    </row>
    <row r="2324" ht="25.5" customHeight="1">
      <c r="A2324" t="inlineStr">
        <is>
          <t>碳烤八风干纯瘦牛肉干（无添加、非油炸）</t>
        </is>
      </c>
      <c r="B2324" t="inlineStr">
        <is>
          <t>recvcMzZj8ELGC.jpg</t>
        </is>
      </c>
      <c r="C2324" s="2" t="str">
        <f>=HYPERLINK("https://xhslink.com/m/4vxkOheh5Xh", "https://xhslink.com/m/4vxkOheh5Xh")</f>
        <v>https://xhslink.com/m/4vxkOheh5Xh</v>
      </c>
      <c r="D2324"/>
      <c r="E2324">
        <v>121000</v>
      </c>
      <c r="F2324">
        <v>139.9</v>
      </c>
      <c r="G2324"/>
      <c r="H2324">
        <v>100</v>
      </c>
      <c r="I2324" t="inlineStr">
        <is>
          <t>牛肉干</t>
        </is>
      </c>
      <c r="J2324" t="inlineStr">
        <is>
          <t>0.00</t>
        </is>
      </c>
      <c r="K2324" t="inlineStr">
        <is>
          <t>🔥低粉爆款</t>
        </is>
      </c>
      <c r="L2324" t="inlineStr">
        <is>
          <t>97只做现烤牛肉干的店</t>
        </is>
      </c>
      <c r="M2324">
        <v>10000</v>
      </c>
      <c r="N2324">
        <v>4.63</v>
      </c>
      <c r="O2324">
        <v>159000</v>
      </c>
      <c r="P2324" t="inlineStr">
        <is>
          <t>66e41f8d6caced000145af90</t>
        </is>
      </c>
      <c r="Q2324" t="inlineStr">
        <is>
          <t>🚫重复</t>
        </is>
      </c>
      <c r="R2324" t="inlineStr">
        <is>
          <t>14周</t>
        </is>
      </c>
      <c r="S2324" t="inlineStr">
        <is>
          <t>12.10</t>
        </is>
      </c>
      <c r="T2324" t="inlineStr">
        <is>
          <t>美食滋补</t>
        </is>
      </c>
      <c r="U2324" t="inlineStr">
        <is>
          <t>休闲零食</t>
        </is>
      </c>
      <c r="V2324" s="3">
        <v>46112.78107638889</v>
      </c>
      <c r="W2324" t="inlineStr">
        <is>
          <t>2026-Q1</t>
        </is>
      </c>
    </row>
    <row r="2325" ht="25.5" customHeight="1">
      <c r="A2325" t="inlineStr">
        <is>
          <t>干肥牛肉干   散装发货！不能吃肥的慎拍（不退换）</t>
        </is>
      </c>
      <c r="B2325" t="inlineStr">
        <is>
          <t>recvcMzZj8FBAe.jpg</t>
        </is>
      </c>
      <c r="C2325" s="2" t="str">
        <f>=HYPERLINK("https://xhslink.com/m/3HqdmnVpTQ", "https://xhslink.com/m/3HqdmnVpTQ")</f>
        <v>https://xhslink.com/m/3HqdmnVpTQ</v>
      </c>
      <c r="D2325"/>
      <c r="E2325">
        <v>14000</v>
      </c>
      <c r="F2325">
        <v>178</v>
      </c>
      <c r="G2325"/>
      <c r="H2325">
        <v>100</v>
      </c>
      <c r="I2325" t="inlineStr">
        <is>
          <t>牛肉干</t>
        </is>
      </c>
      <c r="J2325" t="inlineStr">
        <is>
          <t>0.01</t>
        </is>
      </c>
      <c r="K2325" t="inlineStr">
        <is>
          <t>🔥低粉爆款</t>
        </is>
      </c>
      <c r="L2325" t="inlineStr">
        <is>
          <t>白芳风干碳烤牛肉干店的店</t>
        </is>
      </c>
      <c r="M2325">
        <v>3913</v>
      </c>
      <c r="N2325">
        <v>4.65</v>
      </c>
      <c r="O2325">
        <v>32000</v>
      </c>
      <c r="P2325" t="inlineStr">
        <is>
          <t>676024a76e529e0001648730</t>
        </is>
      </c>
      <c r="Q2325" t="inlineStr">
        <is>
          <t>🚫重复</t>
        </is>
      </c>
      <c r="R2325" t="inlineStr">
        <is>
          <t>14周</t>
        </is>
      </c>
      <c r="S2325" t="inlineStr">
        <is>
          <t>3.58</t>
        </is>
      </c>
      <c r="T2325" t="inlineStr">
        <is>
          <t>美食滋补</t>
        </is>
      </c>
      <c r="U2325" t="inlineStr">
        <is>
          <t>休闲零食</t>
        </is>
      </c>
      <c r="V2325" s="3">
        <v>46112.78107638889</v>
      </c>
      <c r="W2325" t="inlineStr">
        <is>
          <t>2026-Q1</t>
        </is>
      </c>
    </row>
    <row r="2326" ht="25.5" customHeight="1">
      <c r="A2326" t="inlineStr">
        <is>
          <t>超细牛肉干《不是脆的散装发货》不支持退换</t>
        </is>
      </c>
      <c r="B2326" t="inlineStr">
        <is>
          <t>recvcMzZj8yhTT.jpg</t>
        </is>
      </c>
      <c r="C2326" s="2" t="str">
        <f>=HYPERLINK("https://xhslink.com/m/39AqZQofbVJ", "https://xhslink.com/m/39AqZQofbVJ")</f>
        <v>https://xhslink.com/m/39AqZQofbVJ</v>
      </c>
      <c r="D2326"/>
      <c r="E2326">
        <v>5298</v>
      </c>
      <c r="F2326">
        <v>178</v>
      </c>
      <c r="G2326"/>
      <c r="H2326">
        <v>100</v>
      </c>
      <c r="I2326" t="inlineStr">
        <is>
          <t>牛肉干</t>
        </is>
      </c>
      <c r="J2326" t="inlineStr">
        <is>
          <t>0.02</t>
        </is>
      </c>
      <c r="K2326"/>
      <c r="L2326" t="inlineStr">
        <is>
          <t>白芳风干碳烤牛肉干店的店</t>
        </is>
      </c>
      <c r="M2326">
        <v>3913</v>
      </c>
      <c r="N2326">
        <v>4.65</v>
      </c>
      <c r="O2326">
        <v>32000</v>
      </c>
      <c r="P2326" t="inlineStr">
        <is>
          <t>653b29970d626a0001eb2669</t>
        </is>
      </c>
      <c r="Q2326" t="inlineStr">
        <is>
          <t>🚫重复</t>
        </is>
      </c>
      <c r="R2326" t="inlineStr">
        <is>
          <t>14周</t>
        </is>
      </c>
      <c r="S2326" t="inlineStr">
        <is>
          <t>1.35</t>
        </is>
      </c>
      <c r="T2326" t="inlineStr">
        <is>
          <t>美食滋补</t>
        </is>
      </c>
      <c r="U2326" t="inlineStr">
        <is>
          <t>休闲零食</t>
        </is>
      </c>
      <c r="V2326" s="3">
        <v>46112.78107638889</v>
      </c>
      <c r="W2326" t="inlineStr">
        <is>
          <t>2026-Q1</t>
        </is>
      </c>
    </row>
    <row r="2327" ht="25.5" customHeight="1">
      <c r="A2327" t="inlineStr">
        <is>
          <t>农夫山庄 · 日式水泡饼200g早餐泡牛奶麦香休闲怀旧童年零食潮汕特产代餐饼干</t>
        </is>
      </c>
      <c r="B2327" t="inlineStr">
        <is>
          <t>recvcXQv4ICiqD.jpg</t>
        </is>
      </c>
      <c r="C2327" s="2" t="str">
        <f>=HYPERLINK("https://xhslink.com/m/9BChR7He8HN", "https://xhslink.com/m/9BChR7He8HN")</f>
        <v>https://xhslink.com/m/9BChR7He8HN</v>
      </c>
      <c r="D2327"/>
      <c r="E2327">
        <v>9572</v>
      </c>
      <c r="F2327">
        <v>9.9</v>
      </c>
      <c r="G2327"/>
      <c r="H2327">
        <v>100</v>
      </c>
      <c r="I2327" t="inlineStr">
        <is>
          <t>食品零食</t>
        </is>
      </c>
      <c r="J2327" t="inlineStr">
        <is>
          <t>0.01</t>
        </is>
      </c>
      <c r="K2327"/>
      <c r="L2327" t="inlineStr">
        <is>
          <t>农夫山庄旗舰店</t>
        </is>
      </c>
      <c r="M2327">
        <v>26000</v>
      </c>
      <c r="N2327">
        <v>4.59</v>
      </c>
      <c r="O2327">
        <v>11000</v>
      </c>
      <c r="P2327" t="inlineStr">
        <is>
          <t>67b94591f2389c00017ed965</t>
        </is>
      </c>
      <c r="Q2327" t="inlineStr">
        <is>
          <t>🚫重复</t>
        </is>
      </c>
      <c r="R2327" t="inlineStr">
        <is>
          <t>14周</t>
        </is>
      </c>
      <c r="S2327" t="inlineStr">
        <is>
          <t>0.37</t>
        </is>
      </c>
      <c r="T2327" t="inlineStr">
        <is>
          <t>美食滋补</t>
        </is>
      </c>
      <c r="U2327" t="inlineStr">
        <is>
          <t>休闲零食</t>
        </is>
      </c>
      <c r="V2327" s="3">
        <v>46112.78107638889</v>
      </c>
      <c r="W2327" t="inlineStr">
        <is>
          <t>2026-Q1</t>
        </is>
      </c>
    </row>
    <row r="2328" ht="25.5" customHeight="1">
      <c r="A2328" t="inlineStr">
        <is>
          <t>《定制款》1斤山东即食手工阿胶糕送礼盒装官方旗舰东阿阿胶糕</t>
        </is>
      </c>
      <c r="B2328" t="inlineStr">
        <is>
          <t>recvcXQv4IXJ9k.jpg</t>
        </is>
      </c>
      <c r="C2328" s="2" t="str">
        <f>=HYPERLINK("https://xhslink.com/m/88vrILDtMvo", "https://xhslink.com/m/88vrILDtMvo")</f>
        <v>https://xhslink.com/m/88vrILDtMvo</v>
      </c>
      <c r="D2328"/>
      <c r="E2328">
        <v>20000</v>
      </c>
      <c r="F2328">
        <v>99</v>
      </c>
      <c r="G2328"/>
      <c r="H2328">
        <v>100</v>
      </c>
      <c r="I2328" t="inlineStr">
        <is>
          <t>养生零食</t>
        </is>
      </c>
      <c r="J2328" t="inlineStr">
        <is>
          <t>0.01</t>
        </is>
      </c>
      <c r="K2328"/>
      <c r="L2328" t="inlineStr">
        <is>
          <t>东阿县婷婷家阿胶糕的店</t>
        </is>
      </c>
      <c r="M2328">
        <v>14000</v>
      </c>
      <c r="N2328">
        <v>4.64</v>
      </c>
      <c r="O2328">
        <v>126000</v>
      </c>
      <c r="P2328" t="inlineStr">
        <is>
          <t>64cb1b5fee1bd700013878d0</t>
        </is>
      </c>
      <c r="Q2328"/>
      <c r="R2328" t="inlineStr">
        <is>
          <t>14周</t>
        </is>
      </c>
      <c r="S2328" t="inlineStr">
        <is>
          <t>1.43</t>
        </is>
      </c>
      <c r="T2328" t="inlineStr">
        <is>
          <t>美食滋补</t>
        </is>
      </c>
      <c r="U2328" t="inlineStr">
        <is>
          <t>营养滋补</t>
        </is>
      </c>
      <c r="V2328" s="3">
        <v>46112.78107638889</v>
      </c>
      <c r="W2328" t="inlineStr">
        <is>
          <t>2026-Q1</t>
        </is>
      </c>
    </row>
    <row r="2329" ht="25.5" customHeight="1">
      <c r="A2329" t="inlineStr">
        <is>
          <t>超细牛肉干《不是脆的散装发货》不支持退换</t>
        </is>
      </c>
      <c r="B2329" t="inlineStr">
        <is>
          <t>recvcXQv4IT8V9.jpg</t>
        </is>
      </c>
      <c r="C2329" s="2" t="str">
        <f>=HYPERLINK("https://xhslink.com/m/88TJRdAuxPy", "https://xhslink.com/m/88TJRdAuxPy")</f>
        <v>https://xhslink.com/m/88TJRdAuxPy</v>
      </c>
      <c r="D2329"/>
      <c r="E2329">
        <v>5303</v>
      </c>
      <c r="F2329">
        <v>178</v>
      </c>
      <c r="G2329"/>
      <c r="H2329">
        <v>100</v>
      </c>
      <c r="I2329" t="inlineStr">
        <is>
          <t>香辣零食</t>
        </is>
      </c>
      <c r="J2329" t="inlineStr">
        <is>
          <t>0.02</t>
        </is>
      </c>
      <c r="K2329"/>
      <c r="L2329" t="inlineStr">
        <is>
          <t>白芳风干碳烤牛肉干店的店</t>
        </is>
      </c>
      <c r="M2329">
        <v>3934</v>
      </c>
      <c r="N2329">
        <v>4.65</v>
      </c>
      <c r="O2329">
        <v>32000</v>
      </c>
      <c r="P2329" t="inlineStr">
        <is>
          <t>6747c5a849ec9e0001345b9c</t>
        </is>
      </c>
      <c r="Q2329" t="inlineStr">
        <is>
          <t>🚫重复</t>
        </is>
      </c>
      <c r="R2329" t="inlineStr">
        <is>
          <t>14周</t>
        </is>
      </c>
      <c r="S2329" t="inlineStr">
        <is>
          <t>1.35</t>
        </is>
      </c>
      <c r="T2329" t="inlineStr">
        <is>
          <t>美食滋补</t>
        </is>
      </c>
      <c r="U2329" t="inlineStr">
        <is>
          <t>休闲零食</t>
        </is>
      </c>
      <c r="V2329" s="3">
        <v>46112.78107638889</v>
      </c>
      <c r="W2329" t="inlineStr">
        <is>
          <t>2026-Q1</t>
        </is>
      </c>
    </row>
    <row r="2330" ht="25.5" customHeight="1">
      <c r="A2330" t="inlineStr">
        <is>
          <t>巨酸酸梅条无核即食青梅条酸甜开胃休闲解馋零食</t>
        </is>
      </c>
      <c r="B2330" t="inlineStr">
        <is>
          <t>recvcXQv4Ie3k6.jpg</t>
        </is>
      </c>
      <c r="C2330" s="2" t="str">
        <f>=HYPERLINK("https://xhslink.com/m/24GVCHuZdkR", "https://xhslink.com/m/24GVCHuZdkR")</f>
        <v>https://xhslink.com/m/24GVCHuZdkR</v>
      </c>
      <c r="D2330"/>
      <c r="E2330">
        <v>58000</v>
      </c>
      <c r="F2330">
        <v>5.9</v>
      </c>
      <c r="G2330"/>
      <c r="H2330">
        <v>100</v>
      </c>
      <c r="I2330" t="inlineStr">
        <is>
          <t>便宜零食</t>
        </is>
      </c>
      <c r="J2330" t="inlineStr">
        <is>
          <t>0.00</t>
        </is>
      </c>
      <c r="K2330"/>
      <c r="L2330" t="inlineStr">
        <is>
          <t>柚柚减脂食记的店</t>
        </is>
      </c>
      <c r="M2330">
        <v>51000</v>
      </c>
      <c r="N2330">
        <v>4.42</v>
      </c>
      <c r="O2330">
        <v>96000</v>
      </c>
      <c r="P2330" t="inlineStr">
        <is>
          <t>682d6cdae0db0d0015cfc544</t>
        </is>
      </c>
      <c r="Q2330"/>
      <c r="R2330" t="inlineStr">
        <is>
          <t>14周</t>
        </is>
      </c>
      <c r="S2330" t="inlineStr">
        <is>
          <t>1.14</t>
        </is>
      </c>
      <c r="T2330" t="inlineStr">
        <is>
          <t>美食滋补</t>
        </is>
      </c>
      <c r="U2330" t="inlineStr">
        <is>
          <t>休闲零食</t>
        </is>
      </c>
      <c r="V2330" s="3">
        <v>46112.78107638889</v>
      </c>
      <c r="W2330" t="inlineStr">
        <is>
          <t>2026-Q1</t>
        </is>
      </c>
    </row>
    <row r="2331" ht="25.5" customHeight="1">
      <c r="A2331" t="inlineStr">
        <is>
          <t>25年FW~小软壳甜筒包~轻量化防水双肩包户外旅行通勤背包</t>
        </is>
      </c>
      <c r="B2331" t="inlineStr">
        <is>
          <t>recvd6YlGVT9TQ.jpg</t>
        </is>
      </c>
      <c r="C2331" s="2" t="str">
        <f>=HYPERLINK("https://xhslink.com/m/2UmctjTP7Kw", "https://xhslink.com/m/2UmctjTP7Kw")</f>
        <v>https://xhslink.com/m/2UmctjTP7Kw</v>
      </c>
      <c r="D2331"/>
      <c r="E2331">
        <v>1532</v>
      </c>
      <c r="F2331">
        <v>159</v>
      </c>
      <c r="G2331"/>
      <c r="H2331">
        <v>100</v>
      </c>
      <c r="I2331" t="inlineStr">
        <is>
          <t>双肩包</t>
        </is>
      </c>
      <c r="J2331" t="inlineStr">
        <is>
          <t>0.07</t>
        </is>
      </c>
      <c r="K2331"/>
      <c r="L2331" t="inlineStr">
        <is>
          <t>河马超人的店</t>
        </is>
      </c>
      <c r="M2331">
        <v>649</v>
      </c>
      <c r="N2331">
        <v>4.51</v>
      </c>
      <c r="O2331">
        <v>4286</v>
      </c>
      <c r="P2331" t="inlineStr">
        <is>
          <t>689aad5fb79a56000193cc1d</t>
        </is>
      </c>
      <c r="Q2331"/>
      <c r="R2331" t="inlineStr">
        <is>
          <t>14周</t>
        </is>
      </c>
      <c r="S2331" t="inlineStr">
        <is>
          <t>2.36</t>
        </is>
      </c>
      <c r="T2331" t="inlineStr">
        <is>
          <t>服饰穿搭</t>
        </is>
      </c>
      <c r="U2331" t="inlineStr">
        <is>
          <t>鞋靴箱包</t>
        </is>
      </c>
      <c r="V2331" s="3">
        <v>46112.78107638889</v>
      </c>
      <c r="W2331" t="inlineStr">
        <is>
          <t>2026-Q1</t>
        </is>
      </c>
    </row>
    <row r="2332" ht="25.5" customHeight="1">
      <c r="A2332" t="inlineStr">
        <is>
          <t>张张包早秋新款可爱小猫托特包1585</t>
        </is>
      </c>
      <c r="B2332" t="inlineStr">
        <is>
          <t>recvd6YlGV2dLl.jpg</t>
        </is>
      </c>
      <c r="C2332" s="2" t="str">
        <f>=HYPERLINK("https://xhslink.com/m/57EvBchODA4", "https://xhslink.com/m/57EvBchODA4")</f>
        <v>https://xhslink.com/m/57EvBchODA4</v>
      </c>
      <c r="D2332"/>
      <c r="E2332">
        <v>1446</v>
      </c>
      <c r="F2332">
        <v>59.9</v>
      </c>
      <c r="G2332"/>
      <c r="H2332">
        <v>100</v>
      </c>
      <c r="I2332" t="inlineStr">
        <is>
          <t>托特包</t>
        </is>
      </c>
      <c r="J2332" t="inlineStr">
        <is>
          <t>0.07</t>
        </is>
      </c>
      <c r="K2332"/>
      <c r="L2332" t="inlineStr">
        <is>
          <t>来个张张包的店</t>
        </is>
      </c>
      <c r="M2332">
        <v>135000</v>
      </c>
      <c r="N2332">
        <v>4.5</v>
      </c>
      <c r="O2332">
        <v>129000</v>
      </c>
      <c r="P2332" t="inlineStr">
        <is>
          <t>68d2a7053339ff00019a9ba4</t>
        </is>
      </c>
      <c r="Q2332" t="inlineStr">
        <is>
          <t>🚫重复</t>
        </is>
      </c>
      <c r="R2332" t="inlineStr">
        <is>
          <t>14周</t>
        </is>
      </c>
      <c r="S2332" t="inlineStr">
        <is>
          <t>0.01</t>
        </is>
      </c>
      <c r="T2332" t="inlineStr">
        <is>
          <t>服饰穿搭</t>
        </is>
      </c>
      <c r="U2332" t="inlineStr">
        <is>
          <t>鞋靴箱包</t>
        </is>
      </c>
      <c r="V2332" s="3">
        <v>46112.78107638889</v>
      </c>
      <c r="W2332" t="inlineStr">
        <is>
          <t>2026-Q1</t>
        </is>
      </c>
    </row>
    <row r="2333" ht="25.5" customHeight="1">
      <c r="A2333" t="inlineStr">
        <is>
          <t>没得说 金蕾丝镂空修身抹胸吊带长裙</t>
        </is>
      </c>
      <c r="B2333" t="inlineStr">
        <is>
          <t>recvd6YlGV0PQc.jpg</t>
        </is>
      </c>
      <c r="C2333" s="2" t="str">
        <f>=HYPERLINK("https://xhslink.com/m/8aHzNh7y1NK", "https://xhslink.com/m/8aHzNh7y1NK")</f>
        <v>https://xhslink.com/m/8aHzNh7y1NK</v>
      </c>
      <c r="D2333"/>
      <c r="E2333">
        <v>10000</v>
      </c>
      <c r="F2333">
        <v>299</v>
      </c>
      <c r="G2333"/>
      <c r="H2333">
        <v>100</v>
      </c>
      <c r="I2333" t="inlineStr">
        <is>
          <t>蕾丝连衣裙</t>
        </is>
      </c>
      <c r="J2333" t="inlineStr">
        <is>
          <t>0.01</t>
        </is>
      </c>
      <c r="K2333"/>
      <c r="L2333" t="inlineStr">
        <is>
          <t>没得说的店</t>
        </is>
      </c>
      <c r="M2333">
        <v>42000</v>
      </c>
      <c r="N2333">
        <v>4.53</v>
      </c>
      <c r="O2333">
        <v>44000</v>
      </c>
      <c r="P2333" t="inlineStr">
        <is>
          <t>68f637803f37a90001be37b4</t>
        </is>
      </c>
      <c r="Q2333" t="inlineStr">
        <is>
          <t>🚫重复</t>
        </is>
      </c>
      <c r="R2333" t="inlineStr">
        <is>
          <t>14周</t>
        </is>
      </c>
      <c r="S2333" t="inlineStr">
        <is>
          <t>0.24</t>
        </is>
      </c>
      <c r="T2333" t="inlineStr">
        <is>
          <t>服饰穿搭</t>
        </is>
      </c>
      <c r="U2333" t="inlineStr">
        <is>
          <t>女装</t>
        </is>
      </c>
      <c r="V2333" s="3">
        <v>46112.78107638889</v>
      </c>
      <c r="W2333" t="inlineStr">
        <is>
          <t>2026-Q1</t>
        </is>
      </c>
    </row>
    <row r="2334" ht="25.5" customHeight="1">
      <c r="A2334" t="inlineStr">
        <is>
          <t>【微喇牛仔裤】提臀高端美式浅深蓝版型好修身瘦腿喇叭裤子休闲</t>
        </is>
      </c>
      <c r="B2334" t="inlineStr">
        <is>
          <t>recvd6YlGVJtWu.jpg</t>
        </is>
      </c>
      <c r="C2334" s="2" t="str">
        <f>=HYPERLINK("https://xhslink.com/m/7KKBAd6PcXS", "https://xhslink.com/m/7KKBAd6PcXS")</f>
        <v>https://xhslink.com/m/7KKBAd6PcXS</v>
      </c>
      <c r="D2334"/>
      <c r="E2334">
        <v>12000</v>
      </c>
      <c r="F2334">
        <v>288</v>
      </c>
      <c r="G2334"/>
      <c r="H2334">
        <v>100</v>
      </c>
      <c r="I2334" t="inlineStr">
        <is>
          <t>修身牛仔裤</t>
        </is>
      </c>
      <c r="J2334" t="inlineStr">
        <is>
          <t>0.01</t>
        </is>
      </c>
      <c r="K2334" t="inlineStr">
        <is>
          <t>🔥低粉爆款</t>
        </is>
      </c>
      <c r="L2334" t="inlineStr">
        <is>
          <t>泡儿的店</t>
        </is>
      </c>
      <c r="M2334">
        <v>3441</v>
      </c>
      <c r="N2334">
        <v>4.58</v>
      </c>
      <c r="O2334">
        <v>34000</v>
      </c>
      <c r="P2334" t="inlineStr">
        <is>
          <t>673f0e20c14a2d0001ff52a3</t>
        </is>
      </c>
      <c r="Q2334" t="inlineStr">
        <is>
          <t>🚫重复</t>
        </is>
      </c>
      <c r="R2334" t="inlineStr">
        <is>
          <t>14周</t>
        </is>
      </c>
      <c r="S2334" t="inlineStr">
        <is>
          <t>3.49</t>
        </is>
      </c>
      <c r="T2334" t="inlineStr">
        <is>
          <t>服饰穿搭</t>
        </is>
      </c>
      <c r="U2334" t="inlineStr">
        <is>
          <t>女装</t>
        </is>
      </c>
      <c r="V2334" s="3">
        <v>46112.78107638889</v>
      </c>
      <c r="W2334" t="inlineStr">
        <is>
          <t>2026-Q1</t>
        </is>
      </c>
    </row>
    <row r="2335" ht="25.5" customHeight="1">
      <c r="A2335" t="inlineStr">
        <is>
          <t>【女团打造】原创自由式丰胯 无敌辣妹低腰微喇牛仔裤</t>
        </is>
      </c>
      <c r="B2335" t="inlineStr">
        <is>
          <t>recvd6YlGV88k7.jpg</t>
        </is>
      </c>
      <c r="C2335" s="2" t="str">
        <f>=HYPERLINK("https://xhslink.com/m/6hfCSbEzW8m", "https://xhslink.com/m/6hfCSbEzW8m")</f>
        <v>https://xhslink.com/m/6hfCSbEzW8m</v>
      </c>
      <c r="D2335"/>
      <c r="E2335">
        <v>10000</v>
      </c>
      <c r="F2335">
        <v>199</v>
      </c>
      <c r="G2335"/>
      <c r="H2335">
        <v>100</v>
      </c>
      <c r="I2335" t="inlineStr">
        <is>
          <t>低腰牛仔裤</t>
        </is>
      </c>
      <c r="J2335" t="inlineStr">
        <is>
          <t>0.01</t>
        </is>
      </c>
      <c r="K2335"/>
      <c r="L2335" t="inlineStr">
        <is>
          <t>行行好Haveaheart的店</t>
        </is>
      </c>
      <c r="M2335">
        <v>70000</v>
      </c>
      <c r="N2335">
        <v>4.64</v>
      </c>
      <c r="O2335">
        <v>78000</v>
      </c>
      <c r="P2335" t="inlineStr">
        <is>
          <t>66ea9929280d740001667fa1</t>
        </is>
      </c>
      <c r="Q2335" t="inlineStr">
        <is>
          <t>🚫重复</t>
        </is>
      </c>
      <c r="R2335" t="inlineStr">
        <is>
          <t>14周</t>
        </is>
      </c>
      <c r="S2335" t="inlineStr">
        <is>
          <t>0.14</t>
        </is>
      </c>
      <c r="T2335" t="inlineStr">
        <is>
          <t>服饰穿搭</t>
        </is>
      </c>
      <c r="U2335" t="inlineStr">
        <is>
          <t>女装</t>
        </is>
      </c>
      <c r="V2335" s="3">
        <v>46112.78107638889</v>
      </c>
      <c r="W2335" t="inlineStr">
        <is>
          <t>2026-Q1</t>
        </is>
      </c>
    </row>
    <row r="2336" ht="25.5" customHeight="1">
      <c r="A2336" t="inlineStr">
        <is>
          <t>Luuu7 丰胯系列｜低腰黑灰色丰胯微喇裤9045提臀显瘦直腿神裤</t>
        </is>
      </c>
      <c r="B2336" t="inlineStr">
        <is>
          <t>recvd6YlGVbEn4.jpg</t>
        </is>
      </c>
      <c r="C2336" s="2" t="str">
        <f>=HYPERLINK("https://xhslink.com/m/9uI0fZlFzBF", "https://xhslink.com/m/9uI0fZlFzBF")</f>
        <v>https://xhslink.com/m/9uI0fZlFzBF</v>
      </c>
      <c r="D2336"/>
      <c r="E2336">
        <v>4545</v>
      </c>
      <c r="F2336">
        <v>119</v>
      </c>
      <c r="G2336"/>
      <c r="H2336">
        <v>100</v>
      </c>
      <c r="I2336" t="inlineStr">
        <is>
          <t>低腰牛仔裤</t>
        </is>
      </c>
      <c r="J2336" t="inlineStr">
        <is>
          <t>0.02</t>
        </is>
      </c>
      <c r="K2336"/>
      <c r="L2336" t="inlineStr">
        <is>
          <t>67不吃辣的店</t>
        </is>
      </c>
      <c r="M2336">
        <v>27000</v>
      </c>
      <c r="N2336">
        <v>4.64</v>
      </c>
      <c r="O2336">
        <v>144000</v>
      </c>
      <c r="P2336" t="inlineStr">
        <is>
          <t>67d52772bb9b9d00017eab7d</t>
        </is>
      </c>
      <c r="Q2336" t="inlineStr">
        <is>
          <t>🚫重复</t>
        </is>
      </c>
      <c r="R2336" t="inlineStr">
        <is>
          <t>14周</t>
        </is>
      </c>
      <c r="S2336" t="inlineStr">
        <is>
          <t>0.17</t>
        </is>
      </c>
      <c r="T2336" t="inlineStr">
        <is>
          <t>服饰穿搭</t>
        </is>
      </c>
      <c r="U2336" t="inlineStr">
        <is>
          <t>女装</t>
        </is>
      </c>
      <c r="V2336" s="3">
        <v>46112.78107638889</v>
      </c>
      <c r="W2336" t="inlineStr">
        <is>
          <t>2026-Q1</t>
        </is>
      </c>
    </row>
    <row r="2337" ht="25.5" customHeight="1">
      <c r="A2337" t="inlineStr">
        <is>
          <t>【收腰衬衫】辣妹收腰弹力衬衫JK漫画女主修身衬衫</t>
        </is>
      </c>
      <c r="B2337" t="inlineStr">
        <is>
          <t>recvd6YlGVcGX7.jpg</t>
        </is>
      </c>
      <c r="C2337" s="2" t="str">
        <f>=HYPERLINK("https://xhslink.com/m/3314xms253u", "https://xhslink.com/m/3314xms253u")</f>
        <v>https://xhslink.com/m/3314xms253u</v>
      </c>
      <c r="D2337"/>
      <c r="E2337">
        <v>13000</v>
      </c>
      <c r="F2337">
        <v>94</v>
      </c>
      <c r="G2337"/>
      <c r="H2337">
        <v>100</v>
      </c>
      <c r="I2337" t="inlineStr">
        <is>
          <t>修身衬衫</t>
        </is>
      </c>
      <c r="J2337" t="inlineStr">
        <is>
          <t>0.01</t>
        </is>
      </c>
      <c r="K2337"/>
      <c r="L2337" t="inlineStr">
        <is>
          <t>没烦恼自贩屋的店</t>
        </is>
      </c>
      <c r="M2337">
        <v>6292</v>
      </c>
      <c r="N2337">
        <v>4.56</v>
      </c>
      <c r="O2337">
        <v>22000</v>
      </c>
      <c r="P2337" t="inlineStr">
        <is>
          <t>68fbc25904ab190001a63270</t>
        </is>
      </c>
      <c r="Q2337"/>
      <c r="R2337" t="inlineStr">
        <is>
          <t>14周</t>
        </is>
      </c>
      <c r="S2337" t="inlineStr">
        <is>
          <t>2.07</t>
        </is>
      </c>
      <c r="T2337" t="inlineStr">
        <is>
          <t>服饰穿搭</t>
        </is>
      </c>
      <c r="U2337" t="inlineStr">
        <is>
          <t>女装</t>
        </is>
      </c>
      <c r="V2337" s="3">
        <v>46112.78107638889</v>
      </c>
      <c r="W2337" t="inlineStr">
        <is>
          <t>2026-Q1</t>
        </is>
      </c>
    </row>
    <row r="2338" ht="25.5" customHeight="1">
      <c r="A2338" t="inlineStr">
        <is>
          <t>3AM HAIR SALON · 【西瓜冰】纯手工穿戴甲“不同光线不同效果”（魔镜粉易磨损）</t>
        </is>
      </c>
      <c r="B2338" t="inlineStr">
        <is>
          <t>recvd6YlGVAjhu.jpg</t>
        </is>
      </c>
      <c r="C2338" s="2" t="str">
        <f>=HYPERLINK("https://xhslink.com/m/BChiSnOeJj", "https://xhslink.com/m/BChiSnOeJj")</f>
        <v>https://xhslink.com/m/BChiSnOeJj</v>
      </c>
      <c r="D2338"/>
      <c r="E2338">
        <v>17000</v>
      </c>
      <c r="F2338">
        <v>26.99</v>
      </c>
      <c r="G2338"/>
      <c r="H2338">
        <v>100</v>
      </c>
      <c r="I2338" t="inlineStr">
        <is>
          <t>穿戴甲</t>
        </is>
      </c>
      <c r="J2338" t="inlineStr">
        <is>
          <t>0.01</t>
        </is>
      </c>
      <c r="K2338"/>
      <c r="L2338" t="inlineStr">
        <is>
          <t>癫姐手工穿戴甲的店</t>
        </is>
      </c>
      <c r="M2338">
        <v>13000</v>
      </c>
      <c r="N2338">
        <v>4.39</v>
      </c>
      <c r="O2338">
        <v>40000</v>
      </c>
      <c r="P2338" t="inlineStr">
        <is>
          <t>67cc305b29b9f70001300189</t>
        </is>
      </c>
      <c r="Q2338" t="inlineStr">
        <is>
          <t>🚫重复</t>
        </is>
      </c>
      <c r="R2338" t="inlineStr">
        <is>
          <t>14周</t>
        </is>
      </c>
      <c r="S2338" t="inlineStr">
        <is>
          <t>1.31</t>
        </is>
      </c>
      <c r="T2338" t="inlineStr">
        <is>
          <t>美妆个护</t>
        </is>
      </c>
      <c r="U2338" t="inlineStr">
        <is>
          <t>护肤彩妆</t>
        </is>
      </c>
      <c r="V2338" s="3">
        <v>46112.78107638889</v>
      </c>
      <c r="W2338" t="inlineStr">
        <is>
          <t>2026-Q1</t>
        </is>
      </c>
    </row>
    <row r="2339" ht="25.5" customHeight="1">
      <c r="A2339" t="inlineStr">
        <is>
          <t>3E · 【星辰大海】纯手绘山水画满天星辰设计师独特爆款熙熙穿戴甲10片</t>
        </is>
      </c>
      <c r="B2339" t="inlineStr">
        <is>
          <t>recvd6YlGV9vgV.jpg</t>
        </is>
      </c>
      <c r="C2339" s="2" t="str">
        <f>=HYPERLINK("https://xhslink.com/m/7fm5JVBMWQ4", "https://xhslink.com/m/7fm5JVBMWQ4")</f>
        <v>https://xhslink.com/m/7fm5JVBMWQ4</v>
      </c>
      <c r="D2339"/>
      <c r="E2339">
        <v>941</v>
      </c>
      <c r="F2339">
        <v>79.9</v>
      </c>
      <c r="G2339"/>
      <c r="H2339">
        <v>100</v>
      </c>
      <c r="I2339" t="inlineStr">
        <is>
          <t>穿戴甲</t>
        </is>
      </c>
      <c r="J2339" t="inlineStr">
        <is>
          <t>0.11</t>
        </is>
      </c>
      <c r="K2339"/>
      <c r="L2339" t="inlineStr">
        <is>
          <t>熙熙手工穿戴甲的店</t>
        </is>
      </c>
      <c r="M2339">
        <v>87000</v>
      </c>
      <c r="N2339">
        <v>4.64</v>
      </c>
      <c r="O2339">
        <v>77000</v>
      </c>
      <c r="P2339" t="inlineStr">
        <is>
          <t>68b0822d0c85cc00019ef812</t>
        </is>
      </c>
      <c r="Q2339"/>
      <c r="R2339" t="inlineStr">
        <is>
          <t>14周</t>
        </is>
      </c>
      <c r="S2339" t="inlineStr">
        <is>
          <t>0.01</t>
        </is>
      </c>
      <c r="T2339" t="inlineStr">
        <is>
          <t>美妆个护</t>
        </is>
      </c>
      <c r="U2339" t="inlineStr">
        <is>
          <t>护肤彩妆</t>
        </is>
      </c>
      <c r="V2339" s="3">
        <v>46112.78107638889</v>
      </c>
      <c r="W2339" t="inlineStr">
        <is>
          <t>2026-Q1</t>
        </is>
      </c>
    </row>
    <row r="2340" ht="25.5" customHeight="1">
      <c r="A2340" t="inlineStr">
        <is>
          <t>美式复古连帽卫衣女春秋设计感拉链正肩显瘦休闲运动开衫外套</t>
        </is>
      </c>
      <c r="B2340" t="inlineStr">
        <is>
          <t>recvd6YlGVHl1W.jpg</t>
        </is>
      </c>
      <c r="C2340" s="2" t="str">
        <f>=HYPERLINK("https://xhslink.com/m/40LPHMcHPi", "https://xhslink.com/m/40LPHMcHPi")</f>
        <v>https://xhslink.com/m/40LPHMcHPi</v>
      </c>
      <c r="D2340"/>
      <c r="E2340">
        <v>42000</v>
      </c>
      <c r="F2340">
        <v>89</v>
      </c>
      <c r="G2340"/>
      <c r="H2340">
        <v>100</v>
      </c>
      <c r="I2340" t="inlineStr">
        <is>
          <t>休闲外套</t>
        </is>
      </c>
      <c r="J2340" t="inlineStr">
        <is>
          <t>0.00</t>
        </is>
      </c>
      <c r="K2340" t="inlineStr">
        <is>
          <t>🔥低粉爆款</t>
        </is>
      </c>
      <c r="L2340" t="inlineStr">
        <is>
          <t>认真的林十一的店</t>
        </is>
      </c>
      <c r="M2340">
        <v>3466</v>
      </c>
      <c r="N2340">
        <v>4.53</v>
      </c>
      <c r="O2340">
        <v>58000</v>
      </c>
      <c r="P2340" t="inlineStr">
        <is>
          <t>66c43d23ad995900011b7f38</t>
        </is>
      </c>
      <c r="Q2340" t="inlineStr">
        <is>
          <t>🚫重复</t>
        </is>
      </c>
      <c r="R2340" t="inlineStr">
        <is>
          <t>14周</t>
        </is>
      </c>
      <c r="S2340" t="inlineStr">
        <is>
          <t>12.12</t>
        </is>
      </c>
      <c r="T2340" t="inlineStr">
        <is>
          <t>服饰穿搭</t>
        </is>
      </c>
      <c r="U2340" t="inlineStr">
        <is>
          <t>女装</t>
        </is>
      </c>
      <c r="V2340" s="3">
        <v>46112.78107638889</v>
      </c>
      <c r="W2340" t="inlineStr">
        <is>
          <t>2026-Q1</t>
        </is>
      </c>
    </row>
    <row r="2341" ht="25.5" customHeight="1">
      <c r="A2341" t="inlineStr">
        <is>
          <t>原色波塔 · 【达人专享】柔雾波浪染眉膏持久防水不易脱色自然</t>
        </is>
      </c>
      <c r="B2341" t="inlineStr">
        <is>
          <t>recvdazdbw6Hvt.jpg</t>
        </is>
      </c>
      <c r="C2341" s="2" t="str">
        <f>=HYPERLINK("https://xhslink.com/m/8e46SR8gfGe", "https://xhslink.com/m/8e46SR8gfGe")</f>
        <v>https://xhslink.com/m/8e46SR8gfGe</v>
      </c>
      <c r="D2341"/>
      <c r="E2341">
        <v>12000</v>
      </c>
      <c r="F2341">
        <v>59</v>
      </c>
      <c r="G2341"/>
      <c r="H2341">
        <v>100</v>
      </c>
      <c r="I2341" t="inlineStr">
        <is>
          <t>染眉膏</t>
        </is>
      </c>
      <c r="J2341" t="inlineStr">
        <is>
          <t>0.01</t>
        </is>
      </c>
      <c r="K2341"/>
      <c r="L2341" t="inlineStr">
        <is>
          <t>INSBAHA原色波塔旗舰店</t>
        </is>
      </c>
      <c r="M2341">
        <v>52000</v>
      </c>
      <c r="N2341">
        <v>4.79</v>
      </c>
      <c r="O2341">
        <v>667000</v>
      </c>
      <c r="P2341" t="inlineStr">
        <is>
          <t>65f902919adbd500015a31c3</t>
        </is>
      </c>
      <c r="Q2341"/>
      <c r="R2341" t="inlineStr">
        <is>
          <t>14周</t>
        </is>
      </c>
      <c r="S2341" t="inlineStr">
        <is>
          <t>0.23</t>
        </is>
      </c>
      <c r="T2341" t="inlineStr">
        <is>
          <t>美妆个护</t>
        </is>
      </c>
      <c r="U2341" t="inlineStr">
        <is>
          <t>护肤彩妆</t>
        </is>
      </c>
      <c r="V2341" s="3">
        <v>46112.78107638889</v>
      </c>
      <c r="W2341" t="inlineStr">
        <is>
          <t>2026-Q1</t>
        </is>
      </c>
    </row>
    <row r="2342" ht="25.5" customHeight="1">
      <c r="A2342" t="inlineStr">
        <is>
          <t>健美创研 · 25度弯尖眼线笔极细眼线液笔不晕染防水防汗持久下睫毛新手初学者</t>
        </is>
      </c>
      <c r="B2342" t="inlineStr">
        <is>
          <t>recvdazdbwCPeI.jpg</t>
        </is>
      </c>
      <c r="C2342" s="2" t="str">
        <f>=HYPERLINK("https://xhslink.com/m/5iikxf2P9kd", "https://xhslink.com/m/5iikxf2P9kd")</f>
        <v>https://xhslink.com/m/5iikxf2P9kd</v>
      </c>
      <c r="D2342"/>
      <c r="E2342">
        <v>5995</v>
      </c>
      <c r="F2342">
        <v>9.9</v>
      </c>
      <c r="G2342"/>
      <c r="H2342">
        <v>100</v>
      </c>
      <c r="I2342" t="inlineStr">
        <is>
          <t>眼线笔</t>
        </is>
      </c>
      <c r="J2342" t="inlineStr">
        <is>
          <t>0.02</t>
        </is>
      </c>
      <c r="K2342"/>
      <c r="L2342" t="inlineStr">
        <is>
          <t>健美创研旗舰店</t>
        </is>
      </c>
      <c r="M2342">
        <v>8913</v>
      </c>
      <c r="N2342">
        <v>4.62</v>
      </c>
      <c r="O2342">
        <v>220000</v>
      </c>
      <c r="P2342" t="inlineStr">
        <is>
          <t>66a9974dafd4620001823775</t>
        </is>
      </c>
      <c r="Q2342"/>
      <c r="R2342" t="inlineStr">
        <is>
          <t>14周</t>
        </is>
      </c>
      <c r="S2342" t="inlineStr">
        <is>
          <t>0.67</t>
        </is>
      </c>
      <c r="T2342" t="inlineStr">
        <is>
          <t>美妆个护</t>
        </is>
      </c>
      <c r="U2342" t="inlineStr">
        <is>
          <t>护肤彩妆</t>
        </is>
      </c>
      <c r="V2342" s="3">
        <v>46112.78107638889</v>
      </c>
      <c r="W2342" t="inlineStr">
        <is>
          <t>2026-Q1</t>
        </is>
      </c>
    </row>
    <row r="2343" ht="25.5" customHeight="1">
      <c r="A2343" t="inlineStr">
        <is>
          <t>LFLF · 日本北海道丸吉体膜烟酰胺白皮全身滋润身体乳</t>
        </is>
      </c>
      <c r="B2343" t="inlineStr">
        <is>
          <t>recvdazdbwugXJ.jpg</t>
        </is>
      </c>
      <c r="C2343" s="2" t="str">
        <f>=HYPERLINK("https://xhslink.com/m/4pEiZG4qeCi", "https://xhslink.com/m/4pEiZG4qeCi")</f>
        <v>https://xhslink.com/m/4pEiZG4qeCi</v>
      </c>
      <c r="D2343"/>
      <c r="E2343">
        <v>4237</v>
      </c>
      <c r="F2343">
        <v>168</v>
      </c>
      <c r="G2343"/>
      <c r="H2343">
        <v>100</v>
      </c>
      <c r="I2343" t="inlineStr">
        <is>
          <t>身体美白</t>
        </is>
      </c>
      <c r="J2343" t="inlineStr">
        <is>
          <t>0.02</t>
        </is>
      </c>
      <c r="K2343"/>
      <c r="L2343" t="inlineStr">
        <is>
          <t>七七国货铺的店</t>
        </is>
      </c>
      <c r="M2343">
        <v>40000</v>
      </c>
      <c r="N2343">
        <v>4.49</v>
      </c>
      <c r="O2343">
        <v>69000</v>
      </c>
      <c r="P2343" t="inlineStr">
        <is>
          <t>68d172643f37a90001f6a657</t>
        </is>
      </c>
      <c r="Q2343" t="inlineStr">
        <is>
          <t>🚫重复</t>
        </is>
      </c>
      <c r="R2343" t="inlineStr">
        <is>
          <t>14周</t>
        </is>
      </c>
      <c r="S2343" t="inlineStr">
        <is>
          <t>0.11</t>
        </is>
      </c>
      <c r="T2343" t="inlineStr">
        <is>
          <t>美妆个护</t>
        </is>
      </c>
      <c r="U2343" t="inlineStr">
        <is>
          <t>个人护理</t>
        </is>
      </c>
      <c r="V2343" s="3">
        <v>46112.78107638889</v>
      </c>
      <c r="W2343" t="inlineStr">
        <is>
          <t>2026-Q1</t>
        </is>
      </c>
    </row>
    <row r="2344" ht="25.5" customHeight="1">
      <c r="A2344" t="inlineStr">
        <is>
          <t>KAZOO · 【焕美季礼遇】陈紫函推荐白松露手膜淡纹保湿护甲粗糙贵妇套盒</t>
        </is>
      </c>
      <c r="B2344" t="inlineStr">
        <is>
          <t>recvdazdbwDyds.jpg</t>
        </is>
      </c>
      <c r="C2344" s="2" t="str">
        <f>=HYPERLINK("https://xhslink.com/m/6JyM9mCW5X9", "https://xhslink.com/m/6JyM9mCW5X9")</f>
        <v>https://xhslink.com/m/6JyM9mCW5X9</v>
      </c>
      <c r="D2344"/>
      <c r="E2344">
        <v>25000</v>
      </c>
      <c r="F2344">
        <v>258</v>
      </c>
      <c r="G2344"/>
      <c r="H2344">
        <v>100</v>
      </c>
      <c r="I2344" t="inlineStr">
        <is>
          <t>手膜</t>
        </is>
      </c>
      <c r="J2344" t="inlineStr">
        <is>
          <t>0.00</t>
        </is>
      </c>
      <c r="K2344"/>
      <c r="L2344" t="inlineStr">
        <is>
          <t>KAZOO个护旗舰店</t>
        </is>
      </c>
      <c r="M2344">
        <v>22000</v>
      </c>
      <c r="N2344">
        <v>4.46</v>
      </c>
      <c r="O2344">
        <v>30000</v>
      </c>
      <c r="P2344" t="inlineStr">
        <is>
          <t>6916eae91c5b2a0001c42707</t>
        </is>
      </c>
      <c r="Q2344"/>
      <c r="R2344" t="inlineStr">
        <is>
          <t>14周</t>
        </is>
      </c>
      <c r="S2344" t="inlineStr">
        <is>
          <t>1.14</t>
        </is>
      </c>
      <c r="T2344" t="inlineStr">
        <is>
          <t>美妆个护</t>
        </is>
      </c>
      <c r="U2344" t="inlineStr">
        <is>
          <t>个人护理</t>
        </is>
      </c>
      <c r="V2344" s="3">
        <v>46112.78107638889</v>
      </c>
      <c r="W2344" t="inlineStr">
        <is>
          <t>2026-Q1</t>
        </is>
      </c>
    </row>
    <row r="2345" ht="25.5" customHeight="1">
      <c r="A2345" t="inlineStr">
        <is>
          <t>泡泡【海盐裤】显瘦显腿长弹性白色不贴腿微喇叭牛仔裤苹果梨身材</t>
        </is>
      </c>
      <c r="B2345" t="inlineStr">
        <is>
          <t>recvdhGvoJ4YQD.jpg</t>
        </is>
      </c>
      <c r="C2345" s="2" t="str">
        <f>=HYPERLINK("https://xhslink.com/m/ApIT8wL2MIu", "https://xhslink.com/m/ApIT8wL2MIu")</f>
        <v>https://xhslink.com/m/ApIT8wL2MIu</v>
      </c>
      <c r="D2345"/>
      <c r="E2345">
        <v>6308</v>
      </c>
      <c r="F2345">
        <v>288</v>
      </c>
      <c r="G2345"/>
      <c r="H2345">
        <v>100</v>
      </c>
      <c r="I2345" t="inlineStr">
        <is>
          <t>裤子</t>
        </is>
      </c>
      <c r="J2345" t="inlineStr">
        <is>
          <t>0.02</t>
        </is>
      </c>
      <c r="K2345"/>
      <c r="L2345" t="inlineStr">
        <is>
          <t>泡儿的店</t>
        </is>
      </c>
      <c r="M2345">
        <v>3465</v>
      </c>
      <c r="N2345">
        <v>4.59</v>
      </c>
      <c r="O2345">
        <v>35000</v>
      </c>
      <c r="P2345" t="inlineStr">
        <is>
          <t>67af63ac29b9f70001c01814</t>
        </is>
      </c>
      <c r="Q2345" t="inlineStr">
        <is>
          <t>🚫重复</t>
        </is>
      </c>
      <c r="R2345" t="inlineStr">
        <is>
          <t>14周</t>
        </is>
      </c>
      <c r="S2345" t="inlineStr">
        <is>
          <t>1.82</t>
        </is>
      </c>
      <c r="T2345" t="inlineStr">
        <is>
          <t>服饰穿搭</t>
        </is>
      </c>
      <c r="U2345" t="inlineStr">
        <is>
          <t>女装</t>
        </is>
      </c>
      <c r="V2345" s="3">
        <v>46112.78107638889</v>
      </c>
      <c r="W2345" t="inlineStr">
        <is>
          <t>2026-Q1</t>
        </is>
      </c>
    </row>
    <row r="2346" ht="25.5" customHeight="1">
      <c r="A2346" t="inlineStr">
        <is>
          <t>第二批！真丝棉套装 可单买</t>
        </is>
      </c>
      <c r="B2346" t="inlineStr">
        <is>
          <t>recvdhGvoJPnX2.jpg</t>
        </is>
      </c>
      <c r="C2346" s="2" t="str">
        <f>=HYPERLINK("https://xhslink.com/m/5Zh8TR6EVSu", "https://xhslink.com/m/5Zh8TR6EVSu")</f>
        <v>https://xhslink.com/m/5Zh8TR6EVSu</v>
      </c>
      <c r="D2346"/>
      <c r="E2346">
        <v>5132</v>
      </c>
      <c r="F2346">
        <v>658</v>
      </c>
      <c r="G2346"/>
      <c r="H2346">
        <v>100</v>
      </c>
      <c r="I2346" t="inlineStr">
        <is>
          <t>裤子</t>
        </is>
      </c>
      <c r="J2346" t="inlineStr">
        <is>
          <t>0.02</t>
        </is>
      </c>
      <c r="K2346"/>
      <c r="L2346" t="inlineStr">
        <is>
          <t>高坂大叔的店</t>
        </is>
      </c>
      <c r="M2346">
        <v>111000</v>
      </c>
      <c r="N2346">
        <v>4.78</v>
      </c>
      <c r="O2346">
        <v>410000</v>
      </c>
      <c r="P2346" t="inlineStr">
        <is>
          <t>6933a3417ca5630001e3befa</t>
        </is>
      </c>
      <c r="Q2346" t="inlineStr">
        <is>
          <t>🚫重复</t>
        </is>
      </c>
      <c r="R2346" t="inlineStr">
        <is>
          <t>14周</t>
        </is>
      </c>
      <c r="S2346" t="inlineStr">
        <is>
          <t>0.05</t>
        </is>
      </c>
      <c r="T2346" t="inlineStr">
        <is>
          <t>服饰穿搭</t>
        </is>
      </c>
      <c r="U2346" t="inlineStr">
        <is>
          <t>女装</t>
        </is>
      </c>
      <c r="V2346" s="3">
        <v>46112.78107638889</v>
      </c>
      <c r="W2346" t="inlineStr">
        <is>
          <t>2026-Q1</t>
        </is>
      </c>
    </row>
    <row r="2347" ht="25.5" customHeight="1">
      <c r="A2347" t="inlineStr">
        <is>
          <t>经典飞行员羊绒夹克帽衫</t>
        </is>
      </c>
      <c r="B2347" t="inlineStr">
        <is>
          <t>recvdhGvoJ7yba.jpg</t>
        </is>
      </c>
      <c r="C2347" s="2" t="str">
        <f>=HYPERLINK("https://xhslink.com/m/9U8ZtpIfqoR", "https://xhslink.com/m/9U8ZtpIfqoR")</f>
        <v>https://xhslink.com/m/9U8ZtpIfqoR</v>
      </c>
      <c r="D2347"/>
      <c r="E2347">
        <v>2445</v>
      </c>
      <c r="F2347">
        <v>1288</v>
      </c>
      <c r="G2347"/>
      <c r="H2347">
        <v>100</v>
      </c>
      <c r="I2347" t="inlineStr">
        <is>
          <t>外套</t>
        </is>
      </c>
      <c r="J2347" t="inlineStr">
        <is>
          <t>0.04</t>
        </is>
      </c>
      <c r="K2347"/>
      <c r="L2347" t="inlineStr">
        <is>
          <t>高坂大叔的店</t>
        </is>
      </c>
      <c r="M2347">
        <v>111000</v>
      </c>
      <c r="N2347">
        <v>4.78</v>
      </c>
      <c r="O2347">
        <v>410000</v>
      </c>
      <c r="P2347" t="inlineStr">
        <is>
          <t>692d123214b5260001b904db</t>
        </is>
      </c>
      <c r="Q2347" t="inlineStr">
        <is>
          <t>🚫重复</t>
        </is>
      </c>
      <c r="R2347" t="inlineStr">
        <is>
          <t>14周</t>
        </is>
      </c>
      <c r="S2347" t="inlineStr">
        <is>
          <t>0.02</t>
        </is>
      </c>
      <c r="T2347" t="inlineStr">
        <is>
          <t>服饰穿搭</t>
        </is>
      </c>
      <c r="U2347" t="inlineStr">
        <is>
          <t>女装</t>
        </is>
      </c>
      <c r="V2347" s="3">
        <v>46112.78107638889</v>
      </c>
      <c r="W2347" t="inlineStr">
        <is>
          <t>2026-Q1</t>
        </is>
      </c>
    </row>
    <row r="2348" ht="25.5" customHeight="1">
      <c r="A2348" t="inlineStr">
        <is>
          <t>加点滋味 · 【正常发货】儿童高钙捏捏松饼预拌粉铜锣烧华夫5分钟早餐家用</t>
        </is>
      </c>
      <c r="B2348" t="inlineStr">
        <is>
          <t>recvdhGvoJIyk3.jpg</t>
        </is>
      </c>
      <c r="C2348" s="2" t="str">
        <f>=HYPERLINK("https://xhslink.com/m/10t31SDL7tO", "https://xhslink.com/m/10t31SDL7tO")</f>
        <v>https://xhslink.com/m/10t31SDL7tO</v>
      </c>
      <c r="D2348"/>
      <c r="E2348">
        <v>9159</v>
      </c>
      <c r="F2348">
        <v>99</v>
      </c>
      <c r="G2348"/>
      <c r="H2348">
        <v>100</v>
      </c>
      <c r="I2348" t="inlineStr">
        <is>
          <t>早餐</t>
        </is>
      </c>
      <c r="J2348" t="inlineStr">
        <is>
          <t>0.01</t>
        </is>
      </c>
      <c r="K2348"/>
      <c r="L2348" t="inlineStr">
        <is>
          <t>加点滋味旗舰店</t>
        </is>
      </c>
      <c r="M2348">
        <v>24000</v>
      </c>
      <c r="N2348">
        <v>4.62</v>
      </c>
      <c r="O2348">
        <v>371000</v>
      </c>
      <c r="P2348" t="inlineStr">
        <is>
          <t>67c7ab914a59360001a912ea</t>
        </is>
      </c>
      <c r="Q2348" t="inlineStr">
        <is>
          <t>🚫重复</t>
        </is>
      </c>
      <c r="R2348" t="inlineStr">
        <is>
          <t>14周</t>
        </is>
      </c>
      <c r="S2348" t="inlineStr">
        <is>
          <t>0.38</t>
        </is>
      </c>
      <c r="T2348" t="inlineStr">
        <is>
          <t>美食滋补</t>
        </is>
      </c>
      <c r="U2348" t="inlineStr">
        <is>
          <t>休闲零食</t>
        </is>
      </c>
      <c r="V2348" s="3">
        <v>46112.78107638889</v>
      </c>
      <c r="W2348" t="inlineStr">
        <is>
          <t>2026-Q1</t>
        </is>
      </c>
    </row>
    <row r="2349" ht="25.5" customHeight="1">
      <c r="A2349" t="inlineStr">
        <is>
          <t>氧默 · 黑麦全麦面包整箱吐司代餐饱腹无添蔗糖精粗粮主食脂健康早餐食品</t>
        </is>
      </c>
      <c r="B2349" t="inlineStr">
        <is>
          <t>recvdhGvoJo3kj.jpg</t>
        </is>
      </c>
      <c r="C2349" s="2" t="str">
        <f>=HYPERLINK("https://xhslink.com/m/8HgRQwwm4Z5", "https://xhslink.com/m/8HgRQwwm4Z5")</f>
        <v>https://xhslink.com/m/8HgRQwwm4Z5</v>
      </c>
      <c r="D2349"/>
      <c r="E2349">
        <v>102000</v>
      </c>
      <c r="F2349">
        <v>16.9</v>
      </c>
      <c r="G2349"/>
      <c r="H2349">
        <v>100</v>
      </c>
      <c r="I2349" t="inlineStr">
        <is>
          <t>代餐面包</t>
        </is>
      </c>
      <c r="J2349" t="inlineStr">
        <is>
          <t>0.00</t>
        </is>
      </c>
      <c r="K2349" t="inlineStr">
        <is>
          <t>🔥低粉爆款</t>
        </is>
      </c>
      <c r="L2349" t="inlineStr">
        <is>
          <t>氧默旗舰店</t>
        </is>
      </c>
      <c r="M2349">
        <v>26000</v>
      </c>
      <c r="N2349">
        <v>4.59</v>
      </c>
      <c r="O2349">
        <v>255000</v>
      </c>
      <c r="P2349" t="inlineStr">
        <is>
          <t>63fbfa67774c400001762d87</t>
        </is>
      </c>
      <c r="Q2349" t="inlineStr">
        <is>
          <t>🚫重复</t>
        </is>
      </c>
      <c r="R2349" t="inlineStr">
        <is>
          <t>14周</t>
        </is>
      </c>
      <c r="S2349" t="inlineStr">
        <is>
          <t>3.92</t>
        </is>
      </c>
      <c r="T2349" t="inlineStr">
        <is>
          <t>美食滋补</t>
        </is>
      </c>
      <c r="U2349" t="inlineStr">
        <is>
          <t>休闲零食</t>
        </is>
      </c>
      <c r="V2349" s="3">
        <v>46112.78107638889</v>
      </c>
      <c r="W2349" t="inlineStr">
        <is>
          <t>2026-Q1</t>
        </is>
      </c>
    </row>
    <row r="2350" ht="25.5" customHeight="1">
      <c r="A2350" t="inlineStr">
        <is>
          <t>氧默 · 黑麦全麦面包整箱吐司代餐饱腹无添蔗糖精粗粮主食脂健康早餐食品</t>
        </is>
      </c>
      <c r="B2350" t="inlineStr">
        <is>
          <t>recvdhGvoJTm9s.jpg</t>
        </is>
      </c>
      <c r="C2350" s="2" t="str">
        <f>=HYPERLINK("https://xhslink.com/m/9RzxjeQjLjA", "https://xhslink.com/m/9RzxjeQjLjA")</f>
        <v>https://xhslink.com/m/9RzxjeQjLjA</v>
      </c>
      <c r="D2350"/>
      <c r="E2350">
        <v>102000</v>
      </c>
      <c r="F2350">
        <v>11.9</v>
      </c>
      <c r="G2350"/>
      <c r="H2350">
        <v>100</v>
      </c>
      <c r="I2350" t="inlineStr">
        <is>
          <t>便宜零食</t>
        </is>
      </c>
      <c r="J2350" t="inlineStr">
        <is>
          <t>0.00</t>
        </is>
      </c>
      <c r="K2350" t="inlineStr">
        <is>
          <t>🔥低粉爆款</t>
        </is>
      </c>
      <c r="L2350" t="inlineStr">
        <is>
          <t>氧默旗舰店</t>
        </is>
      </c>
      <c r="M2350">
        <v>26000</v>
      </c>
      <c r="N2350">
        <v>4.59</v>
      </c>
      <c r="O2350">
        <v>255000</v>
      </c>
      <c r="P2350" t="inlineStr">
        <is>
          <t>63fbfa64774c400001762c83</t>
        </is>
      </c>
      <c r="Q2350" t="inlineStr">
        <is>
          <t>🚫重复</t>
        </is>
      </c>
      <c r="R2350" t="inlineStr">
        <is>
          <t>14周</t>
        </is>
      </c>
      <c r="S2350" t="inlineStr">
        <is>
          <t>3.92</t>
        </is>
      </c>
      <c r="T2350" t="inlineStr">
        <is>
          <t>美食滋补</t>
        </is>
      </c>
      <c r="U2350" t="inlineStr">
        <is>
          <t>休闲零食</t>
        </is>
      </c>
      <c r="V2350" s="3">
        <v>46112.78107638889</v>
      </c>
      <c r="W2350" t="inlineStr">
        <is>
          <t>2026-Q1</t>
        </is>
      </c>
    </row>
    <row r="2351" ht="25.5" customHeight="1">
      <c r="A2351" t="inlineStr">
        <is>
          <t>圣草泉 · 侧柏叶何首乌生姜植物洗发水氨基酸去屑止痒控油蓬松护发无硅油</t>
        </is>
      </c>
      <c r="B2351" t="inlineStr">
        <is>
          <t>recvdhGvoJElW6.jpg</t>
        </is>
      </c>
      <c r="C2351" s="2" t="str">
        <f>=HYPERLINK("https://xhslink.com/m/AWJXOkqgSTr", "https://xhslink.com/m/AWJXOkqgSTr")</f>
        <v>https://xhslink.com/m/AWJXOkqgSTr</v>
      </c>
      <c r="D2351"/>
      <c r="E2351">
        <v>530000</v>
      </c>
      <c r="F2351">
        <v>28</v>
      </c>
      <c r="G2351"/>
      <c r="H2351">
        <v>100</v>
      </c>
      <c r="I2351" t="inlineStr">
        <is>
          <t>洗发水</t>
        </is>
      </c>
      <c r="J2351" t="inlineStr">
        <is>
          <t>0.00</t>
        </is>
      </c>
      <c r="K2351" t="inlineStr">
        <is>
          <t>🔥低粉爆款</t>
        </is>
      </c>
      <c r="L2351" t="inlineStr">
        <is>
          <t>小禾heye的店</t>
        </is>
      </c>
      <c r="M2351">
        <v>43000</v>
      </c>
      <c r="N2351">
        <v>4.6</v>
      </c>
      <c r="O2351">
        <v>608000</v>
      </c>
      <c r="P2351" t="inlineStr">
        <is>
          <t>6621694ef76c1800011a4f0a</t>
        </is>
      </c>
      <c r="Q2351" t="inlineStr">
        <is>
          <t>🚫重复</t>
        </is>
      </c>
      <c r="R2351" t="inlineStr">
        <is>
          <t>14周</t>
        </is>
      </c>
      <c r="S2351" t="inlineStr">
        <is>
          <t>12.33</t>
        </is>
      </c>
      <c r="T2351" t="inlineStr">
        <is>
          <t>美妆个护</t>
        </is>
      </c>
      <c r="U2351" t="inlineStr">
        <is>
          <t>个人护理</t>
        </is>
      </c>
      <c r="V2351" s="3">
        <v>46112.78107638889</v>
      </c>
      <c r="W2351" t="inlineStr">
        <is>
          <t>2026-Q1</t>
        </is>
      </c>
    </row>
    <row r="2352" ht="25.5" customHeight="1">
      <c r="A2352" t="inlineStr">
        <is>
          <t>花千寻 · 新手初学者超柔软眼部眼影晕染鼻影高光修容便携沧州套刷带收纳包</t>
        </is>
      </c>
      <c r="B2352" t="inlineStr">
        <is>
          <t>recvdxJgGzl5yC.jpg</t>
        </is>
      </c>
      <c r="C2352" s="2" t="str">
        <f>=HYPERLINK("https://xhslink.com/m/3rRuG4i2D6x", "https://xhslink.com/m/3rRuG4i2D6x")</f>
        <v>https://xhslink.com/m/3rRuG4i2D6x</v>
      </c>
      <c r="D2352"/>
      <c r="E2352">
        <v>46000</v>
      </c>
      <c r="F2352">
        <v>9.8</v>
      </c>
      <c r="G2352"/>
      <c r="H2352">
        <v>100</v>
      </c>
      <c r="I2352" t="inlineStr">
        <is>
          <t>化妆刷</t>
        </is>
      </c>
      <c r="J2352" t="inlineStr">
        <is>
          <t>0.00</t>
        </is>
      </c>
      <c r="K2352" t="inlineStr">
        <is>
          <t>🔥低粉爆款</t>
        </is>
      </c>
      <c r="L2352" t="inlineStr">
        <is>
          <t>花千寻旗舰店</t>
        </is>
      </c>
      <c r="M2352">
        <v>910</v>
      </c>
      <c r="N2352">
        <v>4.52</v>
      </c>
      <c r="O2352">
        <v>74000</v>
      </c>
      <c r="P2352" t="inlineStr">
        <is>
          <t>67fe46de2a334f0001bb9837</t>
        </is>
      </c>
      <c r="Q2352" t="inlineStr">
        <is>
          <t>🚫重复</t>
        </is>
      </c>
      <c r="R2352" t="inlineStr">
        <is>
          <t>14周</t>
        </is>
      </c>
      <c r="S2352" t="inlineStr">
        <is>
          <t>50.55</t>
        </is>
      </c>
      <c r="T2352" t="inlineStr">
        <is>
          <t>美妆个护</t>
        </is>
      </c>
      <c r="U2352" t="inlineStr">
        <is>
          <t>护肤彩妆</t>
        </is>
      </c>
      <c r="V2352" s="3">
        <v>46112.78107638889</v>
      </c>
      <c r="W2352" t="inlineStr">
        <is>
          <t>2026-Q1</t>
        </is>
      </c>
    </row>
    <row r="2353" ht="25.5" customHeight="1">
      <c r="A2353" t="inlineStr">
        <is>
          <t>毛吉吉 · 【官方直售】新品粉棕丹宁 黑丹宁粉扑上妆清透服帖</t>
        </is>
      </c>
      <c r="B2353" t="inlineStr">
        <is>
          <t>recvdxJgGzOyyi.jpg</t>
        </is>
      </c>
      <c r="C2353" s="2" t="str">
        <f>=HYPERLINK("https://xhslink.com/m/3LlLvnBKZuJ", "https://xhslink.com/m/3LlLvnBKZuJ")</f>
        <v>https://xhslink.com/m/3LlLvnBKZuJ</v>
      </c>
      <c r="D2353"/>
      <c r="E2353">
        <v>20000</v>
      </c>
      <c r="F2353">
        <v>35</v>
      </c>
      <c r="G2353"/>
      <c r="H2353">
        <v>100</v>
      </c>
      <c r="I2353" t="inlineStr">
        <is>
          <t>粉扑</t>
        </is>
      </c>
      <c r="J2353" t="inlineStr">
        <is>
          <t>0.01</t>
        </is>
      </c>
      <c r="K2353"/>
      <c r="L2353" t="inlineStr">
        <is>
          <t>Momos Workshop毛吉吉旗舰店</t>
        </is>
      </c>
      <c r="M2353">
        <v>46000</v>
      </c>
      <c r="N2353">
        <v>4.7</v>
      </c>
      <c r="O2353">
        <v>303000</v>
      </c>
      <c r="P2353" t="inlineStr">
        <is>
          <t>663df846f93e9a000159a319</t>
        </is>
      </c>
      <c r="Q2353" t="inlineStr">
        <is>
          <t>🚫重复</t>
        </is>
      </c>
      <c r="R2353" t="inlineStr">
        <is>
          <t>14周</t>
        </is>
      </c>
      <c r="S2353" t="inlineStr">
        <is>
          <t>0.43</t>
        </is>
      </c>
      <c r="T2353" t="inlineStr">
        <is>
          <t>美妆个护</t>
        </is>
      </c>
      <c r="U2353" t="inlineStr">
        <is>
          <t>护肤彩妆</t>
        </is>
      </c>
      <c r="V2353" s="3">
        <v>46112.78107638889</v>
      </c>
      <c r="W2353" t="inlineStr">
        <is>
          <t>2026-Q1</t>
        </is>
      </c>
    </row>
    <row r="2354" ht="25.5" customHeight="1">
      <c r="A2354" t="inlineStr">
        <is>
          <t>迪士尼 · 特价清仓福袋特卖蛋糕草莓熊抱枕米奇米妮毛绒玩具星黛露公仔</t>
        </is>
      </c>
      <c r="B2354" t="inlineStr">
        <is>
          <t>recvdxJgGz9tqa.jpg</t>
        </is>
      </c>
      <c r="C2354" s="2" t="str">
        <f>=HYPERLINK("https://xhslink.com/m/BP60gY3XeV", "https://xhslink.com/m/BP60gY3XeV")</f>
        <v>https://xhslink.com/m/BP60gY3XeV</v>
      </c>
      <c r="D2354"/>
      <c r="E2354">
        <v>13000</v>
      </c>
      <c r="F2354">
        <v>368</v>
      </c>
      <c r="G2354"/>
      <c r="H2354">
        <v>100</v>
      </c>
      <c r="I2354" t="inlineStr">
        <is>
          <t>玩具</t>
        </is>
      </c>
      <c r="J2354" t="inlineStr">
        <is>
          <t>0.01</t>
        </is>
      </c>
      <c r="K2354"/>
      <c r="L2354" t="inlineStr">
        <is>
          <t>小晶迪的店</t>
        </is>
      </c>
      <c r="M2354">
        <v>7477</v>
      </c>
      <c r="N2354">
        <v>4.37</v>
      </c>
      <c r="O2354">
        <v>27000</v>
      </c>
      <c r="P2354" t="inlineStr">
        <is>
          <t>66bdf8e7f33c470001557e56</t>
        </is>
      </c>
      <c r="Q2354"/>
      <c r="R2354" t="inlineStr">
        <is>
          <t>14周</t>
        </is>
      </c>
      <c r="S2354" t="inlineStr">
        <is>
          <t>1.74</t>
        </is>
      </c>
      <c r="T2354" t="inlineStr">
        <is>
          <t>美食滋补</t>
        </is>
      </c>
      <c r="U2354" t="inlineStr">
        <is>
          <t>休闲零食</t>
        </is>
      </c>
      <c r="V2354" s="3">
        <v>46112.78107638889</v>
      </c>
      <c r="W2354" t="inlineStr">
        <is>
          <t>2026-Q1</t>
        </is>
      </c>
    </row>
    <row r="2355" ht="25.5" customHeight="1">
      <c r="A2355" t="inlineStr">
        <is>
          <t>三丽鸥 · 【现货】HelloKitty家族来啦  持续更新 只卖正品</t>
        </is>
      </c>
      <c r="B2355" t="inlineStr">
        <is>
          <t>recvdxJgGzGme7.jpg</t>
        </is>
      </c>
      <c r="C2355" s="2" t="str">
        <f>=HYPERLINK("https://xhslink.com/m/73hsjhai39V", "https://xhslink.com/m/73hsjhai39V")</f>
        <v>https://xhslink.com/m/73hsjhai39V</v>
      </c>
      <c r="D2355"/>
      <c r="E2355">
        <v>8905</v>
      </c>
      <c r="F2355">
        <v>268</v>
      </c>
      <c r="G2355"/>
      <c r="H2355">
        <v>100</v>
      </c>
      <c r="I2355" t="inlineStr">
        <is>
          <t>玩具</t>
        </is>
      </c>
      <c r="J2355" t="inlineStr">
        <is>
          <t>0.01</t>
        </is>
      </c>
      <c r="K2355"/>
      <c r="L2355" t="inlineStr">
        <is>
          <t>小薯的Kitty的店</t>
        </is>
      </c>
      <c r="M2355">
        <v>14000</v>
      </c>
      <c r="N2355">
        <v>4.59</v>
      </c>
      <c r="O2355">
        <v>25000</v>
      </c>
      <c r="P2355" t="inlineStr">
        <is>
          <t>680a4e316768bb000114e95e</t>
        </is>
      </c>
      <c r="Q2355"/>
      <c r="R2355" t="inlineStr">
        <is>
          <t>14周</t>
        </is>
      </c>
      <c r="S2355" t="inlineStr">
        <is>
          <t>0.64</t>
        </is>
      </c>
      <c r="T2355" t="inlineStr">
        <is>
          <t>母婴亲子</t>
        </is>
      </c>
      <c r="U2355" t="inlineStr">
        <is>
          <t>玩具早教</t>
        </is>
      </c>
      <c r="V2355" s="3">
        <v>46112.78107638889</v>
      </c>
      <c r="W2355" t="inlineStr">
        <is>
          <t>2026-Q1</t>
        </is>
      </c>
    </row>
    <row r="2356" ht="25.5" customHeight="1">
      <c r="A2356" t="inlineStr">
        <is>
          <t>原创玩偶定制|根据照片定制|生日礼物 情侣手工礼物 伴手礼</t>
        </is>
      </c>
      <c r="B2356" t="inlineStr">
        <is>
          <t>recvdxJgGzoRDs.jpg</t>
        </is>
      </c>
      <c r="C2356" s="2" t="str">
        <f>=HYPERLINK("https://xhslink.com/m/3hwlE4Obdt5", "https://xhslink.com/m/3hwlE4Obdt5")</f>
        <v>https://xhslink.com/m/3hwlE4Obdt5</v>
      </c>
      <c r="D2356"/>
      <c r="E2356">
        <v>5117</v>
      </c>
      <c r="F2356">
        <v>319</v>
      </c>
      <c r="G2356"/>
      <c r="H2356">
        <v>100</v>
      </c>
      <c r="I2356" t="inlineStr">
        <is>
          <t>玩具</t>
        </is>
      </c>
      <c r="J2356" t="inlineStr">
        <is>
          <t>0.02</t>
        </is>
      </c>
      <c r="K2356"/>
      <c r="L2356" t="inlineStr">
        <is>
          <t>发条派对的店</t>
        </is>
      </c>
      <c r="M2356">
        <v>45000</v>
      </c>
      <c r="N2356">
        <v>4.8</v>
      </c>
      <c r="O2356">
        <v>7071</v>
      </c>
      <c r="P2356" t="inlineStr">
        <is>
          <t>68103e05bf391700014d2a9c</t>
        </is>
      </c>
      <c r="Q2356"/>
      <c r="R2356" t="inlineStr">
        <is>
          <t>14周</t>
        </is>
      </c>
      <c r="S2356" t="inlineStr">
        <is>
          <t>0.11</t>
        </is>
      </c>
      <c r="T2356" t="inlineStr">
        <is>
          <t>母婴亲子</t>
        </is>
      </c>
      <c r="U2356" t="inlineStr">
        <is>
          <t>玩具早教</t>
        </is>
      </c>
      <c r="V2356" s="3">
        <v>46112.78107638889</v>
      </c>
      <c r="W2356" t="inlineStr">
        <is>
          <t>2026-Q1</t>
        </is>
      </c>
    </row>
    <row r="2357" ht="25.5" customHeight="1">
      <c r="A2357" t="inlineStr">
        <is>
          <t>若客 · 礼物工厂动态拼装模型生日礼物仪式感送女友</t>
        </is>
      </c>
      <c r="B2357" t="inlineStr">
        <is>
          <t>recvdxJgGztiBO.jpg</t>
        </is>
      </c>
      <c r="C2357" s="2" t="str">
        <f>=HYPERLINK("https://xhslink.com/m/2sFBmbIDYVJ", "https://xhslink.com/m/2sFBmbIDYVJ")</f>
        <v>https://xhslink.com/m/2sFBmbIDYVJ</v>
      </c>
      <c r="D2357"/>
      <c r="E2357">
        <v>24000</v>
      </c>
      <c r="F2357">
        <v>309</v>
      </c>
      <c r="G2357"/>
      <c r="H2357">
        <v>100</v>
      </c>
      <c r="I2357" t="inlineStr">
        <is>
          <t>玩具</t>
        </is>
      </c>
      <c r="J2357" t="inlineStr">
        <is>
          <t>0.00</t>
        </is>
      </c>
      <c r="K2357"/>
      <c r="L2357" t="inlineStr">
        <is>
          <t>ROKR若客旗舰店</t>
        </is>
      </c>
      <c r="M2357">
        <v>196000</v>
      </c>
      <c r="N2357">
        <v>4.33</v>
      </c>
      <c r="O2357">
        <v>280000</v>
      </c>
      <c r="P2357" t="inlineStr">
        <is>
          <t>678870f3658c1600010863a5</t>
        </is>
      </c>
      <c r="Q2357"/>
      <c r="R2357" t="inlineStr">
        <is>
          <t>14周</t>
        </is>
      </c>
      <c r="S2357" t="inlineStr">
        <is>
          <t>0.12</t>
        </is>
      </c>
      <c r="T2357" t="inlineStr">
        <is>
          <t>运动潮玩</t>
        </is>
      </c>
      <c r="U2357" t="inlineStr">
        <is>
          <t>潮玩手办</t>
        </is>
      </c>
      <c r="V2357" s="3">
        <v>46112.78107638889</v>
      </c>
      <c r="W2357" t="inlineStr">
        <is>
          <t>2026-Q1</t>
        </is>
      </c>
    </row>
    <row r="2358" ht="25.5" customHeight="1">
      <c r="A2358" t="inlineStr">
        <is>
          <t>【Rays潮玩×甜玉米毛绒挂件定制款】定制盲盒/玉米地礼物/公仔</t>
        </is>
      </c>
      <c r="B2358" t="inlineStr">
        <is>
          <t>recvdxJgGzkGcZ.jpg</t>
        </is>
      </c>
      <c r="C2358" s="2" t="str">
        <f>=HYPERLINK("https://xhslink.com/m/65Tx9E31Flk", "https://xhslink.com/m/65Tx9E31Flk")</f>
        <v>https://xhslink.com/m/65Tx9E31Flk</v>
      </c>
      <c r="D2358"/>
      <c r="E2358">
        <v>3109</v>
      </c>
      <c r="F2358">
        <v>39.9</v>
      </c>
      <c r="G2358"/>
      <c r="H2358">
        <v>100</v>
      </c>
      <c r="I2358" t="inlineStr">
        <is>
          <t>潮玩</t>
        </is>
      </c>
      <c r="J2358" t="inlineStr">
        <is>
          <t>0.03</t>
        </is>
      </c>
      <c r="K2358"/>
      <c r="L2358" t="inlineStr">
        <is>
          <t>Rays潮玩-分享官的店</t>
        </is>
      </c>
      <c r="M2358">
        <v>8720</v>
      </c>
      <c r="N2358">
        <v>4.46</v>
      </c>
      <c r="O2358">
        <v>22000</v>
      </c>
      <c r="P2358" t="inlineStr">
        <is>
          <t>6984994678d8d50001089213</t>
        </is>
      </c>
      <c r="Q2358"/>
      <c r="R2358" t="inlineStr">
        <is>
          <t>14周</t>
        </is>
      </c>
      <c r="S2358" t="inlineStr">
        <is>
          <t>0.36</t>
        </is>
      </c>
      <c r="T2358" t="inlineStr">
        <is>
          <t>运动潮玩</t>
        </is>
      </c>
      <c r="U2358" t="inlineStr">
        <is>
          <t>潮玩手办</t>
        </is>
      </c>
      <c r="V2358" s="3">
        <v>46112.78107638889</v>
      </c>
      <c r="W2358" t="inlineStr">
        <is>
          <t>2026-Q1</t>
        </is>
      </c>
    </row>
    <row r="2359" ht="25.5" customHeight="1">
      <c r="A2359" t="inlineStr">
        <is>
          <t>华畜 · 猫狗通用体内外驱虫非泼罗尼宠物驱虫药跳蚤虱子蜱虫内驱阿苯达唑</t>
        </is>
      </c>
      <c r="B2359" t="inlineStr">
        <is>
          <t>recvdDBukxiv6G.jpg</t>
        </is>
      </c>
      <c r="C2359" s="2" t="str">
        <f>=HYPERLINK("https://xhslink.com/m/AWfEq908ygT", "https://xhslink.com/m/AWfEq908ygT")</f>
        <v>https://xhslink.com/m/AWfEq908ygT</v>
      </c>
      <c r="D2359"/>
      <c r="E2359">
        <v>30000</v>
      </c>
      <c r="F2359">
        <v>15.98</v>
      </c>
      <c r="G2359"/>
      <c r="H2359">
        <v>100</v>
      </c>
      <c r="I2359" t="inlineStr">
        <is>
          <t>驱虫药推荐</t>
        </is>
      </c>
      <c r="J2359" t="inlineStr">
        <is>
          <t>0.00</t>
        </is>
      </c>
      <c r="K2359"/>
      <c r="L2359" t="inlineStr">
        <is>
          <t>华畜旗舰店</t>
        </is>
      </c>
      <c r="M2359">
        <v>15000</v>
      </c>
      <c r="N2359">
        <v>4.59</v>
      </c>
      <c r="O2359">
        <v>55000</v>
      </c>
      <c r="P2359" t="inlineStr">
        <is>
          <t>68b3bb0b6f3f720001bce341</t>
        </is>
      </c>
      <c r="Q2359"/>
      <c r="R2359" t="inlineStr">
        <is>
          <t>14周</t>
        </is>
      </c>
      <c r="S2359" t="inlineStr">
        <is>
          <t>2.00</t>
        </is>
      </c>
      <c r="T2359" t="inlineStr">
        <is>
          <t>家居生活</t>
        </is>
      </c>
      <c r="U2359" t="inlineStr">
        <is>
          <t>家居日用</t>
        </is>
      </c>
      <c r="V2359" s="3">
        <v>46112.78107638889</v>
      </c>
      <c r="W2359" t="inlineStr">
        <is>
          <t>2026-Q1</t>
        </is>
      </c>
    </row>
    <row r="2360" ht="25.5" customHeight="1">
      <c r="A2360" t="inlineStr">
        <is>
          <t>KAZOO · 【陈妍希同款】可逐冻干眼膜轻龄凝时抗皱眼纹去黑眼圈贵妇套盒</t>
        </is>
      </c>
      <c r="B2360" t="inlineStr">
        <is>
          <t>recvdDBukxiT6a.jpg</t>
        </is>
      </c>
      <c r="C2360" s="2" t="str">
        <f>=HYPERLINK("https://xhslink.com/m/30aONtKB7W7", "https://xhslink.com/m/30aONtKB7W7")</f>
        <v>https://xhslink.com/m/30aONtKB7W7</v>
      </c>
      <c r="D2360"/>
      <c r="E2360">
        <v>22000</v>
      </c>
      <c r="F2360">
        <v>299</v>
      </c>
      <c r="G2360"/>
      <c r="H2360">
        <v>100</v>
      </c>
      <c r="I2360" t="inlineStr">
        <is>
          <t>眼膜</t>
        </is>
      </c>
      <c r="J2360" t="inlineStr">
        <is>
          <t>0.00</t>
        </is>
      </c>
      <c r="K2360"/>
      <c r="L2360" t="inlineStr">
        <is>
          <t>kazoo可逐美妆旗舰店</t>
        </is>
      </c>
      <c r="M2360">
        <v>101000</v>
      </c>
      <c r="N2360">
        <v>4.57</v>
      </c>
      <c r="O2360">
        <v>187000</v>
      </c>
      <c r="P2360" t="inlineStr">
        <is>
          <t>693a9b480ae0090001141db0</t>
        </is>
      </c>
      <c r="Q2360" t="inlineStr">
        <is>
          <t>🚫重复</t>
        </is>
      </c>
      <c r="R2360" t="inlineStr">
        <is>
          <t>14周</t>
        </is>
      </c>
      <c r="S2360" t="inlineStr">
        <is>
          <t>0.22</t>
        </is>
      </c>
      <c r="T2360" t="inlineStr">
        <is>
          <t>美妆个护</t>
        </is>
      </c>
      <c r="U2360" t="inlineStr">
        <is>
          <t>护肤彩妆</t>
        </is>
      </c>
      <c r="V2360" s="3">
        <v>46112.78107638889</v>
      </c>
      <c r="W2360" t="inlineStr">
        <is>
          <t>2026-Q1</t>
        </is>
      </c>
    </row>
    <row r="2361" ht="25.5" customHeight="1">
      <c r="A2361" t="inlineStr">
        <is>
          <t>PLANNER珀兰娜 · 【明星化妆师同款】毛孔隐形妆前乳哑光4.0控油打底服帖官方正品</t>
        </is>
      </c>
      <c r="B2361" t="inlineStr">
        <is>
          <t>recvdDBukxfZ2f.jpg</t>
        </is>
      </c>
      <c r="C2361" s="2" t="str">
        <f>=HYPERLINK("https://xhslink.com/m/17uUPF2kZnv", "https://xhslink.com/m/17uUPF2kZnv")</f>
        <v>https://xhslink.com/m/17uUPF2kZnv</v>
      </c>
      <c r="D2361"/>
      <c r="E2361">
        <v>18000</v>
      </c>
      <c r="F2361">
        <v>79</v>
      </c>
      <c r="G2361"/>
      <c r="H2361">
        <v>100</v>
      </c>
      <c r="I2361" t="inlineStr">
        <is>
          <t>妆前乳</t>
        </is>
      </c>
      <c r="J2361" t="inlineStr">
        <is>
          <t>0.01</t>
        </is>
      </c>
      <c r="K2361"/>
      <c r="L2361" t="inlineStr">
        <is>
          <t>PLANNER珀兰娜旗舰店</t>
        </is>
      </c>
      <c r="M2361">
        <v>14000</v>
      </c>
      <c r="N2361">
        <v>4.66</v>
      </c>
      <c r="O2361">
        <v>102000</v>
      </c>
      <c r="P2361" t="inlineStr">
        <is>
          <t>683fb4dd317c900001bf2199</t>
        </is>
      </c>
      <c r="Q2361"/>
      <c r="R2361" t="inlineStr">
        <is>
          <t>14周</t>
        </is>
      </c>
      <c r="S2361" t="inlineStr">
        <is>
          <t>1.29</t>
        </is>
      </c>
      <c r="T2361" t="inlineStr">
        <is>
          <t>美妆个护</t>
        </is>
      </c>
      <c r="U2361" t="inlineStr">
        <is>
          <t>护肤彩妆</t>
        </is>
      </c>
      <c r="V2361" s="3">
        <v>46112.78107638889</v>
      </c>
      <c r="W2361" t="inlineStr">
        <is>
          <t>2026-Q1</t>
        </is>
      </c>
    </row>
    <row r="2362" ht="25.5" customHeight="1">
      <c r="A2362" t="inlineStr">
        <is>
          <t>臻羞 · 15%壬二酸凝胶黑头收缩毛孔水杨酸毛孔霜组合粉刺痘痘膏</t>
        </is>
      </c>
      <c r="B2362" t="inlineStr">
        <is>
          <t>recvdDBukxQQzF.jpg</t>
        </is>
      </c>
      <c r="C2362" s="2" t="str">
        <f>=HYPERLINK("https://xhslink.com/m/4NWNZetNfjq", "https://xhslink.com/m/4NWNZetNfjq")</f>
        <v>https://xhslink.com/m/4NWNZetNfjq</v>
      </c>
      <c r="D2362"/>
      <c r="E2362">
        <v>48000</v>
      </c>
      <c r="F2362">
        <v>15.9</v>
      </c>
      <c r="G2362"/>
      <c r="H2362">
        <v>100</v>
      </c>
      <c r="I2362" t="inlineStr">
        <is>
          <t>祛痘产品</t>
        </is>
      </c>
      <c r="J2362" t="inlineStr">
        <is>
          <t>0.00</t>
        </is>
      </c>
      <c r="K2362" t="inlineStr">
        <is>
          <t>🔥低粉爆款</t>
        </is>
      </c>
      <c r="L2362" t="inlineStr">
        <is>
          <t>原力美肤的店</t>
        </is>
      </c>
      <c r="M2362">
        <v>1305</v>
      </c>
      <c r="N2362">
        <v>4.48</v>
      </c>
      <c r="O2362">
        <v>48000</v>
      </c>
      <c r="P2362" t="inlineStr">
        <is>
          <t>6801ecb68d1e0200019f119b</t>
        </is>
      </c>
      <c r="Q2362"/>
      <c r="R2362" t="inlineStr">
        <is>
          <t>14周</t>
        </is>
      </c>
      <c r="S2362" t="inlineStr">
        <is>
          <t>36.78</t>
        </is>
      </c>
      <c r="T2362" t="inlineStr">
        <is>
          <t>美妆个护</t>
        </is>
      </c>
      <c r="U2362" t="inlineStr">
        <is>
          <t>个人护理</t>
        </is>
      </c>
      <c r="V2362" s="3">
        <v>46112.78107638889</v>
      </c>
      <c r="W2362" t="inlineStr">
        <is>
          <t>2026-Q1</t>
        </is>
      </c>
    </row>
    <row r="2363" ht="25.5" customHeight="1">
      <c r="A2363" t="inlineStr">
        <is>
          <t>东方甄选 · 低脂香煎鸡胸肉 鸡排鸡肉早餐速食健身食材1kg/袋即食便携</t>
        </is>
      </c>
      <c r="B2363" t="inlineStr">
        <is>
          <t>recvdKDRQhANy4.jpg</t>
        </is>
      </c>
      <c r="C2363" s="2" t="str">
        <f>=HYPERLINK("https://xhslink.com/m/6mnnQIhI0dy", "https://xhslink.com/m/6mnnQIhI0dy")</f>
        <v>https://xhslink.com/m/6mnnQIhI0dy</v>
      </c>
      <c r="D2363"/>
      <c r="E2363">
        <v>28000</v>
      </c>
      <c r="F2363">
        <v>56</v>
      </c>
      <c r="G2363"/>
      <c r="H2363">
        <v>100</v>
      </c>
      <c r="I2363" t="inlineStr">
        <is>
          <t>鸡胸肉零食</t>
        </is>
      </c>
      <c r="J2363" t="inlineStr">
        <is>
          <t>0.00</t>
        </is>
      </c>
      <c r="K2363"/>
      <c r="L2363" t="inlineStr">
        <is>
          <t>东方甄选旗舰店</t>
        </is>
      </c>
      <c r="M2363">
        <v>991000</v>
      </c>
      <c r="N2363">
        <v>4.72</v>
      </c>
      <c r="O2363">
        <v>1698000</v>
      </c>
      <c r="P2363" t="inlineStr">
        <is>
          <t>655ad8f03edc980001bb4902</t>
        </is>
      </c>
      <c r="Q2363" t="inlineStr">
        <is>
          <t>🚫重复</t>
        </is>
      </c>
      <c r="R2363" t="inlineStr">
        <is>
          <t>14周</t>
        </is>
      </c>
      <c r="S2363" t="inlineStr">
        <is>
          <t>0.03</t>
        </is>
      </c>
      <c r="T2363" t="inlineStr">
        <is>
          <t>美食滋补</t>
        </is>
      </c>
      <c r="U2363" t="inlineStr">
        <is>
          <t>休闲零食</t>
        </is>
      </c>
      <c r="V2363" s="3">
        <v>46112.78107638889</v>
      </c>
      <c r="W2363" t="inlineStr">
        <is>
          <t>2026-Q1</t>
        </is>
      </c>
    </row>
    <row r="2364" ht="25.5" customHeight="1">
      <c r="A2364" t="inlineStr">
        <is>
          <t>KIMPETS · 天使翅膀宠物牵引绳工字型可调节狗背带狗绳宠物胸背带防挣脱猫链</t>
        </is>
      </c>
      <c r="B2364" t="inlineStr">
        <is>
          <t>recvdKDRQhGEyi.jpg</t>
        </is>
      </c>
      <c r="C2364" s="2" t="str">
        <f>=HYPERLINK("https://xhslink.com/m/6SGRzvPRp9S", "https://xhslink.com/m/6SGRzvPRp9S")</f>
        <v>https://xhslink.com/m/6SGRzvPRp9S</v>
      </c>
      <c r="D2364"/>
      <c r="E2364">
        <v>7024</v>
      </c>
      <c r="F2364">
        <v>17.99</v>
      </c>
      <c r="G2364"/>
      <c r="H2364">
        <v>100</v>
      </c>
      <c r="I2364" t="inlineStr">
        <is>
          <t>牵引绳</t>
        </is>
      </c>
      <c r="J2364" t="inlineStr">
        <is>
          <t>0.01</t>
        </is>
      </c>
      <c r="K2364"/>
      <c r="L2364" t="inlineStr">
        <is>
          <t>Pet Chic的店</t>
        </is>
      </c>
      <c r="M2364">
        <v>2992</v>
      </c>
      <c r="N2364">
        <v>4.68</v>
      </c>
      <c r="O2364">
        <v>14000</v>
      </c>
      <c r="P2364" t="inlineStr">
        <is>
          <t>68b6afb2a50cd9000117d67a</t>
        </is>
      </c>
      <c r="Q2364"/>
      <c r="R2364" t="inlineStr">
        <is>
          <t>14周</t>
        </is>
      </c>
      <c r="S2364" t="inlineStr">
        <is>
          <t>2.35</t>
        </is>
      </c>
      <c r="T2364" t="inlineStr">
        <is>
          <t>家居生活</t>
        </is>
      </c>
      <c r="U2364" t="inlineStr">
        <is>
          <t>宠物用品</t>
        </is>
      </c>
      <c r="V2364" s="3">
        <v>46112.78107638889</v>
      </c>
      <c r="W2364" t="inlineStr">
        <is>
          <t>2026-Q1</t>
        </is>
      </c>
    </row>
    <row r="2365" ht="25.5" customHeight="1">
      <c r="A2365" t="inlineStr">
        <is>
          <t>狗狗脚套防滑防水袜软底耐磨狗鞋柯基柴犬比熊鞋宠物鞋</t>
        </is>
      </c>
      <c r="B2365" t="inlineStr">
        <is>
          <t>recvdKDRQhzb4H.jpg</t>
        </is>
      </c>
      <c r="C2365" s="2" t="str">
        <f>=HYPERLINK("https://xhslink.com/m/2KRfcfwzneN", "https://xhslink.com/m/2KRfcfwzneN")</f>
        <v>https://xhslink.com/m/2KRfcfwzneN</v>
      </c>
      <c r="D2365"/>
      <c r="E2365">
        <v>19000</v>
      </c>
      <c r="F2365">
        <v>23.9</v>
      </c>
      <c r="G2365"/>
      <c r="H2365">
        <v>100</v>
      </c>
      <c r="I2365" t="inlineStr">
        <is>
          <t>狗鞋</t>
        </is>
      </c>
      <c r="J2365" t="inlineStr">
        <is>
          <t>0.01</t>
        </is>
      </c>
      <c r="K2365"/>
      <c r="L2365" t="inlineStr">
        <is>
          <t>瑞瑞最爱我的店</t>
        </is>
      </c>
      <c r="M2365">
        <v>72000</v>
      </c>
      <c r="N2365">
        <v>4.35</v>
      </c>
      <c r="O2365">
        <v>204000</v>
      </c>
      <c r="P2365" t="inlineStr">
        <is>
          <t>677e74e38e930600162e5369</t>
        </is>
      </c>
      <c r="Q2365"/>
      <c r="R2365" t="inlineStr">
        <is>
          <t>14周</t>
        </is>
      </c>
      <c r="S2365" t="inlineStr">
        <is>
          <t>0.26</t>
        </is>
      </c>
      <c r="T2365" t="inlineStr">
        <is>
          <t>家居生活</t>
        </is>
      </c>
      <c r="U2365" t="inlineStr">
        <is>
          <t>宠物用品</t>
        </is>
      </c>
      <c r="V2365" s="3">
        <v>46112.78107638889</v>
      </c>
      <c r="W2365" t="inlineStr">
        <is>
          <t>2026-Q1</t>
        </is>
      </c>
    </row>
    <row r="2366" ht="25.5" customHeight="1">
      <c r="A2366" t="inlineStr">
        <is>
          <t>日本面料！夏季直筒棉麻长裤</t>
        </is>
      </c>
      <c r="B2366" t="inlineStr">
        <is>
          <t>recvdKDRQhmKof.jpg</t>
        </is>
      </c>
      <c r="C2366" s="2" t="str">
        <f>=HYPERLINK("https://xhslink.com/m/ApiMqvMFUa", "https://xhslink.com/m/ApiMqvMFUa")</f>
        <v>https://xhslink.com/m/ApiMqvMFUa</v>
      </c>
      <c r="D2366"/>
      <c r="E2366">
        <v>5454</v>
      </c>
      <c r="F2366">
        <v>698</v>
      </c>
      <c r="G2366"/>
      <c r="H2366">
        <v>100</v>
      </c>
      <c r="I2366" t="inlineStr">
        <is>
          <t>裤子</t>
        </is>
      </c>
      <c r="J2366" t="inlineStr">
        <is>
          <t>0.02</t>
        </is>
      </c>
      <c r="K2366"/>
      <c r="L2366" t="inlineStr">
        <is>
          <t>高坂大叔的店</t>
        </is>
      </c>
      <c r="M2366">
        <v>111000</v>
      </c>
      <c r="N2366">
        <v>4.77</v>
      </c>
      <c r="O2366">
        <v>417000</v>
      </c>
      <c r="P2366" t="inlineStr">
        <is>
          <t>67edf6c484d56b00013ba6a1</t>
        </is>
      </c>
      <c r="Q2366" t="inlineStr">
        <is>
          <t>🚫重复</t>
        </is>
      </c>
      <c r="R2366" t="inlineStr">
        <is>
          <t>14周</t>
        </is>
      </c>
      <c r="S2366" t="inlineStr">
        <is>
          <t>0.05</t>
        </is>
      </c>
      <c r="T2366" t="inlineStr">
        <is>
          <t>服饰穿搭</t>
        </is>
      </c>
      <c r="U2366" t="inlineStr">
        <is>
          <t>女装</t>
        </is>
      </c>
      <c r="V2366" s="3">
        <v>46112.78107638889</v>
      </c>
      <c r="W2366" t="inlineStr">
        <is>
          <t>2026-Q1</t>
        </is>
      </c>
    </row>
    <row r="2367" ht="25.5" customHeight="1">
      <c r="A2367" t="inlineStr">
        <is>
          <t>韩系芭蕾腰头花边拼接显瘦三条杠休闲弯刀裤</t>
        </is>
      </c>
      <c r="B2367" t="inlineStr">
        <is>
          <t>recvdKDRQhlDW2.jpg</t>
        </is>
      </c>
      <c r="C2367" s="2" t="str">
        <f>=HYPERLINK("https://xhslink.com/m/4o5eMXSQBkl", "https://xhslink.com/m/4o5eMXSQBkl")</f>
        <v>https://xhslink.com/m/4o5eMXSQBkl</v>
      </c>
      <c r="D2367"/>
      <c r="E2367">
        <v>3674</v>
      </c>
      <c r="F2367">
        <v>699</v>
      </c>
      <c r="G2367"/>
      <c r="H2367">
        <v>100</v>
      </c>
      <c r="I2367" t="inlineStr">
        <is>
          <t>裤子</t>
        </is>
      </c>
      <c r="J2367" t="inlineStr">
        <is>
          <t>0.03</t>
        </is>
      </c>
      <c r="K2367"/>
      <c r="L2367" t="inlineStr">
        <is>
          <t>青岛小葵家外贸的店</t>
        </is>
      </c>
      <c r="M2367">
        <v>212000</v>
      </c>
      <c r="N2367">
        <v>4.53</v>
      </c>
      <c r="O2367">
        <v>99000</v>
      </c>
      <c r="P2367" t="inlineStr">
        <is>
          <t>69a107fd62c5c00015b16d67</t>
        </is>
      </c>
      <c r="Q2367" t="inlineStr">
        <is>
          <t>🚫重复</t>
        </is>
      </c>
      <c r="R2367" t="inlineStr">
        <is>
          <t>14周</t>
        </is>
      </c>
      <c r="S2367" t="inlineStr">
        <is>
          <t>0.02</t>
        </is>
      </c>
      <c r="T2367" t="inlineStr">
        <is>
          <t>服饰穿搭</t>
        </is>
      </c>
      <c r="U2367" t="inlineStr">
        <is>
          <t>女装</t>
        </is>
      </c>
      <c r="V2367" s="3">
        <v>46112.78107638889</v>
      </c>
      <c r="W2367" t="inlineStr">
        <is>
          <t>2026-Q1</t>
        </is>
      </c>
    </row>
    <row r="2368" ht="25.5" customHeight="1">
      <c r="A2368" t="inlineStr">
        <is>
          <t>Ed双面穿皮草外套！一件难求</t>
        </is>
      </c>
      <c r="B2368" t="inlineStr">
        <is>
          <t>recvdKDRQhPWu2.jpg</t>
        </is>
      </c>
      <c r="C2368" s="2" t="str">
        <f>=HYPERLINK("https://xhslink.com/m/1SVFKgULkq6", "https://xhslink.com/m/1SVFKgULkq6")</f>
        <v>https://xhslink.com/m/1SVFKgULkq6</v>
      </c>
      <c r="D2368"/>
      <c r="E2368">
        <v>22000</v>
      </c>
      <c r="F2368">
        <v>699</v>
      </c>
      <c r="G2368"/>
      <c r="H2368">
        <v>100</v>
      </c>
      <c r="I2368" t="inlineStr">
        <is>
          <t>外套</t>
        </is>
      </c>
      <c r="J2368" t="inlineStr">
        <is>
          <t>0.00</t>
        </is>
      </c>
      <c r="K2368"/>
      <c r="L2368" t="inlineStr">
        <is>
          <t>推土机的的店</t>
        </is>
      </c>
      <c r="M2368">
        <v>38000</v>
      </c>
      <c r="N2368">
        <v>4.77</v>
      </c>
      <c r="O2368">
        <v>72000</v>
      </c>
      <c r="P2368" t="inlineStr">
        <is>
          <t>6922f11255b7d600017780ae</t>
        </is>
      </c>
      <c r="Q2368" t="inlineStr">
        <is>
          <t>🚫重复</t>
        </is>
      </c>
      <c r="R2368" t="inlineStr">
        <is>
          <t>14周</t>
        </is>
      </c>
      <c r="S2368" t="inlineStr">
        <is>
          <t>0.58</t>
        </is>
      </c>
      <c r="T2368" t="inlineStr">
        <is>
          <t>服饰穿搭</t>
        </is>
      </c>
      <c r="U2368" t="inlineStr">
        <is>
          <t>女装</t>
        </is>
      </c>
      <c r="V2368" s="3">
        <v>46112.78107638889</v>
      </c>
      <c r="W2368" t="inlineStr">
        <is>
          <t>2026-Q1</t>
        </is>
      </c>
    </row>
    <row r="2369" ht="25.5" customHeight="1">
      <c r="A2369" t="inlineStr">
        <is>
          <t>自制 巧克力棕慵懒天花板波士顿腋下包包 超松弛</t>
        </is>
      </c>
      <c r="B2369" t="inlineStr">
        <is>
          <t>recvdKDRQhAcSO.jpg</t>
        </is>
      </c>
      <c r="C2369" s="2" t="str">
        <f>=HYPERLINK("https://xhslink.com/m/8JQBqqr55NB", "https://xhslink.com/m/8JQBqqr55NB")</f>
        <v>https://xhslink.com/m/8JQBqqr55NB</v>
      </c>
      <c r="D2369"/>
      <c r="E2369">
        <v>27000</v>
      </c>
      <c r="F2369">
        <v>298</v>
      </c>
      <c r="G2369"/>
      <c r="H2369">
        <v>100</v>
      </c>
      <c r="I2369" t="inlineStr">
        <is>
          <t>包包</t>
        </is>
      </c>
      <c r="J2369" t="inlineStr">
        <is>
          <t>0.00</t>
        </is>
      </c>
      <c r="K2369"/>
      <c r="L2369" t="inlineStr">
        <is>
          <t>大宇姓张的店</t>
        </is>
      </c>
      <c r="M2369">
        <v>184000</v>
      </c>
      <c r="N2369">
        <v>4.73</v>
      </c>
      <c r="O2369">
        <v>296000</v>
      </c>
      <c r="P2369" t="inlineStr">
        <is>
          <t>66b453f57b8c7700013d70c5</t>
        </is>
      </c>
      <c r="Q2369" t="inlineStr">
        <is>
          <t>🚫重复</t>
        </is>
      </c>
      <c r="R2369" t="inlineStr">
        <is>
          <t>14周</t>
        </is>
      </c>
      <c r="S2369" t="inlineStr">
        <is>
          <t>0.15</t>
        </is>
      </c>
      <c r="T2369" t="inlineStr">
        <is>
          <t>服饰穿搭</t>
        </is>
      </c>
      <c r="U2369" t="inlineStr">
        <is>
          <t>鞋靴箱包</t>
        </is>
      </c>
      <c r="V2369" s="3">
        <v>46112.78107638889</v>
      </c>
      <c r="W2369" t="inlineStr">
        <is>
          <t>2026-Q1</t>
        </is>
      </c>
    </row>
    <row r="2370" ht="25.5" customHeight="1">
      <c r="A2370" t="inlineStr">
        <is>
          <t>丛一 2025秋季法式甜美温柔风白色蕾丝连衣裙长袖收腰气质长裙女</t>
        </is>
      </c>
      <c r="B2370" t="inlineStr">
        <is>
          <t>recvdKDRQhkPIz.jpg</t>
        </is>
      </c>
      <c r="C2370" s="2" t="str">
        <f>=HYPERLINK("https://xhslink.com/m/7SuOGQgUXEJ", "https://xhslink.com/m/7SuOGQgUXEJ")</f>
        <v>https://xhslink.com/m/7SuOGQgUXEJ</v>
      </c>
      <c r="D2370"/>
      <c r="E2370">
        <v>7495</v>
      </c>
      <c r="F2370">
        <v>158</v>
      </c>
      <c r="G2370"/>
      <c r="H2370">
        <v>100</v>
      </c>
      <c r="I2370" t="inlineStr">
        <is>
          <t>连衣裙</t>
        </is>
      </c>
      <c r="J2370" t="inlineStr">
        <is>
          <t>0.01</t>
        </is>
      </c>
      <c r="K2370"/>
      <c r="L2370" t="inlineStr">
        <is>
          <t>丛一 新中式的店</t>
        </is>
      </c>
      <c r="M2370">
        <v>5964</v>
      </c>
      <c r="N2370">
        <v>4.31</v>
      </c>
      <c r="O2370">
        <v>41000</v>
      </c>
      <c r="P2370" t="inlineStr">
        <is>
          <t>68b98a115e5b2f00011208f3</t>
        </is>
      </c>
      <c r="Q2370" t="inlineStr">
        <is>
          <t>🚫重复</t>
        </is>
      </c>
      <c r="R2370" t="inlineStr">
        <is>
          <t>14周</t>
        </is>
      </c>
      <c r="S2370" t="inlineStr">
        <is>
          <t>1.26</t>
        </is>
      </c>
      <c r="T2370" t="inlineStr">
        <is>
          <t>服饰穿搭</t>
        </is>
      </c>
      <c r="U2370" t="inlineStr">
        <is>
          <t>女装</t>
        </is>
      </c>
      <c r="V2370" s="3">
        <v>46112.78107638889</v>
      </c>
      <c r="W2370" t="inlineStr">
        <is>
          <t>2026-Q1</t>
        </is>
      </c>
    </row>
    <row r="2371" ht="25.5" customHeight="1">
      <c r="A2371" t="inlineStr">
        <is>
          <t>日本三醋酸连衣裙+桑蚕丝内衬</t>
        </is>
      </c>
      <c r="B2371" t="inlineStr">
        <is>
          <t>recvdKDRQhxboR.jpg</t>
        </is>
      </c>
      <c r="C2371" s="2" t="str">
        <f>=HYPERLINK("https://xhslink.com/m/9bUG3vTPSCj", "https://xhslink.com/m/9bUG3vTPSCj")</f>
        <v>https://xhslink.com/m/9bUG3vTPSCj</v>
      </c>
      <c r="D2371"/>
      <c r="E2371">
        <v>3953</v>
      </c>
      <c r="F2371">
        <v>788</v>
      </c>
      <c r="G2371"/>
      <c r="H2371">
        <v>100</v>
      </c>
      <c r="I2371" t="inlineStr">
        <is>
          <t>连衣裙</t>
        </is>
      </c>
      <c r="J2371" t="inlineStr">
        <is>
          <t>0.03</t>
        </is>
      </c>
      <c r="K2371"/>
      <c r="L2371" t="inlineStr">
        <is>
          <t>高坂大叔的店</t>
        </is>
      </c>
      <c r="M2371">
        <v>111000</v>
      </c>
      <c r="N2371">
        <v>4.77</v>
      </c>
      <c r="O2371">
        <v>417000</v>
      </c>
      <c r="P2371" t="inlineStr">
        <is>
          <t>67e5ed9a79c93d0001ea4e69</t>
        </is>
      </c>
      <c r="Q2371" t="inlineStr">
        <is>
          <t>🚫重复</t>
        </is>
      </c>
      <c r="R2371" t="inlineStr">
        <is>
          <t>14周</t>
        </is>
      </c>
      <c r="S2371" t="inlineStr">
        <is>
          <t>0.04</t>
        </is>
      </c>
      <c r="T2371" t="inlineStr">
        <is>
          <t>服饰穿搭</t>
        </is>
      </c>
      <c r="U2371" t="inlineStr">
        <is>
          <t>女装</t>
        </is>
      </c>
      <c r="V2371" s="3">
        <v>46112.78107638889</v>
      </c>
      <c r="W2371" t="inlineStr">
        <is>
          <t>2026-Q1</t>
        </is>
      </c>
    </row>
    <row r="2372" ht="25.5" customHeight="1">
      <c r="A2372" t="inlineStr">
        <is>
          <t>OVV · 春夏新款女装镂空撞色几何POLO领针织短袖连衣裙GQZZJ14003A</t>
        </is>
      </c>
      <c r="B2372" t="inlineStr">
        <is>
          <t>recvdKDRQh8tbW.jpg</t>
        </is>
      </c>
      <c r="C2372" s="2" t="str">
        <f>=HYPERLINK("https://xhslink.com/m/6iq5dbRTqQ", "https://xhslink.com/m/6iq5dbRTqQ")</f>
        <v>https://xhslink.com/m/6iq5dbRTqQ</v>
      </c>
      <c r="D2372"/>
      <c r="E2372">
        <v>881</v>
      </c>
      <c r="F2372">
        <v>1599</v>
      </c>
      <c r="G2372"/>
      <c r="H2372">
        <v>100</v>
      </c>
      <c r="I2372" t="inlineStr">
        <is>
          <t>连衣裙</t>
        </is>
      </c>
      <c r="J2372" t="inlineStr">
        <is>
          <t>0.11</t>
        </is>
      </c>
      <c r="K2372"/>
      <c r="L2372" t="inlineStr">
        <is>
          <t>OVV旗舰店</t>
        </is>
      </c>
      <c r="M2372">
        <v>50000</v>
      </c>
      <c r="N2372">
        <v>4.6</v>
      </c>
      <c r="O2372">
        <v>270000</v>
      </c>
      <c r="P2372" t="inlineStr">
        <is>
          <t>65e809d55f946000013f4ce4</t>
        </is>
      </c>
      <c r="Q2372"/>
      <c r="R2372" t="inlineStr">
        <is>
          <t>14周</t>
        </is>
      </c>
      <c r="S2372" t="inlineStr">
        <is>
          <t>0.02</t>
        </is>
      </c>
      <c r="T2372" t="inlineStr">
        <is>
          <t>服饰穿搭</t>
        </is>
      </c>
      <c r="U2372" t="inlineStr">
        <is>
          <t>女装</t>
        </is>
      </c>
      <c r="V2372" s="3">
        <v>46112.78107638889</v>
      </c>
      <c r="W2372" t="inlineStr">
        <is>
          <t>2026-Q1</t>
        </is>
      </c>
    </row>
    <row r="2373" ht="25.5" customHeight="1">
      <c r="A2373" t="inlineStr">
        <is>
          <t>抗拒不了白衬衫 经典</t>
        </is>
      </c>
      <c r="B2373" t="inlineStr">
        <is>
          <t>recvdKDRQh3EkV.jpg</t>
        </is>
      </c>
      <c r="C2373" s="2" t="str">
        <f>=HYPERLINK("https://xhslink.com/m/8gg51ANaPaf", "https://xhslink.com/m/8gg51ANaPaf")</f>
        <v>https://xhslink.com/m/8gg51ANaPaf</v>
      </c>
      <c r="D2373"/>
      <c r="E2373">
        <v>2660</v>
      </c>
      <c r="F2373">
        <v>369</v>
      </c>
      <c r="G2373"/>
      <c r="H2373">
        <v>100</v>
      </c>
      <c r="I2373" t="inlineStr">
        <is>
          <t>衬衫</t>
        </is>
      </c>
      <c r="J2373" t="inlineStr">
        <is>
          <t>0.04</t>
        </is>
      </c>
      <c r="K2373"/>
      <c r="L2373" t="inlineStr">
        <is>
          <t>推土机的的店</t>
        </is>
      </c>
      <c r="M2373">
        <v>38000</v>
      </c>
      <c r="N2373">
        <v>4.77</v>
      </c>
      <c r="O2373">
        <v>72000</v>
      </c>
      <c r="P2373" t="inlineStr">
        <is>
          <t>695cfbb18a5a370001d98336</t>
        </is>
      </c>
      <c r="Q2373" t="inlineStr">
        <is>
          <t>🚫重复</t>
        </is>
      </c>
      <c r="R2373" t="inlineStr">
        <is>
          <t>14周</t>
        </is>
      </c>
      <c r="S2373" t="inlineStr">
        <is>
          <t>0.07</t>
        </is>
      </c>
      <c r="T2373" t="inlineStr">
        <is>
          <t>服饰穿搭</t>
        </is>
      </c>
      <c r="U2373" t="inlineStr">
        <is>
          <t>女装</t>
        </is>
      </c>
      <c r="V2373" s="3">
        <v>46112.78107638889</v>
      </c>
      <c r="W2373" t="inlineStr">
        <is>
          <t>2026-Q1</t>
        </is>
      </c>
    </row>
    <row r="2374" ht="25.5" customHeight="1">
      <c r="A2374" t="inlineStr">
        <is>
          <t>卫衣女外套2026新款连帽巨好看的秋冬季修身显瘦小个子拉链上衣女</t>
        </is>
      </c>
      <c r="B2374" t="inlineStr">
        <is>
          <t>recvdKDRQh4raT.jpg</t>
        </is>
      </c>
      <c r="C2374" s="2" t="str">
        <f>=HYPERLINK("https://xhslink.com/m/A2PsjcCDPxh", "https://xhslink.com/m/A2PsjcCDPxh")</f>
        <v>https://xhslink.com/m/A2PsjcCDPxh</v>
      </c>
      <c r="D2374"/>
      <c r="E2374">
        <v>1655</v>
      </c>
      <c r="F2374">
        <v>199.9</v>
      </c>
      <c r="G2374"/>
      <c r="H2374">
        <v>100</v>
      </c>
      <c r="I2374" t="inlineStr">
        <is>
          <t>卫衣外套</t>
        </is>
      </c>
      <c r="J2374" t="inlineStr">
        <is>
          <t>0.06</t>
        </is>
      </c>
      <c r="K2374"/>
      <c r="L2374" t="inlineStr">
        <is>
          <t>中山恋淑雅服饰的店</t>
        </is>
      </c>
      <c r="M2374">
        <v>2996</v>
      </c>
      <c r="N2374">
        <v>4.6</v>
      </c>
      <c r="O2374">
        <v>143000</v>
      </c>
      <c r="P2374" t="inlineStr">
        <is>
          <t>68d792c5002e7e0001c8ec31</t>
        </is>
      </c>
      <c r="Q2374" t="inlineStr">
        <is>
          <t>🚫重复</t>
        </is>
      </c>
      <c r="R2374" t="inlineStr">
        <is>
          <t>14周</t>
        </is>
      </c>
      <c r="S2374" t="inlineStr">
        <is>
          <t>0.55</t>
        </is>
      </c>
      <c r="T2374" t="inlineStr">
        <is>
          <t>服饰穿搭</t>
        </is>
      </c>
      <c r="U2374" t="inlineStr">
        <is>
          <t>女装</t>
        </is>
      </c>
      <c r="V2374" s="3">
        <v>46112.78107638889</v>
      </c>
      <c r="W2374" t="inlineStr">
        <is>
          <t>2026-Q1</t>
        </is>
      </c>
    </row>
    <row r="2375" ht="25.5" customHeight="1">
      <c r="A2375" t="inlineStr">
        <is>
          <t>新款复古辣妹修身显瘦热裤辣妹短裤高腰热裤女高腰短裤</t>
        </is>
      </c>
      <c r="B2375" t="inlineStr">
        <is>
          <t>recvdKDRQhUIao.jpg</t>
        </is>
      </c>
      <c r="C2375" s="2" t="str">
        <f>=HYPERLINK("https://xhslink.com/m/7YhYqb1JHtz", "https://xhslink.com/m/7YhYqb1JHtz")</f>
        <v>https://xhslink.com/m/7YhYqb1JHtz</v>
      </c>
      <c r="D2375"/>
      <c r="E2375">
        <v>69000</v>
      </c>
      <c r="F2375">
        <v>49.9</v>
      </c>
      <c r="G2375"/>
      <c r="H2375">
        <v>100</v>
      </c>
      <c r="I2375" t="inlineStr">
        <is>
          <t>短裤</t>
        </is>
      </c>
      <c r="J2375" t="inlineStr">
        <is>
          <t>0.00</t>
        </is>
      </c>
      <c r="K2375" t="inlineStr">
        <is>
          <t>🔥低粉爆款</t>
        </is>
      </c>
      <c r="L2375" t="inlineStr">
        <is>
          <t>喵准月亮03040的店</t>
        </is>
      </c>
      <c r="M2375">
        <v>3389</v>
      </c>
      <c r="N2375">
        <v>4.56</v>
      </c>
      <c r="O2375">
        <v>83000</v>
      </c>
      <c r="P2375" t="inlineStr">
        <is>
          <t>657847c575af9d000181640e</t>
        </is>
      </c>
      <c r="Q2375"/>
      <c r="R2375" t="inlineStr">
        <is>
          <t>14周</t>
        </is>
      </c>
      <c r="S2375" t="inlineStr">
        <is>
          <t>20.36</t>
        </is>
      </c>
      <c r="T2375" t="inlineStr">
        <is>
          <t>服饰穿搭</t>
        </is>
      </c>
      <c r="U2375" t="inlineStr">
        <is>
          <t>女装</t>
        </is>
      </c>
      <c r="V2375" s="3">
        <v>46112.78107638889</v>
      </c>
      <c r="W2375" t="inlineStr">
        <is>
          <t>2026-Q1</t>
        </is>
      </c>
    </row>
    <row r="2376" ht="25.5" customHeight="1">
      <c r="A2376" t="inlineStr">
        <is>
          <t>NEIXIU内秀【自制版型王长裤】白色四面弹莱塞尔窄版直筒牛仔裤</t>
        </is>
      </c>
      <c r="B2376" t="inlineStr">
        <is>
          <t>recvdKDRQhIMVn.jpg</t>
        </is>
      </c>
      <c r="C2376" s="2" t="str">
        <f>=HYPERLINK("https://xhslink.com/m/65haTP7zTek", "https://xhslink.com/m/65haTP7zTek")</f>
        <v>https://xhslink.com/m/65haTP7zTek</v>
      </c>
      <c r="D2376"/>
      <c r="E2376">
        <v>2558</v>
      </c>
      <c r="F2376">
        <v>318</v>
      </c>
      <c r="G2376"/>
      <c r="H2376">
        <v>100</v>
      </c>
      <c r="I2376" t="inlineStr">
        <is>
          <t>直裤</t>
        </is>
      </c>
      <c r="J2376" t="inlineStr">
        <is>
          <t>0.04</t>
        </is>
      </c>
      <c r="K2376"/>
      <c r="L2376" t="inlineStr">
        <is>
          <t>NEIXIU内秀的店</t>
        </is>
      </c>
      <c r="M2376">
        <v>8094</v>
      </c>
      <c r="N2376">
        <v>4.55</v>
      </c>
      <c r="O2376">
        <v>11000</v>
      </c>
      <c r="P2376" t="inlineStr">
        <is>
          <t>68bd099b096c87000198265b</t>
        </is>
      </c>
      <c r="Q2376"/>
      <c r="R2376" t="inlineStr">
        <is>
          <t>14周</t>
        </is>
      </c>
      <c r="S2376" t="inlineStr">
        <is>
          <t>0.32</t>
        </is>
      </c>
      <c r="T2376" t="inlineStr">
        <is>
          <t>服饰穿搭</t>
        </is>
      </c>
      <c r="U2376" t="inlineStr">
        <is>
          <t>女装</t>
        </is>
      </c>
      <c r="V2376" s="3">
        <v>46112.78107638889</v>
      </c>
      <c r="W2376" t="inlineStr">
        <is>
          <t>2026-Q1</t>
        </is>
      </c>
    </row>
    <row r="2377" ht="25.5" customHeight="1">
      <c r="A2377" t="inlineStr">
        <is>
          <t>超细澳羊毛阔腿裤</t>
        </is>
      </c>
      <c r="B2377" t="inlineStr">
        <is>
          <t>recvdKDRQhvxl5.jpg</t>
        </is>
      </c>
      <c r="C2377" s="2" t="str">
        <f>=HYPERLINK("https://xhslink.com/m/4nc7LyKhyeD", "https://xhslink.com/m/4nc7LyKhyeD")</f>
        <v>https://xhslink.com/m/4nc7LyKhyeD</v>
      </c>
      <c r="D2377"/>
      <c r="E2377">
        <v>12000</v>
      </c>
      <c r="F2377">
        <v>768</v>
      </c>
      <c r="G2377"/>
      <c r="H2377">
        <v>100</v>
      </c>
      <c r="I2377" t="inlineStr">
        <is>
          <t>休闲裤</t>
        </is>
      </c>
      <c r="J2377" t="inlineStr">
        <is>
          <t>0.01</t>
        </is>
      </c>
      <c r="K2377"/>
      <c r="L2377" t="inlineStr">
        <is>
          <t>高坂大叔的店</t>
        </is>
      </c>
      <c r="M2377">
        <v>111000</v>
      </c>
      <c r="N2377">
        <v>4.77</v>
      </c>
      <c r="O2377">
        <v>417000</v>
      </c>
      <c r="P2377" t="inlineStr">
        <is>
          <t>68f87db2b8a4f60001bdcda6</t>
        </is>
      </c>
      <c r="Q2377" t="inlineStr">
        <is>
          <t>🚫重复</t>
        </is>
      </c>
      <c r="R2377" t="inlineStr">
        <is>
          <t>14周</t>
        </is>
      </c>
      <c r="S2377" t="inlineStr">
        <is>
          <t>0.11</t>
        </is>
      </c>
      <c r="T2377" t="inlineStr">
        <is>
          <t>服饰穿搭</t>
        </is>
      </c>
      <c r="U2377" t="inlineStr">
        <is>
          <t>女装</t>
        </is>
      </c>
      <c r="V2377" s="3">
        <v>46112.78107638889</v>
      </c>
      <c r="W2377" t="inlineStr">
        <is>
          <t>2026-Q1</t>
        </is>
      </c>
    </row>
    <row r="2378" ht="25.5" customHeight="1">
      <c r="A2378" t="inlineStr">
        <is>
          <t>日本面料！夏季直筒棉麻长裤</t>
        </is>
      </c>
      <c r="B2378" t="inlineStr">
        <is>
          <t>recvdKDRQhZzSm.jpg</t>
        </is>
      </c>
      <c r="C2378" s="2" t="str">
        <f>=HYPERLINK("https://xhslink.com/m/1nem1wBoWyX", "https://xhslink.com/m/1nem1wBoWyX")</f>
        <v>https://xhslink.com/m/1nem1wBoWyX</v>
      </c>
      <c r="D2378"/>
      <c r="E2378">
        <v>5463</v>
      </c>
      <c r="F2378">
        <v>698</v>
      </c>
      <c r="G2378"/>
      <c r="H2378">
        <v>100</v>
      </c>
      <c r="I2378" t="inlineStr">
        <is>
          <t>休闲裤</t>
        </is>
      </c>
      <c r="J2378" t="inlineStr">
        <is>
          <t>0.02</t>
        </is>
      </c>
      <c r="K2378"/>
      <c r="L2378" t="inlineStr">
        <is>
          <t>高坂大叔的店</t>
        </is>
      </c>
      <c r="M2378">
        <v>111000</v>
      </c>
      <c r="N2378">
        <v>4.77</v>
      </c>
      <c r="O2378">
        <v>417000</v>
      </c>
      <c r="P2378" t="inlineStr">
        <is>
          <t>67edf6c484d56b00013ba6bf</t>
        </is>
      </c>
      <c r="Q2378" t="inlineStr">
        <is>
          <t>🚫重复</t>
        </is>
      </c>
      <c r="R2378" t="inlineStr">
        <is>
          <t>14周</t>
        </is>
      </c>
      <c r="S2378" t="inlineStr">
        <is>
          <t>0.05</t>
        </is>
      </c>
      <c r="T2378" t="inlineStr">
        <is>
          <t>服饰穿搭</t>
        </is>
      </c>
      <c r="U2378" t="inlineStr">
        <is>
          <t>女装</t>
        </is>
      </c>
      <c r="V2378" s="3">
        <v>46112.78107638889</v>
      </c>
      <c r="W2378" t="inlineStr">
        <is>
          <t>2026-Q1</t>
        </is>
      </c>
    </row>
    <row r="2379" ht="25.5" customHeight="1">
      <c r="A2379" t="inlineStr">
        <is>
          <t>ADDTOBAG · 【奢感】秋冬羊毛混纺西裤极简老钱高腰直筒微喇垂感拖地长裤</t>
        </is>
      </c>
      <c r="B2379" t="inlineStr">
        <is>
          <t>recvdKDRQhWf28.jpg</t>
        </is>
      </c>
      <c r="C2379" s="2" t="str">
        <f>=HYPERLINK("https://xhslink.com/m/3BcWTuXVzqR", "https://xhslink.com/m/3BcWTuXVzqR")</f>
        <v>https://xhslink.com/m/3BcWTuXVzqR</v>
      </c>
      <c r="D2379"/>
      <c r="E2379">
        <v>1310</v>
      </c>
      <c r="F2379">
        <v>269</v>
      </c>
      <c r="G2379"/>
      <c r="H2379">
        <v>100</v>
      </c>
      <c r="I2379" t="inlineStr">
        <is>
          <t>西裤</t>
        </is>
      </c>
      <c r="J2379" t="inlineStr">
        <is>
          <t>0.08</t>
        </is>
      </c>
      <c r="K2379"/>
      <c r="L2379" t="inlineStr">
        <is>
          <t>ADDTOBAG的店</t>
        </is>
      </c>
      <c r="M2379">
        <v>727</v>
      </c>
      <c r="N2379">
        <v>4.64</v>
      </c>
      <c r="O2379">
        <v>2635</v>
      </c>
      <c r="P2379" t="inlineStr">
        <is>
          <t>6909a39ac4f891000185b46c</t>
        </is>
      </c>
      <c r="Q2379" t="inlineStr">
        <is>
          <t>🚫重复</t>
        </is>
      </c>
      <c r="R2379" t="inlineStr">
        <is>
          <t>14周</t>
        </is>
      </c>
      <c r="S2379" t="inlineStr">
        <is>
          <t>1.80</t>
        </is>
      </c>
      <c r="T2379" t="inlineStr">
        <is>
          <t>服饰穿搭</t>
        </is>
      </c>
      <c r="U2379" t="inlineStr">
        <is>
          <t>女装</t>
        </is>
      </c>
      <c r="V2379" s="3">
        <v>46112.78107638889</v>
      </c>
      <c r="W2379" t="inlineStr">
        <is>
          <t>2026-Q1</t>
        </is>
      </c>
    </row>
    <row r="2380" ht="25.5" customHeight="1">
      <c r="A2380" t="inlineStr">
        <is>
          <t>超细牛肉干《不是脆的散装发货》不支持退换</t>
        </is>
      </c>
      <c r="B2380" t="inlineStr">
        <is>
          <t>recvdOJ3S2Xn9e.jpg</t>
        </is>
      </c>
      <c r="C2380" s="2" t="str">
        <f>=HYPERLINK("https://xhslink.com/m/8rdlFCiTjsO", "https://xhslink.com/m/8rdlFCiTjsO")</f>
        <v>https://xhslink.com/m/8rdlFCiTjsO</v>
      </c>
      <c r="D2380"/>
      <c r="E2380">
        <v>5689</v>
      </c>
      <c r="F2380">
        <v>178</v>
      </c>
      <c r="G2380"/>
      <c r="H2380">
        <v>100</v>
      </c>
      <c r="I2380" t="inlineStr">
        <is>
          <t>肉干</t>
        </is>
      </c>
      <c r="J2380" t="inlineStr">
        <is>
          <t>0.02</t>
        </is>
      </c>
      <c r="K2380"/>
      <c r="L2380" t="inlineStr">
        <is>
          <t>白芳风干碳烤牛肉干店的店</t>
        </is>
      </c>
      <c r="M2380">
        <v>4034</v>
      </c>
      <c r="N2380">
        <v>4.6</v>
      </c>
      <c r="O2380">
        <v>33000</v>
      </c>
      <c r="P2380" t="inlineStr">
        <is>
          <t>6747c5a849ec9e0001345b90</t>
        </is>
      </c>
      <c r="Q2380" t="inlineStr">
        <is>
          <t>🚫重复</t>
        </is>
      </c>
      <c r="R2380" t="inlineStr">
        <is>
          <t>14周</t>
        </is>
      </c>
      <c r="S2380" t="inlineStr">
        <is>
          <t>1.41</t>
        </is>
      </c>
      <c r="T2380" t="inlineStr">
        <is>
          <t>美食滋补</t>
        </is>
      </c>
      <c r="U2380" t="inlineStr">
        <is>
          <t>休闲零食</t>
        </is>
      </c>
      <c r="V2380" s="3">
        <v>46112.78107638889</v>
      </c>
      <c r="W2380" t="inlineStr">
        <is>
          <t>2026-Q1</t>
        </is>
      </c>
    </row>
    <row r="2381" ht="25.5" customHeight="1">
      <c r="A2381" t="inlineStr">
        <is>
          <t>南国宏豆 · 湖南正宗攸县香干250g/包生鲜农家格子豆干方便菜</t>
        </is>
      </c>
      <c r="B2381" t="inlineStr">
        <is>
          <t>recvdOJ3S2XAzh.jpg</t>
        </is>
      </c>
      <c r="C2381" s="2" t="str">
        <f>=HYPERLINK("https://xhslink.com/m/5tBqy82cqp1", "https://xhslink.com/m/5tBqy82cqp1")</f>
        <v>https://xhslink.com/m/5tBqy82cqp1</v>
      </c>
      <c r="D2381"/>
      <c r="E2381">
        <v>18000</v>
      </c>
      <c r="F2381">
        <v>29.9</v>
      </c>
      <c r="G2381"/>
      <c r="H2381">
        <v>100</v>
      </c>
      <c r="I2381" t="inlineStr">
        <is>
          <t>豆干</t>
        </is>
      </c>
      <c r="J2381" t="inlineStr">
        <is>
          <t>0.01</t>
        </is>
      </c>
      <c r="K2381" t="inlineStr">
        <is>
          <t>🔥低粉爆款</t>
        </is>
      </c>
      <c r="L2381" t="inlineStr">
        <is>
          <t>南国宏豆食品旗舰店</t>
        </is>
      </c>
      <c r="M2381">
        <v>219</v>
      </c>
      <c r="N2381">
        <v>4.67</v>
      </c>
      <c r="O2381">
        <v>22000</v>
      </c>
      <c r="P2381" t="inlineStr">
        <is>
          <t>6809db39b5ecfc00019a0127</t>
        </is>
      </c>
      <c r="Q2381"/>
      <c r="R2381" t="inlineStr">
        <is>
          <t>14周</t>
        </is>
      </c>
      <c r="S2381" t="inlineStr">
        <is>
          <t>82.19</t>
        </is>
      </c>
      <c r="T2381" t="inlineStr">
        <is>
          <t>美食滋补</t>
        </is>
      </c>
      <c r="U2381" t="inlineStr">
        <is>
          <t>生鲜特产</t>
        </is>
      </c>
      <c r="V2381" s="3">
        <v>46112.78107638889</v>
      </c>
      <c r="W2381" t="inlineStr">
        <is>
          <t>2026-Q1</t>
        </is>
      </c>
    </row>
    <row r="2382" ht="25.5" customHeight="1">
      <c r="A2382" t="inlineStr">
        <is>
          <t>甘果四喜 · 清脆多汁 正宗云南天山雪莲果2/5/9斤 红泥沙新鲜现挖现发水果</t>
        </is>
      </c>
      <c r="B2382" t="inlineStr">
        <is>
          <t>recvdOJ3S2NsiU.jpg</t>
        </is>
      </c>
      <c r="C2382" s="2" t="str">
        <f>=HYPERLINK("https://xhslink.com/m/3ofBqhYLqPi", "https://xhslink.com/m/3ofBqhYLqPi")</f>
        <v>https://xhslink.com/m/3ofBqhYLqPi</v>
      </c>
      <c r="D2382"/>
      <c r="E2382">
        <v>545000</v>
      </c>
      <c r="F2382">
        <v>18.9</v>
      </c>
      <c r="G2382"/>
      <c r="H2382">
        <v>100</v>
      </c>
      <c r="I2382" t="inlineStr">
        <is>
          <t>水果</t>
        </is>
      </c>
      <c r="J2382" t="inlineStr">
        <is>
          <t>0.00</t>
        </is>
      </c>
      <c r="K2382" t="inlineStr">
        <is>
          <t>🔥低粉爆款</t>
        </is>
      </c>
      <c r="L2382" t="inlineStr">
        <is>
          <t>甘果四喜旗舰店</t>
        </is>
      </c>
      <c r="M2382">
        <v>23000</v>
      </c>
      <c r="N2382">
        <v>4.52</v>
      </c>
      <c r="O2382">
        <v>2078000</v>
      </c>
      <c r="P2382" t="inlineStr">
        <is>
          <t>68b826fe7675b40001f03bca</t>
        </is>
      </c>
      <c r="Q2382" t="inlineStr">
        <is>
          <t>🚫重复</t>
        </is>
      </c>
      <c r="R2382" t="inlineStr">
        <is>
          <t>14周</t>
        </is>
      </c>
      <c r="S2382" t="inlineStr">
        <is>
          <t>23.70</t>
        </is>
      </c>
      <c r="T2382" t="inlineStr">
        <is>
          <t>美食滋补</t>
        </is>
      </c>
      <c r="U2382" t="inlineStr">
        <is>
          <t>生鲜特产</t>
        </is>
      </c>
      <c r="V2382" s="3">
        <v>46112.78107638889</v>
      </c>
      <c r="W2382" t="inlineStr">
        <is>
          <t>2026-Q1</t>
        </is>
      </c>
    </row>
    <row r="2383" ht="25.5" customHeight="1">
      <c r="A2383" t="inlineStr">
        <is>
          <t>榴莲“小奶包”！地表最强东部果，奶香浓郁甜糯爆表！</t>
        </is>
      </c>
      <c r="B2383" t="inlineStr">
        <is>
          <t>recvdOJ3S2gfic.jpg</t>
        </is>
      </c>
      <c r="C2383" s="2" t="str">
        <f>=HYPERLINK("https://xhslink.com/m/7TJEcgvwV91", "https://xhslink.com/m/7TJEcgvwV91")</f>
        <v>https://xhslink.com/m/7TJEcgvwV91</v>
      </c>
      <c r="D2383"/>
      <c r="E2383">
        <v>36000</v>
      </c>
      <c r="F2383">
        <v>199</v>
      </c>
      <c r="G2383"/>
      <c r="H2383">
        <v>100</v>
      </c>
      <c r="I2383" t="inlineStr">
        <is>
          <t>水果</t>
        </is>
      </c>
      <c r="J2383" t="inlineStr">
        <is>
          <t>0.00</t>
        </is>
      </c>
      <c r="K2383"/>
      <c r="L2383" t="inlineStr">
        <is>
          <t>一心榴莲的店</t>
        </is>
      </c>
      <c r="M2383">
        <v>365000</v>
      </c>
      <c r="N2383">
        <v>4.73</v>
      </c>
      <c r="O2383">
        <v>606000</v>
      </c>
      <c r="P2383" t="inlineStr">
        <is>
          <t>68a68df40991b4000151db2d</t>
        </is>
      </c>
      <c r="Q2383" t="inlineStr">
        <is>
          <t>🚫重复</t>
        </is>
      </c>
      <c r="R2383" t="inlineStr">
        <is>
          <t>14周</t>
        </is>
      </c>
      <c r="S2383" t="inlineStr">
        <is>
          <t>0.10</t>
        </is>
      </c>
      <c r="T2383" t="inlineStr">
        <is>
          <t>美食滋补</t>
        </is>
      </c>
      <c r="U2383" t="inlineStr">
        <is>
          <t>生鲜特产</t>
        </is>
      </c>
      <c r="V2383" s="3">
        <v>46112.78107638889</v>
      </c>
      <c r="W2383" t="inlineStr">
        <is>
          <t>2026-Q1</t>
        </is>
      </c>
    </row>
    <row r="2384" ht="25.5" customHeight="1">
      <c r="A2384" t="inlineStr">
        <is>
          <t>【冰鲜送达】当天鲜切法罗皇冠挪威冰鲜三文鱼新鲜中段料理400g</t>
        </is>
      </c>
      <c r="B2384" t="inlineStr">
        <is>
          <t>recvdOJ3S2XPfJ.jpg</t>
        </is>
      </c>
      <c r="C2384" s="2" t="str">
        <f>=HYPERLINK("https://xhslink.com/m/Aw8xKrRZxy3", "https://xhslink.com/m/Aw8xKrRZxy3")</f>
        <v>https://xhslink.com/m/Aw8xKrRZxy3</v>
      </c>
      <c r="D2384"/>
      <c r="E2384">
        <v>53000</v>
      </c>
      <c r="F2384">
        <v>105</v>
      </c>
      <c r="G2384"/>
      <c r="H2384">
        <v>100</v>
      </c>
      <c r="I2384" t="inlineStr">
        <is>
          <t>三文鱼</t>
        </is>
      </c>
      <c r="J2384" t="inlineStr">
        <is>
          <t>0.00</t>
        </is>
      </c>
      <c r="K2384" t="inlineStr">
        <is>
          <t>🔥低粉爆款</t>
        </is>
      </c>
      <c r="L2384" t="inlineStr">
        <is>
          <t>如伊鲜三文鱼的店</t>
        </is>
      </c>
      <c r="M2384">
        <v>13000</v>
      </c>
      <c r="N2384">
        <v>4.72</v>
      </c>
      <c r="O2384">
        <v>58000</v>
      </c>
      <c r="P2384" t="inlineStr">
        <is>
          <t>660660519f57d1000116e665</t>
        </is>
      </c>
      <c r="Q2384" t="inlineStr">
        <is>
          <t>🚫重复</t>
        </is>
      </c>
      <c r="R2384" t="inlineStr">
        <is>
          <t>14周</t>
        </is>
      </c>
      <c r="S2384" t="inlineStr">
        <is>
          <t>4.08</t>
        </is>
      </c>
      <c r="T2384" t="inlineStr">
        <is>
          <t>美食滋补</t>
        </is>
      </c>
      <c r="U2384" t="inlineStr">
        <is>
          <t>生鲜特产</t>
        </is>
      </c>
      <c r="V2384" s="3">
        <v>46112.78107638889</v>
      </c>
      <c r="W2384" t="inlineStr">
        <is>
          <t>2026-Q1</t>
        </is>
      </c>
    </row>
    <row r="2385" ht="25.5" customHeight="1">
      <c r="A2385" t="inlineStr">
        <is>
          <t>顺丰 三馐 挪威进口冰鲜三文鱼新鲜中段鱼腩刺身海鲜生鱼片</t>
        </is>
      </c>
      <c r="B2385" t="inlineStr">
        <is>
          <t>recvdOJ3S2u38g.jpg</t>
        </is>
      </c>
      <c r="C2385" s="2" t="str">
        <f>=HYPERLINK("https://xhslink.com/m/5nBO4wM0I83", "https://xhslink.com/m/5nBO4wM0I83")</f>
        <v>https://xhslink.com/m/5nBO4wM0I83</v>
      </c>
      <c r="D2385"/>
      <c r="E2385">
        <v>2770</v>
      </c>
      <c r="F2385">
        <v>85</v>
      </c>
      <c r="G2385"/>
      <c r="H2385">
        <v>100</v>
      </c>
      <c r="I2385" t="inlineStr">
        <is>
          <t>三文鱼</t>
        </is>
      </c>
      <c r="J2385" t="inlineStr">
        <is>
          <t>0.04</t>
        </is>
      </c>
      <c r="K2385" t="inlineStr">
        <is>
          <t>🔥低粉爆款</t>
        </is>
      </c>
      <c r="L2385" t="inlineStr">
        <is>
          <t>法罗三文鱼的店</t>
        </is>
      </c>
      <c r="M2385">
        <v>353</v>
      </c>
      <c r="N2385">
        <v>4.73</v>
      </c>
      <c r="O2385">
        <v>2795</v>
      </c>
      <c r="P2385" t="inlineStr">
        <is>
          <t>69099bf5becfcc0001aaf963</t>
        </is>
      </c>
      <c r="Q2385" t="inlineStr">
        <is>
          <t>🚫重复</t>
        </is>
      </c>
      <c r="R2385" t="inlineStr">
        <is>
          <t>14周</t>
        </is>
      </c>
      <c r="S2385" t="inlineStr">
        <is>
          <t>7.85</t>
        </is>
      </c>
      <c r="T2385" t="inlineStr">
        <is>
          <t>美食滋补</t>
        </is>
      </c>
      <c r="U2385" t="inlineStr">
        <is>
          <t>生鲜特产</t>
        </is>
      </c>
      <c r="V2385" s="3">
        <v>46112.78107638889</v>
      </c>
      <c r="W2385" t="inlineStr">
        <is>
          <t>2026-Q1</t>
        </is>
      </c>
    </row>
    <row r="2386" ht="25.5" customHeight="1">
      <c r="A2386" t="inlineStr">
        <is>
          <t>贡枝果栈 · 新鲜无花果农家应季时令水果天然孕妇下奶鲜果现摘现发顺丰包邮</t>
        </is>
      </c>
      <c r="B2386" t="inlineStr">
        <is>
          <t>recvdOJ3S2E79h.jpg</t>
        </is>
      </c>
      <c r="C2386" s="2" t="str">
        <f>=HYPERLINK("https://xhslink.com/m/8RzlSH6flFf", "https://xhslink.com/m/8RzlSH6flFf")</f>
        <v>https://xhslink.com/m/8RzlSH6flFf</v>
      </c>
      <c r="D2386"/>
      <c r="E2386">
        <v>203000</v>
      </c>
      <c r="F2386">
        <v>53.9</v>
      </c>
      <c r="G2386"/>
      <c r="H2386">
        <v>100</v>
      </c>
      <c r="I2386" t="inlineStr">
        <is>
          <t>水果</t>
        </is>
      </c>
      <c r="J2386" t="inlineStr">
        <is>
          <t>0.00</t>
        </is>
      </c>
      <c r="K2386" t="inlineStr">
        <is>
          <t>🔥低粉爆款</t>
        </is>
      </c>
      <c r="L2386" t="inlineStr">
        <is>
          <t>贡枝果栈旗舰店</t>
        </is>
      </c>
      <c r="M2386">
        <v>10000</v>
      </c>
      <c r="N2386">
        <v>4.63</v>
      </c>
      <c r="O2386">
        <v>236000</v>
      </c>
      <c r="P2386" t="inlineStr">
        <is>
          <t>6667cc1ea9c8b7000103e25d</t>
        </is>
      </c>
      <c r="Q2386" t="inlineStr">
        <is>
          <t>🚫重复</t>
        </is>
      </c>
      <c r="R2386" t="inlineStr">
        <is>
          <t>14周</t>
        </is>
      </c>
      <c r="S2386" t="inlineStr">
        <is>
          <t>20.30</t>
        </is>
      </c>
      <c r="T2386" t="inlineStr">
        <is>
          <t>美食滋补</t>
        </is>
      </c>
      <c r="U2386" t="inlineStr">
        <is>
          <t>生鲜特产</t>
        </is>
      </c>
      <c r="V2386" s="3">
        <v>46112.78107638889</v>
      </c>
      <c r="W2386" t="inlineStr">
        <is>
          <t>2026-Q1</t>
        </is>
      </c>
    </row>
    <row r="2387" ht="25.5" customHeight="1">
      <c r="A2387" t="inlineStr">
        <is>
          <t>四川高山甜枇杷，皮薄肉厚爽滑多汁，早中枇杷现摘现发！</t>
        </is>
      </c>
      <c r="B2387" t="inlineStr">
        <is>
          <t>recvdOJ3S2YiMA.jpg</t>
        </is>
      </c>
      <c r="C2387" s="2" t="str">
        <f>=HYPERLINK("https://xhslink.com/m/T92DYn1Ng7", "https://xhslink.com/m/T92DYn1Ng7")</f>
        <v>https://xhslink.com/m/T92DYn1Ng7</v>
      </c>
      <c r="D2387"/>
      <c r="E2387">
        <v>4266</v>
      </c>
      <c r="F2387">
        <v>138</v>
      </c>
      <c r="G2387"/>
      <c r="H2387">
        <v>100</v>
      </c>
      <c r="I2387" t="inlineStr">
        <is>
          <t>水果</t>
        </is>
      </c>
      <c r="J2387" t="inlineStr">
        <is>
          <t>0.02</t>
        </is>
      </c>
      <c r="K2387"/>
      <c r="L2387" t="inlineStr">
        <is>
          <t>A果子锅锅的店</t>
        </is>
      </c>
      <c r="M2387">
        <v>1672</v>
      </c>
      <c r="N2387">
        <v>4.46</v>
      </c>
      <c r="O2387">
        <v>7755</v>
      </c>
      <c r="P2387" t="inlineStr">
        <is>
          <t>67c527bbcb5e420001766530</t>
        </is>
      </c>
      <c r="Q2387"/>
      <c r="R2387" t="inlineStr">
        <is>
          <t>14周</t>
        </is>
      </c>
      <c r="S2387" t="inlineStr">
        <is>
          <t>2.55</t>
        </is>
      </c>
      <c r="T2387" t="inlineStr">
        <is>
          <t>美食滋补</t>
        </is>
      </c>
      <c r="U2387" t="inlineStr">
        <is>
          <t>生鲜特产</t>
        </is>
      </c>
      <c r="V2387" s="3">
        <v>46112.78107638889</v>
      </c>
      <c r="W2387" t="inlineStr">
        <is>
          <t>2026-Q1</t>
        </is>
      </c>
    </row>
    <row r="2388" ht="25.5" customHeight="1">
      <c r="A2388" t="inlineStr">
        <is>
          <t>重工黑色拉链牛仔短外套-7621</t>
        </is>
      </c>
      <c r="B2388" t="inlineStr">
        <is>
          <t>recvdOJ3S2q042.jpg</t>
        </is>
      </c>
      <c r="C2388" s="2" t="str">
        <f>=HYPERLINK("https://xhslink.com/m/1H0jTie3wwG", "https://xhslink.com/m/1H0jTie3wwG")</f>
        <v>https://xhslink.com/m/1H0jTie3wwG</v>
      </c>
      <c r="D2388"/>
      <c r="E2388">
        <v>4491</v>
      </c>
      <c r="F2388">
        <v>139</v>
      </c>
      <c r="G2388"/>
      <c r="H2388">
        <v>100</v>
      </c>
      <c r="I2388" t="inlineStr">
        <is>
          <t>牛仔外套</t>
        </is>
      </c>
      <c r="J2388" t="inlineStr">
        <is>
          <t>0.02</t>
        </is>
      </c>
      <c r="K2388"/>
      <c r="L2388" t="inlineStr">
        <is>
          <t>奈奈美服装店的店</t>
        </is>
      </c>
      <c r="M2388">
        <v>74000</v>
      </c>
      <c r="N2388">
        <v>4.51</v>
      </c>
      <c r="O2388">
        <v>353000</v>
      </c>
      <c r="P2388" t="inlineStr">
        <is>
          <t>66e1705156f18800014eea33</t>
        </is>
      </c>
      <c r="Q2388" t="inlineStr">
        <is>
          <t>🚫重复</t>
        </is>
      </c>
      <c r="R2388" t="inlineStr">
        <is>
          <t>14周</t>
        </is>
      </c>
      <c r="S2388" t="inlineStr">
        <is>
          <t>0.06</t>
        </is>
      </c>
      <c r="T2388" t="inlineStr">
        <is>
          <t>服饰穿搭</t>
        </is>
      </c>
      <c r="U2388" t="inlineStr">
        <is>
          <t>女装</t>
        </is>
      </c>
      <c r="V2388" s="3">
        <v>46112.78107638889</v>
      </c>
      <c r="W2388" t="inlineStr">
        <is>
          <t>2026-Q1</t>
        </is>
      </c>
    </row>
    <row r="2389" ht="25.5" customHeight="1">
      <c r="A2389" t="inlineStr">
        <is>
          <t>原纱锦纶凉感防晒衣防紫外线夏季舒适透气百搭宽松遮阳户外防晒服</t>
        </is>
      </c>
      <c r="B2389" t="inlineStr">
        <is>
          <t>recvdOJ3S2Hsmi.jpg</t>
        </is>
      </c>
      <c r="C2389" s="2" t="str">
        <f>=HYPERLINK("https://xhslink.com/m/45ctE18xANk", "https://xhslink.com/m/45ctE18xANk")</f>
        <v>https://xhslink.com/m/45ctE18xANk</v>
      </c>
      <c r="D2389"/>
      <c r="E2389">
        <v>141000</v>
      </c>
      <c r="F2389">
        <v>59.9</v>
      </c>
      <c r="G2389"/>
      <c r="H2389">
        <v>100</v>
      </c>
      <c r="I2389" t="inlineStr">
        <is>
          <t>防晒衣</t>
        </is>
      </c>
      <c r="J2389" t="inlineStr">
        <is>
          <t>0.00</t>
        </is>
      </c>
      <c r="K2389" t="inlineStr">
        <is>
          <t>🔥低粉爆款</t>
        </is>
      </c>
      <c r="L2389" t="inlineStr">
        <is>
          <t>与织的店</t>
        </is>
      </c>
      <c r="M2389">
        <v>7991</v>
      </c>
      <c r="N2389">
        <v>4.65</v>
      </c>
      <c r="O2389">
        <v>182000</v>
      </c>
      <c r="P2389" t="inlineStr">
        <is>
          <t>65f01a23178cfd0001d991bd</t>
        </is>
      </c>
      <c r="Q2389" t="inlineStr">
        <is>
          <t>🚫重复</t>
        </is>
      </c>
      <c r="R2389" t="inlineStr">
        <is>
          <t>14周</t>
        </is>
      </c>
      <c r="S2389" t="inlineStr">
        <is>
          <t>17.64</t>
        </is>
      </c>
      <c r="T2389" t="inlineStr">
        <is>
          <t>服饰穿搭</t>
        </is>
      </c>
      <c r="U2389" t="inlineStr">
        <is>
          <t>配饰</t>
        </is>
      </c>
      <c r="V2389" s="3">
        <v>46112.78107638889</v>
      </c>
      <c r="W2389" t="inlineStr">
        <is>
          <t>2026-Q1</t>
        </is>
      </c>
    </row>
    <row r="2390" ht="25.5" customHeight="1">
      <c r="A2390" t="inlineStr">
        <is>
          <t>【顺丰包邮】银色芭蕾风蕾丝德训鞋女春秋款休闲板鞋复古阿甘</t>
        </is>
      </c>
      <c r="B2390" t="inlineStr">
        <is>
          <t>recvdOJ3S234nz.jpg</t>
        </is>
      </c>
      <c r="C2390" s="2" t="str">
        <f>=HYPERLINK("https://xhslink.com/m/7ZIX2Hiyb24", "https://xhslink.com/m/7ZIX2Hiyb24")</f>
        <v>https://xhslink.com/m/7ZIX2Hiyb24</v>
      </c>
      <c r="D2390"/>
      <c r="E2390">
        <v>34000</v>
      </c>
      <c r="F2390">
        <v>49.9</v>
      </c>
      <c r="G2390"/>
      <c r="H2390">
        <v>100</v>
      </c>
      <c r="I2390" t="inlineStr">
        <is>
          <t>德训鞋</t>
        </is>
      </c>
      <c r="J2390" t="inlineStr">
        <is>
          <t>0.00</t>
        </is>
      </c>
      <c r="K2390"/>
      <c r="L2390" t="inlineStr">
        <is>
          <t>饼饼酱耶的店</t>
        </is>
      </c>
      <c r="M2390">
        <v>14000</v>
      </c>
      <c r="N2390">
        <v>4.34</v>
      </c>
      <c r="O2390">
        <v>164000</v>
      </c>
      <c r="P2390" t="inlineStr">
        <is>
          <t>6617b3d6d7615600016b3758</t>
        </is>
      </c>
      <c r="Q2390" t="inlineStr">
        <is>
          <t>🚫重复</t>
        </is>
      </c>
      <c r="R2390" t="inlineStr">
        <is>
          <t>14周</t>
        </is>
      </c>
      <c r="S2390" t="inlineStr">
        <is>
          <t>2.43</t>
        </is>
      </c>
      <c r="T2390" t="inlineStr">
        <is>
          <t>服饰穿搭</t>
        </is>
      </c>
      <c r="U2390" t="inlineStr">
        <is>
          <t>鞋靴箱包</t>
        </is>
      </c>
      <c r="V2390" s="3">
        <v>46112.78107638889</v>
      </c>
      <c r="W2390" t="inlineStr">
        <is>
          <t>2026-Q1</t>
        </is>
      </c>
    </row>
    <row r="2391" ht="25.5" customHeight="1">
      <c r="A2391" t="inlineStr">
        <is>
          <t>秋冬咖色百搭双肩包大小号大学生上课通勤包包简约休闲背包女</t>
        </is>
      </c>
      <c r="B2391" t="inlineStr">
        <is>
          <t>recvdOJ3S28VbR.jpg</t>
        </is>
      </c>
      <c r="C2391" s="2" t="str">
        <f>=HYPERLINK("https://xhslink.com/m/3nFremX40m1", "https://xhslink.com/m/3nFremX40m1")</f>
        <v>https://xhslink.com/m/3nFremX40m1</v>
      </c>
      <c r="D2391"/>
      <c r="E2391">
        <v>2439</v>
      </c>
      <c r="F2391">
        <v>45</v>
      </c>
      <c r="G2391"/>
      <c r="H2391">
        <v>100</v>
      </c>
      <c r="I2391" t="inlineStr">
        <is>
          <t>双肩包</t>
        </is>
      </c>
      <c r="J2391" t="inlineStr">
        <is>
          <t>0.04</t>
        </is>
      </c>
      <c r="K2391"/>
      <c r="L2391" t="inlineStr">
        <is>
          <t>冷雾 Boo的店</t>
        </is>
      </c>
      <c r="M2391">
        <v>3643</v>
      </c>
      <c r="N2391">
        <v>4.44</v>
      </c>
      <c r="O2391">
        <v>51000</v>
      </c>
      <c r="P2391" t="inlineStr">
        <is>
          <t>68c044c62773df0001e7fb49</t>
        </is>
      </c>
      <c r="Q2391"/>
      <c r="R2391" t="inlineStr">
        <is>
          <t>14周</t>
        </is>
      </c>
      <c r="S2391" t="inlineStr">
        <is>
          <t>0.67</t>
        </is>
      </c>
      <c r="T2391" t="inlineStr">
        <is>
          <t>服饰穿搭</t>
        </is>
      </c>
      <c r="U2391" t="inlineStr">
        <is>
          <t>鞋靴箱包</t>
        </is>
      </c>
      <c r="V2391" s="3">
        <v>46112.78107638889</v>
      </c>
      <c r="W2391" t="inlineStr">
        <is>
          <t>2026-Q1</t>
        </is>
      </c>
    </row>
    <row r="2392" ht="25.5" customHeight="1">
      <c r="A2392" t="inlineStr">
        <is>
          <t>FFDolly原创手作ins韩系单肩痛包双肩包芭蕾风大容量星星背包少女</t>
        </is>
      </c>
      <c r="B2392" t="inlineStr">
        <is>
          <t>recvdOJ3S2fTqM.jpg</t>
        </is>
      </c>
      <c r="C2392" s="2" t="str">
        <f>=HYPERLINK("https://xhslink.com/m/1dssRbNtGAK", "https://xhslink.com/m/1dssRbNtGAK")</f>
        <v>https://xhslink.com/m/1dssRbNtGAK</v>
      </c>
      <c r="D2392"/>
      <c r="E2392">
        <v>656</v>
      </c>
      <c r="F2392">
        <v>999</v>
      </c>
      <c r="G2392"/>
      <c r="H2392">
        <v>100</v>
      </c>
      <c r="I2392" t="inlineStr">
        <is>
          <t>双肩包</t>
        </is>
      </c>
      <c r="J2392" t="inlineStr">
        <is>
          <t>0.15</t>
        </is>
      </c>
      <c r="K2392"/>
      <c r="L2392" t="inlineStr">
        <is>
          <t>FFDolly的店</t>
        </is>
      </c>
      <c r="M2392">
        <v>4640</v>
      </c>
      <c r="N2392">
        <v>4.53</v>
      </c>
      <c r="O2392">
        <v>6042</v>
      </c>
      <c r="P2392" t="inlineStr">
        <is>
          <t>6957d477bfa591000166d03b</t>
        </is>
      </c>
      <c r="Q2392" t="inlineStr">
        <is>
          <t>🚫重复</t>
        </is>
      </c>
      <c r="R2392" t="inlineStr">
        <is>
          <t>14周</t>
        </is>
      </c>
      <c r="S2392" t="inlineStr">
        <is>
          <t>0.14</t>
        </is>
      </c>
      <c r="T2392" t="inlineStr">
        <is>
          <t>服饰穿搭</t>
        </is>
      </c>
      <c r="U2392" t="inlineStr">
        <is>
          <t>鞋靴箱包</t>
        </is>
      </c>
      <c r="V2392" s="3">
        <v>46112.78107638889</v>
      </c>
      <c r="W2392" t="inlineStr">
        <is>
          <t>2026-Q1</t>
        </is>
      </c>
    </row>
    <row r="2393" ht="25.5" customHeight="1">
      <c r="A2393" t="inlineStr">
        <is>
          <t>twosweet · 蚀美腰臀比/低腰系列复古后袋翻盖修身微喇叭弹力牛仔裤</t>
        </is>
      </c>
      <c r="B2393" t="inlineStr">
        <is>
          <t>recvdOJ3S2IKbW.jpg</t>
        </is>
      </c>
      <c r="C2393" s="2" t="str">
        <f>=HYPERLINK("https://xhslink.com/m/7CB0XLNIZQT", "https://xhslink.com/m/7CB0XLNIZQT")</f>
        <v>https://xhslink.com/m/7CB0XLNIZQT</v>
      </c>
      <c r="D2393"/>
      <c r="E2393">
        <v>1998</v>
      </c>
      <c r="F2393">
        <v>249</v>
      </c>
      <c r="G2393"/>
      <c r="H2393">
        <v>100</v>
      </c>
      <c r="I2393" t="inlineStr">
        <is>
          <t>修身牛仔裤</t>
        </is>
      </c>
      <c r="J2393" t="inlineStr">
        <is>
          <t>0.05</t>
        </is>
      </c>
      <c r="K2393"/>
      <c r="L2393" t="inlineStr">
        <is>
          <t>twosweet旗舰店</t>
        </is>
      </c>
      <c r="M2393">
        <v>16000</v>
      </c>
      <c r="N2393">
        <v>4.68</v>
      </c>
      <c r="O2393">
        <v>61000</v>
      </c>
      <c r="P2393" t="inlineStr">
        <is>
          <t>68889ca7ebefca0001687f29</t>
        </is>
      </c>
      <c r="Q2393" t="inlineStr">
        <is>
          <t>🚫重复</t>
        </is>
      </c>
      <c r="R2393" t="inlineStr">
        <is>
          <t>14周</t>
        </is>
      </c>
      <c r="S2393" t="inlineStr">
        <is>
          <t>0.12</t>
        </is>
      </c>
      <c r="T2393" t="inlineStr">
        <is>
          <t>服饰穿搭</t>
        </is>
      </c>
      <c r="U2393" t="inlineStr">
        <is>
          <t>女装</t>
        </is>
      </c>
      <c r="V2393" s="3">
        <v>46112.78107638889</v>
      </c>
      <c r="W2393" t="inlineStr">
        <is>
          <t>2026-Q1</t>
        </is>
      </c>
    </row>
    <row r="2394" ht="25.5" customHeight="1">
      <c r="A2394" t="inlineStr">
        <is>
          <t>FUNINO · 设计感显瘦轻奢剪影手绘花苞A字女长袖衬衫粉白通勤夏日海边度假</t>
        </is>
      </c>
      <c r="B2394" t="inlineStr">
        <is>
          <t>recvdOJ3S2Njet.jpg</t>
        </is>
      </c>
      <c r="C2394" s="2" t="str">
        <f>=HYPERLINK("https://xhslink.com/m/8X5n3aXDXee", "https://xhslink.com/m/8X5n3aXDXee")</f>
        <v>https://xhslink.com/m/8X5n3aXDXee</v>
      </c>
      <c r="D2394"/>
      <c r="E2394">
        <v>4743</v>
      </c>
      <c r="F2394">
        <v>1080</v>
      </c>
      <c r="G2394"/>
      <c r="H2394">
        <v>100</v>
      </c>
      <c r="I2394" t="inlineStr">
        <is>
          <t>女士衬衫</t>
        </is>
      </c>
      <c r="J2394" t="inlineStr">
        <is>
          <t>0.02</t>
        </is>
      </c>
      <c r="K2394"/>
      <c r="L2394" t="inlineStr">
        <is>
          <t>FUNINO的店</t>
        </is>
      </c>
      <c r="M2394">
        <v>1634</v>
      </c>
      <c r="N2394">
        <v>4.53</v>
      </c>
      <c r="O2394">
        <v>10000</v>
      </c>
      <c r="P2394" t="inlineStr">
        <is>
          <t>67b730f97b3de40001b33441</t>
        </is>
      </c>
      <c r="Q2394" t="inlineStr">
        <is>
          <t>🚫重复</t>
        </is>
      </c>
      <c r="R2394" t="inlineStr">
        <is>
          <t>14周</t>
        </is>
      </c>
      <c r="S2394" t="inlineStr">
        <is>
          <t>2.90</t>
        </is>
      </c>
      <c r="T2394" t="inlineStr">
        <is>
          <t>服饰穿搭</t>
        </is>
      </c>
      <c r="U2394" t="inlineStr">
        <is>
          <t>女装</t>
        </is>
      </c>
      <c r="V2394" s="3">
        <v>46112.78107638889</v>
      </c>
      <c r="W2394" t="inlineStr">
        <is>
          <t>2026-Q1</t>
        </is>
      </c>
    </row>
    <row r="2395" ht="25.5" customHeight="1">
      <c r="A2395" t="inlineStr">
        <is>
          <t>【HL studio】轻熟V领法式长袖衬衫女春秋季职业公务员面试正装女</t>
        </is>
      </c>
      <c r="B2395" t="inlineStr">
        <is>
          <t>recvdOJ3S2haG9.jpg</t>
        </is>
      </c>
      <c r="C2395" s="2" t="str">
        <f>=HYPERLINK("https://xhslink.com/m/3YMjXmXp7up", "https://xhslink.com/m/3YMjXmXp7up")</f>
        <v>https://xhslink.com/m/3YMjXmXp7up</v>
      </c>
      <c r="D2395"/>
      <c r="E2395">
        <v>6509</v>
      </c>
      <c r="F2395">
        <v>78</v>
      </c>
      <c r="G2395"/>
      <c r="H2395">
        <v>100</v>
      </c>
      <c r="I2395" t="inlineStr">
        <is>
          <t>V领衬衫</t>
        </is>
      </c>
      <c r="J2395" t="inlineStr">
        <is>
          <t>0.02</t>
        </is>
      </c>
      <c r="K2395"/>
      <c r="L2395" t="inlineStr">
        <is>
          <t>HLSTUDIO工作室的店</t>
        </is>
      </c>
      <c r="M2395">
        <v>2647</v>
      </c>
      <c r="N2395">
        <v>4.48</v>
      </c>
      <c r="O2395">
        <v>20000</v>
      </c>
      <c r="P2395" t="inlineStr">
        <is>
          <t>67401fc49d49990001f794ff</t>
        </is>
      </c>
      <c r="Q2395"/>
      <c r="R2395" t="inlineStr">
        <is>
          <t>14周</t>
        </is>
      </c>
      <c r="S2395" t="inlineStr">
        <is>
          <t>2.46</t>
        </is>
      </c>
      <c r="T2395" t="inlineStr">
        <is>
          <t>服饰穿搭</t>
        </is>
      </c>
      <c r="U2395" t="inlineStr">
        <is>
          <t>女装</t>
        </is>
      </c>
      <c r="V2395" s="3">
        <v>46112.78107638889</v>
      </c>
      <c r="W2395" t="inlineStr">
        <is>
          <t>2026-Q1</t>
        </is>
      </c>
    </row>
    <row r="2396" ht="25.5" customHeight="1">
      <c r="A2396" t="inlineStr">
        <is>
          <t>超细牛肉干《不是脆的散装发货》不支持退换</t>
        </is>
      </c>
      <c r="B2396" t="inlineStr">
        <is>
          <t>recvdOJ3S27RRS.jpg</t>
        </is>
      </c>
      <c r="C2396" s="2" t="str">
        <f>=HYPERLINK("https://xhslink.com/m/4NxlOURvwcn", "https://xhslink.com/m/4NxlOURvwcn")</f>
        <v>https://xhslink.com/m/4NxlOURvwcn</v>
      </c>
      <c r="D2396"/>
      <c r="E2396">
        <v>5690</v>
      </c>
      <c r="F2396">
        <v>178</v>
      </c>
      <c r="G2396"/>
      <c r="H2396">
        <v>100</v>
      </c>
      <c r="I2396" t="inlineStr">
        <is>
          <t>牛肉干</t>
        </is>
      </c>
      <c r="J2396" t="inlineStr">
        <is>
          <t>0.02</t>
        </is>
      </c>
      <c r="K2396"/>
      <c r="L2396" t="inlineStr">
        <is>
          <t>白芳风干碳烤牛肉干店的店</t>
        </is>
      </c>
      <c r="M2396">
        <v>4034</v>
      </c>
      <c r="N2396">
        <v>4.6</v>
      </c>
      <c r="O2396">
        <v>33000</v>
      </c>
      <c r="P2396" t="inlineStr">
        <is>
          <t>653b29970d626a0001eb2666</t>
        </is>
      </c>
      <c r="Q2396" t="inlineStr">
        <is>
          <t>🚫重复</t>
        </is>
      </c>
      <c r="R2396" t="inlineStr">
        <is>
          <t>14周</t>
        </is>
      </c>
      <c r="S2396" t="inlineStr">
        <is>
          <t>1.41</t>
        </is>
      </c>
      <c r="T2396" t="inlineStr">
        <is>
          <t>美食滋补</t>
        </is>
      </c>
      <c r="U2396" t="inlineStr">
        <is>
          <t>休闲零食</t>
        </is>
      </c>
      <c r="V2396" s="3">
        <v>46112.78107638889</v>
      </c>
      <c r="W2396" t="inlineStr">
        <is>
          <t>2026-Q1</t>
        </is>
      </c>
    </row>
    <row r="2397" ht="25.5" customHeight="1">
      <c r="A2397" t="inlineStr">
        <is>
          <t>抹茶曲奇饼干铁盒装</t>
        </is>
      </c>
      <c r="B2397" t="inlineStr">
        <is>
          <t>recvdOJ3S2rup3.jpg</t>
        </is>
      </c>
      <c r="C2397" s="2" t="str">
        <f>=HYPERLINK("https://xhslink.com/m/2cZcVZjIeUl", "https://xhslink.com/m/2cZcVZjIeUl")</f>
        <v>https://xhslink.com/m/2cZcVZjIeUl</v>
      </c>
      <c r="D2397"/>
      <c r="E2397">
        <v>9165</v>
      </c>
      <c r="F2397">
        <v>168</v>
      </c>
      <c r="G2397"/>
      <c r="H2397">
        <v>100</v>
      </c>
      <c r="I2397" t="inlineStr">
        <is>
          <t>饼干</t>
        </is>
      </c>
      <c r="J2397" t="inlineStr">
        <is>
          <t>0.01</t>
        </is>
      </c>
      <c r="K2397"/>
      <c r="L2397" t="inlineStr">
        <is>
          <t>白房子咖啡的店</t>
        </is>
      </c>
      <c r="M2397">
        <v>137000</v>
      </c>
      <c r="N2397">
        <v>4.74</v>
      </c>
      <c r="O2397">
        <v>227000</v>
      </c>
      <c r="P2397" t="inlineStr">
        <is>
          <t>67a9fe5ab23f7c0001de7bec</t>
        </is>
      </c>
      <c r="Q2397"/>
      <c r="R2397" t="inlineStr">
        <is>
          <t>14周</t>
        </is>
      </c>
      <c r="S2397" t="inlineStr">
        <is>
          <t>0.07</t>
        </is>
      </c>
      <c r="T2397" t="inlineStr">
        <is>
          <t>美食滋补</t>
        </is>
      </c>
      <c r="U2397" t="inlineStr">
        <is>
          <t>休闲零食</t>
        </is>
      </c>
      <c r="V2397" s="3">
        <v>46112.78107638889</v>
      </c>
      <c r="W2397" t="inlineStr">
        <is>
          <t>2026-Q1</t>
        </is>
      </c>
    </row>
    <row r="2398" ht="25.5" customHeight="1">
      <c r="A2398" t="inlineStr">
        <is>
          <t>锋味派 · 鸡排香煎鸡胸肉早餐半成品速食冷冻鸡胸肉</t>
        </is>
      </c>
      <c r="B2398" t="inlineStr">
        <is>
          <t>recvdOJ3S2Myex.jpg</t>
        </is>
      </c>
      <c r="C2398" s="2" t="str">
        <f>=HYPERLINK("https://xhslink.com/m/4P9AVs3vMmB", "https://xhslink.com/m/4P9AVs3vMmB")</f>
        <v>https://xhslink.com/m/4P9AVs3vMmB</v>
      </c>
      <c r="D2398"/>
      <c r="E2398">
        <v>8339</v>
      </c>
      <c r="F2398">
        <v>129</v>
      </c>
      <c r="G2398"/>
      <c r="H2398">
        <v>100</v>
      </c>
      <c r="I2398" t="inlineStr">
        <is>
          <t>无骨鸡爪</t>
        </is>
      </c>
      <c r="J2398" t="inlineStr">
        <is>
          <t>0.01</t>
        </is>
      </c>
      <c r="K2398"/>
      <c r="L2398" t="inlineStr">
        <is>
          <t>锋味派旗舰店</t>
        </is>
      </c>
      <c r="M2398">
        <v>350000</v>
      </c>
      <c r="N2398">
        <v>4.77</v>
      </c>
      <c r="O2398">
        <v>544000</v>
      </c>
      <c r="P2398" t="inlineStr">
        <is>
          <t>66cc1a88e6fff40001054197</t>
        </is>
      </c>
      <c r="Q2398" t="inlineStr">
        <is>
          <t>🚫重复</t>
        </is>
      </c>
      <c r="R2398" t="inlineStr">
        <is>
          <t>14周</t>
        </is>
      </c>
      <c r="S2398" t="inlineStr">
        <is>
          <t>0.02</t>
        </is>
      </c>
      <c r="T2398" t="inlineStr">
        <is>
          <t>美食滋补</t>
        </is>
      </c>
      <c r="U2398" t="inlineStr">
        <is>
          <t>休闲零食</t>
        </is>
      </c>
      <c r="V2398" s="3">
        <v>46112.78107638889</v>
      </c>
      <c r="W2398" t="inlineStr">
        <is>
          <t>2026-Q1</t>
        </is>
      </c>
    </row>
    <row r="2399" ht="25.5" customHeight="1">
      <c r="A2399" t="inlineStr">
        <is>
          <t>小石头 · 【9.9抢5包鸭腿鸭翅根鸭翅】卤味新人试吃零食鸭货即食解馋熟食肉</t>
        </is>
      </c>
      <c r="B2399" t="inlineStr">
        <is>
          <t>recvdOJ3S2q1Bb.jpg</t>
        </is>
      </c>
      <c r="C2399" s="2" t="str">
        <f>=HYPERLINK("https://xhslink.com/m/RAXUrHNDCS", "https://xhslink.com/m/RAXUrHNDCS")</f>
        <v>https://xhslink.com/m/RAXUrHNDCS</v>
      </c>
      <c r="D2399"/>
      <c r="E2399">
        <v>249000</v>
      </c>
      <c r="F2399">
        <v>9.9</v>
      </c>
      <c r="G2399"/>
      <c r="H2399">
        <v>100</v>
      </c>
      <c r="I2399" t="inlineStr">
        <is>
          <t>便宜零食</t>
        </is>
      </c>
      <c r="J2399" t="inlineStr">
        <is>
          <t>0.00</t>
        </is>
      </c>
      <c r="K2399" t="inlineStr">
        <is>
          <t>🔥低粉爆款</t>
        </is>
      </c>
      <c r="L2399" t="inlineStr">
        <is>
          <t>小石头旗舰店</t>
        </is>
      </c>
      <c r="M2399">
        <v>36000</v>
      </c>
      <c r="N2399">
        <v>4.7</v>
      </c>
      <c r="O2399">
        <v>785000</v>
      </c>
      <c r="P2399" t="inlineStr">
        <is>
          <t>676fa8c50f83bc000129aeb7</t>
        </is>
      </c>
      <c r="Q2399" t="inlineStr">
        <is>
          <t>🚫重复</t>
        </is>
      </c>
      <c r="R2399" t="inlineStr">
        <is>
          <t>14周</t>
        </is>
      </c>
      <c r="S2399" t="inlineStr">
        <is>
          <t>6.92</t>
        </is>
      </c>
      <c r="T2399" t="inlineStr">
        <is>
          <t>美食滋补</t>
        </is>
      </c>
      <c r="U2399" t="inlineStr">
        <is>
          <t>休闲零食</t>
        </is>
      </c>
      <c r="V2399" s="3">
        <v>46112.78107638889</v>
      </c>
      <c r="W2399" t="inlineStr">
        <is>
          <t>2026-Q1</t>
        </is>
      </c>
    </row>
    <row r="2400" ht="25.5" customHeight="1">
      <c r="A2400" t="inlineStr">
        <is>
          <t>氧默 · 速食鸡胸肉健身代餐即食零食鸡胸肉轻食食品学生碳水蛋白</t>
        </is>
      </c>
      <c r="B2400" t="inlineStr">
        <is>
          <t>recvdOJ3S2StW6.jpg</t>
        </is>
      </c>
      <c r="C2400" s="2" t="str">
        <f>=HYPERLINK("https://xhslink.com/m/4Wrz3Cep47W", "https://xhslink.com/m/4Wrz3Cep47W")</f>
        <v>https://xhslink.com/m/4Wrz3Cep47W</v>
      </c>
      <c r="D2400"/>
      <c r="E2400">
        <v>19000</v>
      </c>
      <c r="F2400">
        <v>9.9</v>
      </c>
      <c r="G2400"/>
      <c r="H2400">
        <v>100</v>
      </c>
      <c r="I2400" t="inlineStr">
        <is>
          <t>便宜零食</t>
        </is>
      </c>
      <c r="J2400" t="inlineStr">
        <is>
          <t>0.01</t>
        </is>
      </c>
      <c r="K2400"/>
      <c r="L2400" t="inlineStr">
        <is>
          <t>氧默旗舰店</t>
        </is>
      </c>
      <c r="M2400">
        <v>26000</v>
      </c>
      <c r="N2400">
        <v>4.59</v>
      </c>
      <c r="O2400">
        <v>257000</v>
      </c>
      <c r="P2400" t="inlineStr">
        <is>
          <t>64d03c9ea416540001bda196</t>
        </is>
      </c>
      <c r="Q2400" t="inlineStr">
        <is>
          <t>🚫重复</t>
        </is>
      </c>
      <c r="R2400" t="inlineStr">
        <is>
          <t>14周</t>
        </is>
      </c>
      <c r="S2400" t="inlineStr">
        <is>
          <t>0.73</t>
        </is>
      </c>
      <c r="T2400" t="inlineStr">
        <is>
          <t>美食滋补</t>
        </is>
      </c>
      <c r="U2400" t="inlineStr">
        <is>
          <t>休闲零食</t>
        </is>
      </c>
      <c r="V2400" s="3">
        <v>46112.78107638889</v>
      </c>
      <c r="W2400" t="inlineStr">
        <is>
          <t>2026-Q1</t>
        </is>
      </c>
    </row>
    <row r="2401" ht="25.5" customHeight="1">
      <c r="A2401" t="inlineStr">
        <is>
          <t>达埔李和元 · 正宗泉州永春非遗技艺脾胃粉散成人儿童全新升级款脾胃健康养生饮</t>
        </is>
      </c>
      <c r="B2401" t="inlineStr">
        <is>
          <t>recvdOJ3S2uw8P.jpg</t>
        </is>
      </c>
      <c r="C2401" s="2" t="str">
        <f>=HYPERLINK("https://xhslink.com/m/aC5V0BZ98N", "https://xhslink.com/m/aC5V0BZ98N")</f>
        <v>https://xhslink.com/m/aC5V0BZ98N</v>
      </c>
      <c r="D2401"/>
      <c r="E2401">
        <v>13000</v>
      </c>
      <c r="F2401">
        <v>70</v>
      </c>
      <c r="G2401"/>
      <c r="H2401">
        <v>100</v>
      </c>
      <c r="I2401" t="inlineStr">
        <is>
          <t>健康食品</t>
        </is>
      </c>
      <c r="J2401" t="inlineStr">
        <is>
          <t>0.01</t>
        </is>
      </c>
      <c r="K2401"/>
      <c r="L2401" t="inlineStr">
        <is>
          <t>正字号达埔李和元滋补品的店</t>
        </is>
      </c>
      <c r="M2401">
        <v>21000</v>
      </c>
      <c r="N2401">
        <v>4.66</v>
      </c>
      <c r="O2401">
        <v>34000</v>
      </c>
      <c r="P2401" t="inlineStr">
        <is>
          <t>64927124197f6c0001c6c8da</t>
        </is>
      </c>
      <c r="Q2401"/>
      <c r="R2401" t="inlineStr">
        <is>
          <t>14周</t>
        </is>
      </c>
      <c r="S2401" t="inlineStr">
        <is>
          <t>0.62</t>
        </is>
      </c>
      <c r="T2401" t="inlineStr">
        <is>
          <t>母婴亲子</t>
        </is>
      </c>
      <c r="U2401" t="inlineStr">
        <is>
          <t>童装童鞋</t>
        </is>
      </c>
      <c r="V2401" s="3">
        <v>46112.78107638889</v>
      </c>
      <c r="W2401" t="inlineStr">
        <is>
          <t>2026-Q1</t>
        </is>
      </c>
    </row>
    <row r="2402" ht="25.5" customHeight="1">
      <c r="A2402" t="inlineStr">
        <is>
          <t>Nebe · 粉色护色洗发水固色锁色去黄染后护理锁护色专用柔顺洗发露女</t>
        </is>
      </c>
      <c r="B2402" t="inlineStr">
        <is>
          <t>recvdOJ3S2Ha2U.jpg</t>
        </is>
      </c>
      <c r="C2402" s="2" t="str">
        <f>=HYPERLINK("https://xhslink.com/m/29klzwFZN5P", "https://xhslink.com/m/29klzwFZN5P")</f>
        <v>https://xhslink.com/m/29klzwFZN5P</v>
      </c>
      <c r="D2402"/>
      <c r="E2402">
        <v>75000</v>
      </c>
      <c r="F2402">
        <v>237</v>
      </c>
      <c r="G2402"/>
      <c r="H2402">
        <v>100</v>
      </c>
      <c r="I2402" t="inlineStr">
        <is>
          <t>洗发水</t>
        </is>
      </c>
      <c r="J2402" t="inlineStr">
        <is>
          <t>0.00</t>
        </is>
      </c>
      <c r="K2402"/>
      <c r="L2402" t="inlineStr">
        <is>
          <t>NEBE旗舰店</t>
        </is>
      </c>
      <c r="M2402">
        <v>52000</v>
      </c>
      <c r="N2402">
        <v>4.67</v>
      </c>
      <c r="O2402">
        <v>2010000</v>
      </c>
      <c r="P2402" t="inlineStr">
        <is>
          <t>681c52a1927b0e0001f90ca8</t>
        </is>
      </c>
      <c r="Q2402" t="inlineStr">
        <is>
          <t>🚫重复</t>
        </is>
      </c>
      <c r="R2402" t="inlineStr">
        <is>
          <t>14周</t>
        </is>
      </c>
      <c r="S2402" t="inlineStr">
        <is>
          <t>1.44</t>
        </is>
      </c>
      <c r="T2402" t="inlineStr">
        <is>
          <t>美妆个护</t>
        </is>
      </c>
      <c r="U2402" t="inlineStr">
        <is>
          <t>个人护理</t>
        </is>
      </c>
      <c r="V2402" s="3">
        <v>46112.78107638889</v>
      </c>
      <c r="W2402" t="inlineStr">
        <is>
          <t>2026-Q1</t>
        </is>
      </c>
    </row>
    <row r="2403" ht="25.5" customHeight="1">
      <c r="A2403" t="inlineStr">
        <is>
          <t>王小卤 · 无骨鸡爪蒜香柠檬酸辣脱骨多口味500g解馋零食休闲小吃开袋即食</t>
        </is>
      </c>
      <c r="B2403" t="inlineStr">
        <is>
          <t>recvdRkif4VmKj.jpg</t>
        </is>
      </c>
      <c r="C2403" s="2" t="str">
        <f>=HYPERLINK("https://xhslink.com/m/2oHluDvSyRM", "https://xhslink.com/m/2oHluDvSyRM")</f>
        <v>https://xhslink.com/m/2oHluDvSyRM</v>
      </c>
      <c r="D2403"/>
      <c r="E2403">
        <v>35000</v>
      </c>
      <c r="F2403">
        <v>46.95</v>
      </c>
      <c r="G2403">
        <v>29.9</v>
      </c>
      <c r="H2403">
        <v>100</v>
      </c>
      <c r="I2403" t="inlineStr">
        <is>
          <t>零食</t>
        </is>
      </c>
      <c r="J2403" t="inlineStr">
        <is>
          <t>0.00</t>
        </is>
      </c>
      <c r="K2403"/>
      <c r="L2403" t="inlineStr">
        <is>
          <t>王小卤虎皮凤爪旗舰店</t>
        </is>
      </c>
      <c r="M2403">
        <v>34000</v>
      </c>
      <c r="N2403">
        <v>4.42</v>
      </c>
      <c r="O2403">
        <v>71000</v>
      </c>
      <c r="P2403" t="inlineStr">
        <is>
          <t>6825b7e78644dc00017cf57b</t>
        </is>
      </c>
      <c r="Q2403"/>
      <c r="R2403" t="inlineStr">
        <is>
          <t>14周</t>
        </is>
      </c>
      <c r="S2403" t="inlineStr">
        <is>
          <t>1.03</t>
        </is>
      </c>
      <c r="T2403" t="inlineStr">
        <is>
          <t>美食滋补</t>
        </is>
      </c>
      <c r="U2403" t="inlineStr">
        <is>
          <t>休闲零食</t>
        </is>
      </c>
      <c r="V2403" s="3">
        <v>46112.78107638889</v>
      </c>
      <c r="W2403" t="inlineStr">
        <is>
          <t>2026-Q1</t>
        </is>
      </c>
    </row>
    <row r="2404" ht="25.5" customHeight="1">
      <c r="A2404" t="inlineStr">
        <is>
          <t>纯手工棒棒鸡（送辣椒孜然）</t>
        </is>
      </c>
      <c r="B2404" t="inlineStr">
        <is>
          <t>recvdRkif4cxDN.jpg</t>
        </is>
      </c>
      <c r="C2404" s="2" t="str">
        <f>=HYPERLINK("https://xhslink.com/m/6Pnac1LKQ8o", "https://xhslink.com/m/6Pnac1LKQ8o")</f>
        <v>https://xhslink.com/m/6Pnac1LKQ8o</v>
      </c>
      <c r="D2404"/>
      <c r="E2404">
        <v>63000</v>
      </c>
      <c r="F2404">
        <v>56</v>
      </c>
      <c r="G2404"/>
      <c r="H2404">
        <v>100</v>
      </c>
      <c r="I2404" t="inlineStr">
        <is>
          <t>零食</t>
        </is>
      </c>
      <c r="J2404" t="inlineStr">
        <is>
          <t>0.00</t>
        </is>
      </c>
      <c r="K2404" t="inlineStr">
        <is>
          <t>🔥低粉爆款</t>
        </is>
      </c>
      <c r="L2404" t="inlineStr">
        <is>
          <t>小满砂锅麻辣烫和炸串的店</t>
        </is>
      </c>
      <c r="M2404">
        <v>10000</v>
      </c>
      <c r="N2404">
        <v>4.55</v>
      </c>
      <c r="O2404">
        <v>81000</v>
      </c>
      <c r="P2404" t="inlineStr">
        <is>
          <t>66f4b47a75e23c0001677a91</t>
        </is>
      </c>
      <c r="Q2404" t="inlineStr">
        <is>
          <t>🚫重复</t>
        </is>
      </c>
      <c r="R2404" t="inlineStr">
        <is>
          <t>14周</t>
        </is>
      </c>
      <c r="S2404" t="inlineStr">
        <is>
          <t>6.30</t>
        </is>
      </c>
      <c r="T2404" t="inlineStr">
        <is>
          <t>美食滋补</t>
        </is>
      </c>
      <c r="U2404" t="inlineStr">
        <is>
          <t>休闲零食</t>
        </is>
      </c>
      <c r="V2404" s="3">
        <v>46112.78107638889</v>
      </c>
      <c r="W2404" t="inlineStr">
        <is>
          <t>2026-Q1</t>
        </is>
      </c>
    </row>
    <row r="2405" ht="25.5" customHeight="1">
      <c r="A2405" t="inlineStr">
        <is>
          <t>奶沃家和牛脆脆薄片！超好吃！！</t>
        </is>
      </c>
      <c r="B2405" t="inlineStr">
        <is>
          <t>recvdRkif4zb4w.jpg</t>
        </is>
      </c>
      <c r="C2405" s="2" t="str">
        <f>=HYPERLINK("https://xhslink.com/m/8wCm0UDpLU9", "https://xhslink.com/m/8wCm0UDpLU9")</f>
        <v>https://xhslink.com/m/8wCm0UDpLU9</v>
      </c>
      <c r="D2405"/>
      <c r="E2405">
        <v>2093</v>
      </c>
      <c r="F2405">
        <v>35.9</v>
      </c>
      <c r="G2405"/>
      <c r="H2405">
        <v>100</v>
      </c>
      <c r="I2405" t="inlineStr">
        <is>
          <t>零食</t>
        </is>
      </c>
      <c r="J2405" t="inlineStr">
        <is>
          <t>0.05</t>
        </is>
      </c>
      <c r="K2405"/>
      <c r="L2405" t="inlineStr">
        <is>
          <t>内蒙小沃~ 奶沃naiwo的店</t>
        </is>
      </c>
      <c r="M2405">
        <v>49000</v>
      </c>
      <c r="N2405">
        <v>4.74</v>
      </c>
      <c r="O2405">
        <v>20000</v>
      </c>
      <c r="P2405" t="inlineStr">
        <is>
          <t>6939156e33f9b3000145a564</t>
        </is>
      </c>
      <c r="Q2405" t="inlineStr">
        <is>
          <t>🚫重复</t>
        </is>
      </c>
      <c r="R2405" t="inlineStr">
        <is>
          <t>14周</t>
        </is>
      </c>
      <c r="S2405" t="inlineStr">
        <is>
          <t>0.04</t>
        </is>
      </c>
      <c r="T2405" t="inlineStr">
        <is>
          <t>美食滋补</t>
        </is>
      </c>
      <c r="U2405" t="inlineStr">
        <is>
          <t>休闲零食</t>
        </is>
      </c>
      <c r="V2405" s="3">
        <v>46112.78107638889</v>
      </c>
      <c r="W2405" t="inlineStr">
        <is>
          <t>2026-Q1</t>
        </is>
      </c>
    </row>
    <row r="2406" ht="25.5" customHeight="1">
      <c r="A2406" t="inlineStr">
        <is>
          <t>札萨 · 【牛脆片】芥末口味新鲜上市！ 酥脆奶香不冲鼻！桶装不易碎s</t>
        </is>
      </c>
      <c r="B2406" t="inlineStr">
        <is>
          <t>recvdRkif4sKPC.jpg</t>
        </is>
      </c>
      <c r="C2406" s="2" t="str">
        <f>=HYPERLINK("https://xhslink.com/m/4wws8glRp49", "https://xhslink.com/m/4wws8glRp49")</f>
        <v>https://xhslink.com/m/4wws8glRp49</v>
      </c>
      <c r="D2406"/>
      <c r="E2406">
        <v>16000</v>
      </c>
      <c r="F2406">
        <v>68.7</v>
      </c>
      <c r="G2406"/>
      <c r="H2406">
        <v>100</v>
      </c>
      <c r="I2406" t="inlineStr">
        <is>
          <t>零食</t>
        </is>
      </c>
      <c r="J2406" t="inlineStr">
        <is>
          <t>0.01</t>
        </is>
      </c>
      <c r="K2406"/>
      <c r="L2406" t="inlineStr">
        <is>
          <t>札萨旗舰店</t>
        </is>
      </c>
      <c r="M2406">
        <v>118000</v>
      </c>
      <c r="N2406">
        <v>4.62</v>
      </c>
      <c r="O2406">
        <v>1284000</v>
      </c>
      <c r="P2406" t="inlineStr">
        <is>
          <t>688b18c299631f0001b82c16</t>
        </is>
      </c>
      <c r="Q2406" t="inlineStr">
        <is>
          <t>🚫重复</t>
        </is>
      </c>
      <c r="R2406" t="inlineStr">
        <is>
          <t>14周</t>
        </is>
      </c>
      <c r="S2406" t="inlineStr">
        <is>
          <t>0.14</t>
        </is>
      </c>
      <c r="T2406" t="inlineStr">
        <is>
          <t>美食滋补</t>
        </is>
      </c>
      <c r="U2406" t="inlineStr">
        <is>
          <t>休闲零食</t>
        </is>
      </c>
      <c r="V2406" s="3">
        <v>46112.78107638889</v>
      </c>
      <c r="W2406" t="inlineStr">
        <is>
          <t>2026-Q1</t>
        </is>
      </c>
    </row>
    <row r="2407" ht="25.5" customHeight="1">
      <c r="A2407" t="inlineStr">
        <is>
          <t>东方甄选 · 低脂香煎鸡胸肉 鸡排鸡肉早餐速食健身食材1kg/袋即食便携</t>
        </is>
      </c>
      <c r="B2407" t="inlineStr">
        <is>
          <t>recvdRkif4Hglb.jpg</t>
        </is>
      </c>
      <c r="C2407" s="2" t="str">
        <f>=HYPERLINK("https://xhslink.com/m/MYysytuWEE", "https://xhslink.com/m/MYysytuWEE")</f>
        <v>https://xhslink.com/m/MYysytuWEE</v>
      </c>
      <c r="D2407"/>
      <c r="E2407">
        <v>28000</v>
      </c>
      <c r="F2407">
        <v>106</v>
      </c>
      <c r="G2407"/>
      <c r="H2407">
        <v>100</v>
      </c>
      <c r="I2407" t="inlineStr">
        <is>
          <t>零食</t>
        </is>
      </c>
      <c r="J2407" t="inlineStr">
        <is>
          <t>0.00</t>
        </is>
      </c>
      <c r="K2407"/>
      <c r="L2407" t="inlineStr">
        <is>
          <t>东方甄选旗舰店</t>
        </is>
      </c>
      <c r="M2407">
        <v>991000</v>
      </c>
      <c r="N2407">
        <v>4.72</v>
      </c>
      <c r="O2407">
        <v>1700000</v>
      </c>
      <c r="P2407" t="inlineStr">
        <is>
          <t>655ad8f03edc980001bb4911</t>
        </is>
      </c>
      <c r="Q2407" t="inlineStr">
        <is>
          <t>🚫重复</t>
        </is>
      </c>
      <c r="R2407" t="inlineStr">
        <is>
          <t>14周</t>
        </is>
      </c>
      <c r="S2407" t="inlineStr">
        <is>
          <t>0.03</t>
        </is>
      </c>
      <c r="T2407" t="inlineStr">
        <is>
          <t>美食滋补</t>
        </is>
      </c>
      <c r="U2407" t="inlineStr">
        <is>
          <t>休闲零食</t>
        </is>
      </c>
      <c r="V2407" s="3">
        <v>46112.78107638889</v>
      </c>
      <c r="W2407" t="inlineStr">
        <is>
          <t>2026-Q1</t>
        </is>
      </c>
    </row>
    <row r="2408" ht="25.5" customHeight="1">
      <c r="A2408" t="inlineStr">
        <is>
          <t>奶沃家和牛脆脆薄片！超好吃！！</t>
        </is>
      </c>
      <c r="B2408" t="inlineStr">
        <is>
          <t>recvdRkif42gdB.jpg</t>
        </is>
      </c>
      <c r="C2408" s="2" t="str">
        <f>=HYPERLINK("https://xhslink.com/m/3gE3dMuLIeK", "https://xhslink.com/m/3gE3dMuLIeK")</f>
        <v>https://xhslink.com/m/3gE3dMuLIeK</v>
      </c>
      <c r="D2408"/>
      <c r="E2408">
        <v>2095</v>
      </c>
      <c r="F2408">
        <v>239.2</v>
      </c>
      <c r="G2408"/>
      <c r="H2408">
        <v>100</v>
      </c>
      <c r="I2408" t="inlineStr">
        <is>
          <t>零食</t>
        </is>
      </c>
      <c r="J2408" t="inlineStr">
        <is>
          <t>0.05</t>
        </is>
      </c>
      <c r="K2408"/>
      <c r="L2408" t="inlineStr">
        <is>
          <t>内蒙小沃~ 奶沃naiwo的店</t>
        </is>
      </c>
      <c r="M2408">
        <v>49000</v>
      </c>
      <c r="N2408">
        <v>4.74</v>
      </c>
      <c r="O2408">
        <v>20000</v>
      </c>
      <c r="P2408" t="inlineStr">
        <is>
          <t>69594050d96c45000177bc72</t>
        </is>
      </c>
      <c r="Q2408" t="inlineStr">
        <is>
          <t>🚫重复</t>
        </is>
      </c>
      <c r="R2408" t="inlineStr">
        <is>
          <t>14周</t>
        </is>
      </c>
      <c r="S2408" t="inlineStr">
        <is>
          <t>0.04</t>
        </is>
      </c>
      <c r="T2408" t="inlineStr">
        <is>
          <t>美食滋补</t>
        </is>
      </c>
      <c r="U2408" t="inlineStr">
        <is>
          <t>休闲零食</t>
        </is>
      </c>
      <c r="V2408" s="3">
        <v>46112.78107638889</v>
      </c>
      <c r="W2408" t="inlineStr">
        <is>
          <t>2026-Q1</t>
        </is>
      </c>
    </row>
    <row r="2409" ht="25.5" customHeight="1">
      <c r="A2409" t="inlineStr">
        <is>
          <t>QSSD魔芋三角蛋糕0面粉蔗糖低饱腹脂卡糖热量无面粉控糖健身甜品</t>
        </is>
      </c>
      <c r="B2409" t="inlineStr">
        <is>
          <t>recvdRkif4S86k.jpg</t>
        </is>
      </c>
      <c r="C2409" s="2" t="str">
        <f>=HYPERLINK("https://xhslink.com/m/4PpDx6jcCZP", "https://xhslink.com/m/4PpDx6jcCZP")</f>
        <v>https://xhslink.com/m/4PpDx6jcCZP</v>
      </c>
      <c r="D2409"/>
      <c r="E2409">
        <v>10000</v>
      </c>
      <c r="F2409">
        <v>22</v>
      </c>
      <c r="G2409">
        <v>18.7</v>
      </c>
      <c r="H2409">
        <v>100</v>
      </c>
      <c r="I2409" t="inlineStr">
        <is>
          <t>零食</t>
        </is>
      </c>
      <c r="J2409" t="inlineStr">
        <is>
          <t>0.01</t>
        </is>
      </c>
      <c r="K2409"/>
      <c r="L2409" t="inlineStr">
        <is>
          <t>QSSD烘焙的店</t>
        </is>
      </c>
      <c r="M2409">
        <v>50000</v>
      </c>
      <c r="N2409">
        <v>4.75</v>
      </c>
      <c r="O2409">
        <v>184000</v>
      </c>
      <c r="P2409" t="inlineStr">
        <is>
          <t>68d39dcfb7d62b000170ad68</t>
        </is>
      </c>
      <c r="Q2409" t="inlineStr">
        <is>
          <t>🚫重复</t>
        </is>
      </c>
      <c r="R2409" t="inlineStr">
        <is>
          <t>14周</t>
        </is>
      </c>
      <c r="S2409" t="inlineStr">
        <is>
          <t>0.20</t>
        </is>
      </c>
      <c r="T2409" t="inlineStr">
        <is>
          <t>美食滋补</t>
        </is>
      </c>
      <c r="U2409" t="inlineStr">
        <is>
          <t>休闲零食</t>
        </is>
      </c>
      <c r="V2409" s="3">
        <v>46112.78107638889</v>
      </c>
      <c r="W2409" t="inlineStr">
        <is>
          <t>2026-Q1</t>
        </is>
      </c>
    </row>
    <row r="2410" ht="25.5" customHeight="1">
      <c r="A2410" t="inlineStr">
        <is>
          <t>光合力量 · 低脂全麦夹心欧包无蔗糖缤纷四种口味面包轻食早餐50G/袋</t>
        </is>
      </c>
      <c r="B2410" t="inlineStr">
        <is>
          <t>recvdRkif47gt4.jpg</t>
        </is>
      </c>
      <c r="C2410" s="2" t="str">
        <f>=HYPERLINK("https://xhslink.com/m/4ryOz16SKFX", "https://xhslink.com/m/4ryOz16SKFX")</f>
        <v>https://xhslink.com/m/4ryOz16SKFX</v>
      </c>
      <c r="D2410"/>
      <c r="E2410">
        <v>2639</v>
      </c>
      <c r="F2410">
        <v>20.9</v>
      </c>
      <c r="G2410">
        <v>9.9</v>
      </c>
      <c r="H2410">
        <v>100</v>
      </c>
      <c r="I2410" t="inlineStr">
        <is>
          <t>零食</t>
        </is>
      </c>
      <c r="J2410" t="inlineStr">
        <is>
          <t>0.04</t>
        </is>
      </c>
      <c r="K2410"/>
      <c r="L2410" t="inlineStr">
        <is>
          <t>光合力量旗舰店</t>
        </is>
      </c>
      <c r="M2410">
        <v>1036</v>
      </c>
      <c r="N2410">
        <v>4.57</v>
      </c>
      <c r="O2410">
        <v>28000</v>
      </c>
      <c r="P2410" t="inlineStr">
        <is>
          <t>693b7e1f8b11d100016a34b6</t>
        </is>
      </c>
      <c r="Q2410"/>
      <c r="R2410" t="inlineStr">
        <is>
          <t>14周</t>
        </is>
      </c>
      <c r="S2410" t="inlineStr">
        <is>
          <t>2.55</t>
        </is>
      </c>
      <c r="T2410" t="inlineStr">
        <is>
          <t>美食滋补</t>
        </is>
      </c>
      <c r="U2410" t="inlineStr">
        <is>
          <t>休闲零食</t>
        </is>
      </c>
      <c r="V2410" s="3">
        <v>46112.78107638889</v>
      </c>
      <c r="W2410" t="inlineStr">
        <is>
          <t>2026-Q1</t>
        </is>
      </c>
    </row>
    <row r="2411" ht="25.5" customHeight="1">
      <c r="A2411" t="inlineStr">
        <is>
          <t>【前2万单立减20·150g/枚·手作贝果 】无油糖黑芝麻贝果早餐代餐</t>
        </is>
      </c>
      <c r="B2411" t="inlineStr">
        <is>
          <t>recvdRkif42i1s.jpg</t>
        </is>
      </c>
      <c r="C2411" s="2" t="str">
        <f>=HYPERLINK("https://xhslink.com/m/4zEpeHlCPPD", "https://xhslink.com/m/4zEpeHlCPPD")</f>
        <v>https://xhslink.com/m/4zEpeHlCPPD</v>
      </c>
      <c r="D2411"/>
      <c r="E2411">
        <v>11000</v>
      </c>
      <c r="F2411">
        <v>52.8</v>
      </c>
      <c r="G2411">
        <v>32.8</v>
      </c>
      <c r="H2411">
        <v>100</v>
      </c>
      <c r="I2411" t="inlineStr">
        <is>
          <t>零食</t>
        </is>
      </c>
      <c r="J2411" t="inlineStr">
        <is>
          <t>0.01</t>
        </is>
      </c>
      <c r="K2411" t="inlineStr">
        <is>
          <t>🔥低粉爆款</t>
        </is>
      </c>
      <c r="L2411" t="inlineStr">
        <is>
          <t>晨语手作烘焙的店</t>
        </is>
      </c>
      <c r="M2411">
        <v>1010</v>
      </c>
      <c r="N2411">
        <v>4.24</v>
      </c>
      <c r="O2411">
        <v>15000</v>
      </c>
      <c r="P2411" t="inlineStr">
        <is>
          <t>675a80acb9eb750001f91f22</t>
        </is>
      </c>
      <c r="Q2411"/>
      <c r="R2411" t="inlineStr">
        <is>
          <t>14周</t>
        </is>
      </c>
      <c r="S2411" t="inlineStr">
        <is>
          <t>10.89</t>
        </is>
      </c>
      <c r="T2411" t="inlineStr">
        <is>
          <t>美食滋补</t>
        </is>
      </c>
      <c r="U2411" t="inlineStr">
        <is>
          <t>休闲零食</t>
        </is>
      </c>
      <c r="V2411" s="3">
        <v>46112.78107638889</v>
      </c>
      <c r="W2411" t="inlineStr">
        <is>
          <t>2026-Q1</t>
        </is>
      </c>
    </row>
    <row r="2412" ht="25.5" customHeight="1">
      <c r="A2412" t="inlineStr">
        <is>
          <t>美式黄油汉堡胚早餐面包手工半成品即食短保现做牛肉堡胚家用商用</t>
        </is>
      </c>
      <c r="B2412" t="inlineStr">
        <is>
          <t>recvdRkif43ZgO.jpg</t>
        </is>
      </c>
      <c r="C2412" s="2" t="str">
        <f>=HYPERLINK("https://xhslink.com/m/4mCPXX2CfCg", "https://xhslink.com/m/4mCPXX2CfCg")</f>
        <v>https://xhslink.com/m/4mCPXX2CfCg</v>
      </c>
      <c r="D2412"/>
      <c r="E2412">
        <v>10000</v>
      </c>
      <c r="F2412">
        <v>18</v>
      </c>
      <c r="G2412"/>
      <c r="H2412">
        <v>100</v>
      </c>
      <c r="I2412" t="inlineStr">
        <is>
          <t>零食</t>
        </is>
      </c>
      <c r="J2412" t="inlineStr">
        <is>
          <t>0.01</t>
        </is>
      </c>
      <c r="K2412" t="inlineStr">
        <is>
          <t>🔥低粉爆款</t>
        </is>
      </c>
      <c r="L2412" t="inlineStr">
        <is>
          <t>萌奇家的店</t>
        </is>
      </c>
      <c r="M2412">
        <v>3289</v>
      </c>
      <c r="N2412">
        <v>4.7</v>
      </c>
      <c r="O2412">
        <v>11000</v>
      </c>
      <c r="P2412" t="inlineStr">
        <is>
          <t>6821d1b77f3a7d0001aedb06</t>
        </is>
      </c>
      <c r="Q2412"/>
      <c r="R2412" t="inlineStr">
        <is>
          <t>14周</t>
        </is>
      </c>
      <c r="S2412" t="inlineStr">
        <is>
          <t>3.04</t>
        </is>
      </c>
      <c r="T2412" t="inlineStr">
        <is>
          <t>美食滋补</t>
        </is>
      </c>
      <c r="U2412" t="inlineStr">
        <is>
          <t>休闲零食</t>
        </is>
      </c>
      <c r="V2412" s="3">
        <v>46112.78107638889</v>
      </c>
      <c r="W2412" t="inlineStr">
        <is>
          <t>2026-Q1</t>
        </is>
      </c>
    </row>
    <row r="2413" ht="25.5" customHeight="1">
      <c r="A2413" t="inlineStr">
        <is>
          <t>麦浪里 · 【28.8任选八个顺丰包邮】手作碱水棒夹心带馅全麦营养早餐面包</t>
        </is>
      </c>
      <c r="B2413" t="inlineStr">
        <is>
          <t>recvdRkif4o3vm.jpg</t>
        </is>
      </c>
      <c r="C2413" s="2" t="str">
        <f>=HYPERLINK("https://xhslink.com/m/6JiTKaX8qBY", "https://xhslink.com/m/6JiTKaX8qBY")</f>
        <v>https://xhslink.com/m/6JiTKaX8qBY</v>
      </c>
      <c r="D2413"/>
      <c r="E2413">
        <v>14000</v>
      </c>
      <c r="F2413">
        <v>20</v>
      </c>
      <c r="G2413">
        <v>11.6</v>
      </c>
      <c r="H2413">
        <v>100</v>
      </c>
      <c r="I2413" t="inlineStr">
        <is>
          <t>零食</t>
        </is>
      </c>
      <c r="J2413" t="inlineStr">
        <is>
          <t>0.01</t>
        </is>
      </c>
      <c r="K2413"/>
      <c r="L2413" t="inlineStr">
        <is>
          <t>麦浪里旗舰店</t>
        </is>
      </c>
      <c r="M2413">
        <v>5470</v>
      </c>
      <c r="N2413">
        <v>4.63</v>
      </c>
      <c r="O2413">
        <v>239000</v>
      </c>
      <c r="P2413" t="inlineStr">
        <is>
          <t>695a349396a9fa00016cc544</t>
        </is>
      </c>
      <c r="Q2413" t="inlineStr">
        <is>
          <t>🚫重复</t>
        </is>
      </c>
      <c r="R2413" t="inlineStr">
        <is>
          <t>14周</t>
        </is>
      </c>
      <c r="S2413" t="inlineStr">
        <is>
          <t>2.56</t>
        </is>
      </c>
      <c r="T2413" t="inlineStr">
        <is>
          <t>美食滋补</t>
        </is>
      </c>
      <c r="U2413" t="inlineStr">
        <is>
          <t>休闲零食</t>
        </is>
      </c>
      <c r="V2413" s="3">
        <v>46112.78107638889</v>
      </c>
      <c r="W2413" t="inlineStr">
        <is>
          <t>2026-Q1</t>
        </is>
      </c>
    </row>
    <row r="2414" ht="25.5" customHeight="1">
      <c r="A2414" t="inlineStr">
        <is>
          <t>【18.8/7枚】全麦贝果夹心欧包减低饱腹肥感代餐早餐零食碱水面包</t>
        </is>
      </c>
      <c r="B2414" t="inlineStr">
        <is>
          <t>recvdRkif47FaW.jpg</t>
        </is>
      </c>
      <c r="C2414" s="2" t="str">
        <f>=HYPERLINK("https://xhslink.com/m/9UjnYjsH1dg", "https://xhslink.com/m/9UjnYjsH1dg")</f>
        <v>https://xhslink.com/m/9UjnYjsH1dg</v>
      </c>
      <c r="D2414"/>
      <c r="E2414">
        <v>10000</v>
      </c>
      <c r="F2414">
        <v>38.8</v>
      </c>
      <c r="G2414">
        <v>18.8</v>
      </c>
      <c r="H2414">
        <v>100</v>
      </c>
      <c r="I2414" t="inlineStr">
        <is>
          <t>零食</t>
        </is>
      </c>
      <c r="J2414" t="inlineStr">
        <is>
          <t>0.01</t>
        </is>
      </c>
      <c r="K2414"/>
      <c r="L2414" t="inlineStr">
        <is>
          <t>糖隐烘焙坊的店</t>
        </is>
      </c>
      <c r="M2414">
        <v>17000</v>
      </c>
      <c r="N2414">
        <v>4.59</v>
      </c>
      <c r="O2414">
        <v>188000</v>
      </c>
      <c r="P2414" t="inlineStr">
        <is>
          <t>67dd30af84926e000109f0f6</t>
        </is>
      </c>
      <c r="Q2414" t="inlineStr">
        <is>
          <t>🚫重复</t>
        </is>
      </c>
      <c r="R2414" t="inlineStr">
        <is>
          <t>14周</t>
        </is>
      </c>
      <c r="S2414" t="inlineStr">
        <is>
          <t>0.59</t>
        </is>
      </c>
      <c r="T2414" t="inlineStr">
        <is>
          <t>美食滋补</t>
        </is>
      </c>
      <c r="U2414" t="inlineStr">
        <is>
          <t>休闲零食</t>
        </is>
      </c>
      <c r="V2414" s="3">
        <v>46112.78107638889</v>
      </c>
      <c r="W2414" t="inlineStr">
        <is>
          <t>2026-Q1</t>
        </is>
      </c>
    </row>
    <row r="2415" ht="25.5" customHeight="1">
      <c r="A2415" t="inlineStr">
        <is>
          <t>全麦恰巴塔面包学生党上班族代餐早餐休闲零食糕点网红零食</t>
        </is>
      </c>
      <c r="B2415" t="inlineStr">
        <is>
          <t>recvdRkif4KKZG.jpg</t>
        </is>
      </c>
      <c r="C2415" s="2" t="str">
        <f>=HYPERLINK("https://xhslink.com/m/94LIZRU9xl8", "https://xhslink.com/m/94LIZRU9xl8")</f>
        <v>https://xhslink.com/m/94LIZRU9xl8</v>
      </c>
      <c r="D2415"/>
      <c r="E2415">
        <v>6631</v>
      </c>
      <c r="F2415">
        <v>24.9</v>
      </c>
      <c r="G2415">
        <v>14.9</v>
      </c>
      <c r="H2415">
        <v>100</v>
      </c>
      <c r="I2415" t="inlineStr">
        <is>
          <t>零食</t>
        </is>
      </c>
      <c r="J2415" t="inlineStr">
        <is>
          <t>0.02</t>
        </is>
      </c>
      <c r="K2415" t="inlineStr">
        <is>
          <t>🔥低粉爆款</t>
        </is>
      </c>
      <c r="L2415" t="inlineStr">
        <is>
          <t>馋什么的店</t>
        </is>
      </c>
      <c r="M2415">
        <v>1143</v>
      </c>
      <c r="N2415">
        <v>4.37</v>
      </c>
      <c r="O2415">
        <v>15000</v>
      </c>
      <c r="P2415" t="inlineStr">
        <is>
          <t>68c92ee4d1f7b800014a12ac</t>
        </is>
      </c>
      <c r="Q2415"/>
      <c r="R2415" t="inlineStr">
        <is>
          <t>14周</t>
        </is>
      </c>
      <c r="S2415" t="inlineStr">
        <is>
          <t>5.80</t>
        </is>
      </c>
      <c r="T2415" t="inlineStr">
        <is>
          <t>美食滋补</t>
        </is>
      </c>
      <c r="U2415" t="inlineStr">
        <is>
          <t>休闲零食</t>
        </is>
      </c>
      <c r="V2415" s="3">
        <v>46112.78107638889</v>
      </c>
      <c r="W2415" t="inlineStr">
        <is>
          <t>2026-Q1</t>
        </is>
      </c>
    </row>
    <row r="2416" ht="25.5" customHeight="1">
      <c r="A2416" t="inlineStr">
        <is>
          <t>手作恰巴塔意式硬面包咸口无蔗糖代餐饱腹即食早餐顺丰包邮现做现</t>
        </is>
      </c>
      <c r="B2416" t="inlineStr">
        <is>
          <t>recvdRkif44DKN.jpg</t>
        </is>
      </c>
      <c r="C2416" s="2" t="str">
        <f>=HYPERLINK("https://xhslink.com/m/9KgCs4DENgP", "https://xhslink.com/m/9KgCs4DENgP")</f>
        <v>https://xhslink.com/m/9KgCs4DENgP</v>
      </c>
      <c r="D2416"/>
      <c r="E2416">
        <v>5976</v>
      </c>
      <c r="F2416">
        <v>56.8</v>
      </c>
      <c r="G2416">
        <v>45.8</v>
      </c>
      <c r="H2416">
        <v>100</v>
      </c>
      <c r="I2416" t="inlineStr">
        <is>
          <t>零食</t>
        </is>
      </c>
      <c r="J2416" t="inlineStr">
        <is>
          <t>0.02</t>
        </is>
      </c>
      <c r="K2416" t="inlineStr">
        <is>
          <t>🔥低粉爆款</t>
        </is>
      </c>
      <c r="L2416" t="inlineStr">
        <is>
          <t>糖师傅说的店</t>
        </is>
      </c>
      <c r="M2416">
        <v>603</v>
      </c>
      <c r="N2416">
        <v>4.74</v>
      </c>
      <c r="O2416">
        <v>7297</v>
      </c>
      <c r="P2416" t="inlineStr">
        <is>
          <t>689da07e1745f60001d6464a</t>
        </is>
      </c>
      <c r="Q2416" t="inlineStr">
        <is>
          <t>🚫重复</t>
        </is>
      </c>
      <c r="R2416" t="inlineStr">
        <is>
          <t>14周</t>
        </is>
      </c>
      <c r="S2416" t="inlineStr">
        <is>
          <t>9.91</t>
        </is>
      </c>
      <c r="T2416" t="inlineStr">
        <is>
          <t>美食滋补</t>
        </is>
      </c>
      <c r="U2416" t="inlineStr">
        <is>
          <t>休闲零食</t>
        </is>
      </c>
      <c r="V2416" s="3">
        <v>46112.78107638889</v>
      </c>
      <c r="W2416" t="inlineStr">
        <is>
          <t>2026-Q1</t>
        </is>
      </c>
    </row>
    <row r="2417" ht="25.5" customHeight="1">
      <c r="A2417" t="inlineStr">
        <is>
          <t>手作德式碱水0油0蔗糖（澳洲乳酪、浓郁丝滑）</t>
        </is>
      </c>
      <c r="B2417" t="inlineStr">
        <is>
          <t>recvdRkif4kTnJ.jpg</t>
        </is>
      </c>
      <c r="C2417" s="2" t="str">
        <f>=HYPERLINK("https://xhslink.com/m/5HlnDvp2xvI", "https://xhslink.com/m/5HlnDvp2xvI")</f>
        <v>https://xhslink.com/m/5HlnDvp2xvI</v>
      </c>
      <c r="D2417"/>
      <c r="E2417">
        <v>6400</v>
      </c>
      <c r="F2417">
        <v>60</v>
      </c>
      <c r="G2417">
        <v>29</v>
      </c>
      <c r="H2417">
        <v>100</v>
      </c>
      <c r="I2417" t="inlineStr">
        <is>
          <t>零食</t>
        </is>
      </c>
      <c r="J2417" t="inlineStr">
        <is>
          <t>0.02</t>
        </is>
      </c>
      <c r="K2417"/>
      <c r="L2417" t="inlineStr">
        <is>
          <t>法岸欧包（手作面包)的店</t>
        </is>
      </c>
      <c r="M2417">
        <v>14000</v>
      </c>
      <c r="N2417">
        <v>4.49</v>
      </c>
      <c r="O2417">
        <v>24000</v>
      </c>
      <c r="P2417" t="inlineStr">
        <is>
          <t>68036bcc9743060001668656</t>
        </is>
      </c>
      <c r="Q2417" t="inlineStr">
        <is>
          <t>🚫重复</t>
        </is>
      </c>
      <c r="R2417" t="inlineStr">
        <is>
          <t>14周</t>
        </is>
      </c>
      <c r="S2417" t="inlineStr">
        <is>
          <t>0.46</t>
        </is>
      </c>
      <c r="T2417" t="inlineStr">
        <is>
          <t>运动潮玩</t>
        </is>
      </c>
      <c r="U2417" t="inlineStr">
        <is>
          <t>潮玩手办</t>
        </is>
      </c>
      <c r="V2417" s="3">
        <v>46112.78107638889</v>
      </c>
      <c r="W2417" t="inlineStr">
        <is>
          <t>2026-Q1</t>
        </is>
      </c>
    </row>
    <row r="2418" ht="25.5" customHeight="1">
      <c r="A2418" t="inlineStr">
        <is>
          <t>卡卡业 · 全麦坚果吐司早餐手工制作营养健康粗粮饱腹感代餐美味</t>
        </is>
      </c>
      <c r="B2418" t="inlineStr">
        <is>
          <t>recvdRkif4N0qk.jpg</t>
        </is>
      </c>
      <c r="C2418" s="2" t="str">
        <f>=HYPERLINK("https://xhslink.com/m/3Xu9SlE6Ch8", "https://xhslink.com/m/3Xu9SlE6Ch8")</f>
        <v>https://xhslink.com/m/3Xu9SlE6Ch8</v>
      </c>
      <c r="D2418"/>
      <c r="E2418">
        <v>941</v>
      </c>
      <c r="F2418">
        <v>44.8</v>
      </c>
      <c r="G2418"/>
      <c r="H2418">
        <v>100</v>
      </c>
      <c r="I2418" t="inlineStr">
        <is>
          <t>零食</t>
        </is>
      </c>
      <c r="J2418" t="inlineStr">
        <is>
          <t>0.11</t>
        </is>
      </c>
      <c r="K2418"/>
      <c r="L2418" t="inlineStr">
        <is>
          <t>卡卡业旗舰店</t>
        </is>
      </c>
      <c r="M2418">
        <v>71000</v>
      </c>
      <c r="N2418">
        <v>4.35</v>
      </c>
      <c r="O2418">
        <v>288000</v>
      </c>
      <c r="P2418" t="inlineStr">
        <is>
          <t>699c7c03e2c5ca00016c68c8</t>
        </is>
      </c>
      <c r="Q2418" t="inlineStr">
        <is>
          <t>🚫重复</t>
        </is>
      </c>
      <c r="R2418" t="inlineStr">
        <is>
          <t>14周</t>
        </is>
      </c>
      <c r="S2418" t="inlineStr">
        <is>
          <t>0.01</t>
        </is>
      </c>
      <c r="T2418" t="inlineStr">
        <is>
          <t>美食滋补</t>
        </is>
      </c>
      <c r="U2418" t="inlineStr">
        <is>
          <t>休闲零食</t>
        </is>
      </c>
      <c r="V2418" s="3">
        <v>46112.78107638889</v>
      </c>
      <c r="W2418" t="inlineStr">
        <is>
          <t>2026-Q1</t>
        </is>
      </c>
    </row>
    <row r="2419" ht="25.5" customHeight="1">
      <c r="A2419" t="inlineStr">
        <is>
          <t>现做现烤散装老式酱多多香葱肉松面包（散装食品）此产品不可冷冻</t>
        </is>
      </c>
      <c r="B2419" t="inlineStr">
        <is>
          <t>recvdRkif4OQlk.jpg</t>
        </is>
      </c>
      <c r="C2419" s="2" t="str">
        <f>=HYPERLINK("https://xhslink.com/m/2OTZFNHElff", "https://xhslink.com/m/2OTZFNHElff")</f>
        <v>https://xhslink.com/m/2OTZFNHElff</v>
      </c>
      <c r="D2419"/>
      <c r="E2419">
        <v>1001</v>
      </c>
      <c r="F2419">
        <v>26.8</v>
      </c>
      <c r="G2419"/>
      <c r="H2419">
        <v>100</v>
      </c>
      <c r="I2419" t="inlineStr">
        <is>
          <t>零食</t>
        </is>
      </c>
      <c r="J2419" t="inlineStr">
        <is>
          <t>0.10</t>
        </is>
      </c>
      <c r="K2419"/>
      <c r="L2419" t="inlineStr">
        <is>
          <t>鲜活烘焙🍞（可学习）的店</t>
        </is>
      </c>
      <c r="M2419">
        <v>4844</v>
      </c>
      <c r="N2419">
        <v>4.46</v>
      </c>
      <c r="O2419">
        <v>987</v>
      </c>
      <c r="P2419" t="inlineStr">
        <is>
          <t>69328db251b8c00001c4b581</t>
        </is>
      </c>
      <c r="Q2419"/>
      <c r="R2419" t="inlineStr">
        <is>
          <t>14周</t>
        </is>
      </c>
      <c r="S2419" t="inlineStr">
        <is>
          <t>0.21</t>
        </is>
      </c>
      <c r="T2419" t="inlineStr">
        <is>
          <t>美食滋补</t>
        </is>
      </c>
      <c r="U2419" t="inlineStr">
        <is>
          <t>休闲零食</t>
        </is>
      </c>
      <c r="V2419" s="3">
        <v>46112.78107638889</v>
      </c>
      <c r="W2419" t="inlineStr">
        <is>
          <t>2026-Q1</t>
        </is>
      </c>
    </row>
    <row r="2420" ht="25.5" customHeight="1">
      <c r="A2420" t="inlineStr">
        <is>
          <t>手作全麦恰巴塔无蔗糖代餐面包意大利硬欧包（精品胶质感大气孔）</t>
        </is>
      </c>
      <c r="B2420" t="inlineStr">
        <is>
          <t>recvdRkif4zttt.jpg</t>
        </is>
      </c>
      <c r="C2420" s="2" t="str">
        <f>=HYPERLINK("https://xhslink.com/m/ET09QrUhs2", "https://xhslink.com/m/ET09QrUhs2")</f>
        <v>https://xhslink.com/m/ET09QrUhs2</v>
      </c>
      <c r="D2420"/>
      <c r="E2420">
        <v>1313</v>
      </c>
      <c r="F2420">
        <v>35.9</v>
      </c>
      <c r="G2420">
        <v>25.9</v>
      </c>
      <c r="H2420">
        <v>100</v>
      </c>
      <c r="I2420" t="inlineStr">
        <is>
          <t>零食</t>
        </is>
      </c>
      <c r="J2420" t="inlineStr">
        <is>
          <t>0.08</t>
        </is>
      </c>
      <c r="K2420"/>
      <c r="L2420" t="inlineStr">
        <is>
          <t>Green轻食店的店</t>
        </is>
      </c>
      <c r="M2420">
        <v>657</v>
      </c>
      <c r="N2420">
        <v>4.47</v>
      </c>
      <c r="O2420">
        <v>30000</v>
      </c>
      <c r="P2420" t="inlineStr">
        <is>
          <t>68bfb88e2773df0001efa72e</t>
        </is>
      </c>
      <c r="Q2420" t="inlineStr">
        <is>
          <t>🚫重复</t>
        </is>
      </c>
      <c r="R2420" t="inlineStr">
        <is>
          <t>14周</t>
        </is>
      </c>
      <c r="S2420" t="inlineStr">
        <is>
          <t>2.00</t>
        </is>
      </c>
      <c r="T2420" t="inlineStr">
        <is>
          <t>美食滋补</t>
        </is>
      </c>
      <c r="U2420" t="inlineStr">
        <is>
          <t>休闲零食</t>
        </is>
      </c>
      <c r="V2420" s="3">
        <v>46112.78107638889</v>
      </c>
      <c r="W2420" t="inlineStr">
        <is>
          <t>2026-Q1</t>
        </is>
      </c>
    </row>
    <row r="2421" ht="25.5" customHeight="1">
      <c r="A2421" t="inlineStr">
        <is>
          <t>到手2个 爆浆脏脏包手工纯可可脂巧克力（不可拦截不支持七天</t>
        </is>
      </c>
      <c r="B2421" t="inlineStr">
        <is>
          <t>recvdRkif4l2fg.jpg</t>
        </is>
      </c>
      <c r="C2421" s="2" t="str">
        <f>=HYPERLINK("https://xhslink.com/m/8aFO4HUtOir", "https://xhslink.com/m/8aFO4HUtOir")</f>
        <v>https://xhslink.com/m/8aFO4HUtOir</v>
      </c>
      <c r="D2421"/>
      <c r="E2421">
        <v>501</v>
      </c>
      <c r="F2421">
        <v>39.9</v>
      </c>
      <c r="G2421"/>
      <c r="H2421">
        <v>100</v>
      </c>
      <c r="I2421" t="inlineStr">
        <is>
          <t>零食</t>
        </is>
      </c>
      <c r="J2421" t="inlineStr">
        <is>
          <t>0.20</t>
        </is>
      </c>
      <c r="K2421"/>
      <c r="L2421" t="inlineStr">
        <is>
          <t>森予焙甜烘焙坊的店</t>
        </is>
      </c>
      <c r="M2421">
        <v>1907</v>
      </c>
      <c r="N2421">
        <v>4.35</v>
      </c>
      <c r="O2421">
        <v>485</v>
      </c>
      <c r="P2421" t="inlineStr">
        <is>
          <t>69422a344d11d70001513639</t>
        </is>
      </c>
      <c r="Q2421"/>
      <c r="R2421" t="inlineStr">
        <is>
          <t>14周</t>
        </is>
      </c>
      <c r="S2421" t="inlineStr">
        <is>
          <t>0.26</t>
        </is>
      </c>
      <c r="T2421" t="inlineStr">
        <is>
          <t>美食滋补</t>
        </is>
      </c>
      <c r="U2421" t="inlineStr">
        <is>
          <t>休闲零食</t>
        </is>
      </c>
      <c r="V2421" s="3">
        <v>46112.78107638889</v>
      </c>
      <c r="W2421" t="inlineStr">
        <is>
          <t>2026-Q1</t>
        </is>
      </c>
    </row>
    <row r="2422" ht="25.5" customHeight="1">
      <c r="A2422" t="inlineStr">
        <is>
          <t>冰岛/挪威 中段（带鱼腩）</t>
        </is>
      </c>
      <c r="B2422" t="inlineStr">
        <is>
          <t>recvdRkif4YVLT.jpg</t>
        </is>
      </c>
      <c r="C2422" s="2" t="str">
        <f>=HYPERLINK("https://xhslink.com/m/7onjWbBhFzp", "https://xhslink.com/m/7onjWbBhFzp")</f>
        <v>https://xhslink.com/m/7onjWbBhFzp</v>
      </c>
      <c r="D2422"/>
      <c r="E2422">
        <v>24000</v>
      </c>
      <c r="F2422">
        <v>5</v>
      </c>
      <c r="G2422"/>
      <c r="H2422">
        <v>100</v>
      </c>
      <c r="I2422" t="inlineStr">
        <is>
          <t>零食</t>
        </is>
      </c>
      <c r="J2422" t="inlineStr">
        <is>
          <t>0.00</t>
        </is>
      </c>
      <c r="K2422"/>
      <c r="L2422" t="inlineStr">
        <is>
          <t>洋洋羊的鱼的店</t>
        </is>
      </c>
      <c r="M2422">
        <v>31000</v>
      </c>
      <c r="N2422">
        <v>4.69</v>
      </c>
      <c r="O2422">
        <v>49000</v>
      </c>
      <c r="P2422" t="inlineStr">
        <is>
          <t>6736bda7ec68d70001e90f6a</t>
        </is>
      </c>
      <c r="Q2422" t="inlineStr">
        <is>
          <t>🚫重复</t>
        </is>
      </c>
      <c r="R2422" t="inlineStr">
        <is>
          <t>14周</t>
        </is>
      </c>
      <c r="S2422" t="inlineStr">
        <is>
          <t>0.77</t>
        </is>
      </c>
      <c r="T2422" t="inlineStr">
        <is>
          <t>美食滋补</t>
        </is>
      </c>
      <c r="U2422" t="inlineStr">
        <is>
          <t>休闲零食</t>
        </is>
      </c>
      <c r="V2422" s="3">
        <v>46112.78107638889</v>
      </c>
      <c r="W2422" t="inlineStr">
        <is>
          <t>2026-Q1</t>
        </is>
      </c>
    </row>
    <row r="2423" ht="25.5" customHeight="1">
      <c r="A2423" t="inlineStr">
        <is>
          <t>枫糖三文鱼（大西洋鲑鱼烟熏/无熏版）有整块和切片请备注或随机</t>
        </is>
      </c>
      <c r="B2423" t="inlineStr">
        <is>
          <t>recvdRkif4HHdk.jpg</t>
        </is>
      </c>
      <c r="C2423" s="2" t="str">
        <f>=HYPERLINK("https://xhslink.com/m/3Fyvvhgg9Rf", "https://xhslink.com/m/3Fyvvhgg9Rf")</f>
        <v>https://xhslink.com/m/3Fyvvhgg9Rf</v>
      </c>
      <c r="D2423"/>
      <c r="E2423">
        <v>4949</v>
      </c>
      <c r="F2423">
        <v>138</v>
      </c>
      <c r="G2423"/>
      <c r="H2423">
        <v>100</v>
      </c>
      <c r="I2423" t="inlineStr">
        <is>
          <t>零食</t>
        </is>
      </c>
      <c r="J2423" t="inlineStr">
        <is>
          <t>0.02</t>
        </is>
      </c>
      <c r="K2423"/>
      <c r="L2423" t="inlineStr">
        <is>
          <t>A贝润三文鱼生鲜的店</t>
        </is>
      </c>
      <c r="M2423">
        <v>3803</v>
      </c>
      <c r="N2423">
        <v>4.58</v>
      </c>
      <c r="O2423">
        <v>6643</v>
      </c>
      <c r="P2423" t="inlineStr">
        <is>
          <t>694547c6c3ae5b0001a474d5</t>
        </is>
      </c>
      <c r="Q2423"/>
      <c r="R2423" t="inlineStr">
        <is>
          <t>14周</t>
        </is>
      </c>
      <c r="S2423" t="inlineStr">
        <is>
          <t>1.30</t>
        </is>
      </c>
      <c r="T2423" t="inlineStr">
        <is>
          <t>美食滋补</t>
        </is>
      </c>
      <c r="U2423" t="inlineStr">
        <is>
          <t>生鲜特产</t>
        </is>
      </c>
      <c r="V2423" s="3">
        <v>46112.78107638889</v>
      </c>
      <c r="W2423" t="inlineStr">
        <is>
          <t>2026-Q1</t>
        </is>
      </c>
    </row>
    <row r="2424" ht="25.5" customHeight="1">
      <c r="A2424" t="inlineStr">
        <is>
          <t>海河 · 花色牛奶  0蔗糖系列 莓莓美眉嘿凤梨羽衣青提</t>
        </is>
      </c>
      <c r="B2424" t="inlineStr">
        <is>
          <t>recvdRkif44Pvl.jpg</t>
        </is>
      </c>
      <c r="C2424" s="2" t="str">
        <f>=HYPERLINK("https://xhslink.com/m/39s9SiyzGwo", "https://xhslink.com/m/39s9SiyzGwo")</f>
        <v>https://xhslink.com/m/39s9SiyzGwo</v>
      </c>
      <c r="D2424"/>
      <c r="E2424">
        <v>1857</v>
      </c>
      <c r="F2424">
        <v>28.9</v>
      </c>
      <c r="G2424"/>
      <c r="H2424">
        <v>100</v>
      </c>
      <c r="I2424" t="inlineStr">
        <is>
          <t>零食</t>
        </is>
      </c>
      <c r="J2424" t="inlineStr">
        <is>
          <t>0.05</t>
        </is>
      </c>
      <c r="K2424"/>
      <c r="L2424" t="inlineStr">
        <is>
          <t>天津海河乳品有限公司的店</t>
        </is>
      </c>
      <c r="M2424">
        <v>55000</v>
      </c>
      <c r="N2424">
        <v>4.61</v>
      </c>
      <c r="O2424">
        <v>148000</v>
      </c>
      <c r="P2424" t="inlineStr">
        <is>
          <t>69a78941dd2f44000155bcb5</t>
        </is>
      </c>
      <c r="Q2424"/>
      <c r="R2424" t="inlineStr">
        <is>
          <t>14周</t>
        </is>
      </c>
      <c r="S2424" t="inlineStr">
        <is>
          <t>0.03</t>
        </is>
      </c>
      <c r="T2424" t="inlineStr">
        <is>
          <t>美食滋补</t>
        </is>
      </c>
      <c r="U2424" t="inlineStr">
        <is>
          <t>酒水冲饮</t>
        </is>
      </c>
      <c r="V2424" s="3">
        <v>46112.78107638889</v>
      </c>
      <c r="W2424" t="inlineStr">
        <is>
          <t>2026-Q1</t>
        </is>
      </c>
    </row>
    <row r="2425" ht="25.5" customHeight="1">
      <c r="A2425" t="inlineStr">
        <is>
          <t>辰颐物语 · 【480天老母鸡】大别山纯粮散养土鸡煲汤老母鸡草鸡柴鸡农家溜达</t>
        </is>
      </c>
      <c r="B2425" t="inlineStr">
        <is>
          <t>recvdRkif4exMq.jpg</t>
        </is>
      </c>
      <c r="C2425" s="2" t="str">
        <f>=HYPERLINK("https://xhslink.com/m/4NT0Ct8OECM", "https://xhslink.com/m/4NT0Ct8OECM")</f>
        <v>https://xhslink.com/m/4NT0Ct8OECM</v>
      </c>
      <c r="D2425"/>
      <c r="E2425">
        <v>15000</v>
      </c>
      <c r="F2425">
        <v>59.9</v>
      </c>
      <c r="G2425"/>
      <c r="H2425">
        <v>100</v>
      </c>
      <c r="I2425" t="inlineStr">
        <is>
          <t>零食</t>
        </is>
      </c>
      <c r="J2425" t="inlineStr">
        <is>
          <t>0.01</t>
        </is>
      </c>
      <c r="K2425"/>
      <c r="L2425" t="inlineStr">
        <is>
          <t>瑞敏土货的店</t>
        </is>
      </c>
      <c r="M2425">
        <v>7533</v>
      </c>
      <c r="N2425">
        <v>4.51</v>
      </c>
      <c r="O2425">
        <v>18000</v>
      </c>
      <c r="P2425" t="inlineStr">
        <is>
          <t>6879ccd5e58d070001316fc2</t>
        </is>
      </c>
      <c r="Q2425"/>
      <c r="R2425" t="inlineStr">
        <is>
          <t>14周</t>
        </is>
      </c>
      <c r="S2425" t="inlineStr">
        <is>
          <t>1.99</t>
        </is>
      </c>
      <c r="T2425" t="inlineStr">
        <is>
          <t>美食滋补</t>
        </is>
      </c>
      <c r="U2425" t="inlineStr">
        <is>
          <t>生鲜特产</t>
        </is>
      </c>
      <c r="V2425" s="3">
        <v>46112.78107638889</v>
      </c>
      <c r="W2425" t="inlineStr">
        <is>
          <t>2026-Q1</t>
        </is>
      </c>
    </row>
    <row r="2426" ht="25.5" customHeight="1">
      <c r="A2426" t="inlineStr">
        <is>
          <t>【DEVIDIL】爱心女孩｜原创印花手工印度拓印纯100%棉砂洗短袖T恤</t>
        </is>
      </c>
      <c r="B2426" t="inlineStr">
        <is>
          <t>recvdRkif4d9Ck.jpg</t>
        </is>
      </c>
      <c r="C2426" s="2" t="str">
        <f>=HYPERLINK("https://xhslink.com/m/86XaAolNlPW", "https://xhslink.com/m/86XaAolNlPW")</f>
        <v>https://xhslink.com/m/86XaAolNlPW</v>
      </c>
      <c r="D2426"/>
      <c r="E2426">
        <v>698</v>
      </c>
      <c r="F2426">
        <v>149</v>
      </c>
      <c r="G2426"/>
      <c r="H2426">
        <v>100</v>
      </c>
      <c r="I2426" t="inlineStr">
        <is>
          <t>零食</t>
        </is>
      </c>
      <c r="J2426" t="inlineStr">
        <is>
          <t>0.14</t>
        </is>
      </c>
      <c r="K2426"/>
      <c r="L2426" t="inlineStr">
        <is>
          <t>Devi Dil的店</t>
        </is>
      </c>
      <c r="M2426">
        <v>14000</v>
      </c>
      <c r="N2426">
        <v>4.67</v>
      </c>
      <c r="O2426">
        <v>7989</v>
      </c>
      <c r="P2426" t="inlineStr">
        <is>
          <t>699da435d8116e00013601b6</t>
        </is>
      </c>
      <c r="Q2426"/>
      <c r="R2426" t="inlineStr">
        <is>
          <t>14周</t>
        </is>
      </c>
      <c r="S2426" t="inlineStr">
        <is>
          <t>0.05</t>
        </is>
      </c>
      <c r="T2426" t="inlineStr">
        <is>
          <t>服饰穿搭</t>
        </is>
      </c>
      <c r="U2426" t="inlineStr">
        <is>
          <t>女装</t>
        </is>
      </c>
      <c r="V2426" s="3">
        <v>46112.78107638889</v>
      </c>
      <c r="W2426" t="inlineStr">
        <is>
          <t>2026-Q1</t>
        </is>
      </c>
    </row>
    <row r="2427" ht="25.5" customHeight="1">
      <c r="A2427" t="inlineStr">
        <is>
          <t>VHE · 嫩白水润身体乳烟酰胺清爽不黏腻香味滋润肤男女士官方旗舰店</t>
        </is>
      </c>
      <c r="B2427" t="inlineStr">
        <is>
          <t>recvdRkif4isjD.jpg</t>
        </is>
      </c>
      <c r="C2427" s="2" t="str">
        <f>=HYPERLINK("https://xhslink.com/m/9VtSGPf6zST", "https://xhslink.com/m/9VtSGPf6zST")</f>
        <v>https://xhslink.com/m/9VtSGPf6zST</v>
      </c>
      <c r="D2427"/>
      <c r="E2427">
        <v>65000</v>
      </c>
      <c r="F2427">
        <v>89</v>
      </c>
      <c r="G2427"/>
      <c r="H2427">
        <v>100</v>
      </c>
      <c r="I2427" t="inlineStr">
        <is>
          <t>身体护理</t>
        </is>
      </c>
      <c r="J2427" t="inlineStr">
        <is>
          <t>0.00</t>
        </is>
      </c>
      <c r="K2427"/>
      <c r="L2427" t="inlineStr">
        <is>
          <t>VHE旗舰店</t>
        </is>
      </c>
      <c r="M2427">
        <v>60000</v>
      </c>
      <c r="N2427">
        <v>4.73</v>
      </c>
      <c r="O2427">
        <v>1055000</v>
      </c>
      <c r="P2427" t="inlineStr">
        <is>
          <t>6152b4636434d400017e1d5d</t>
        </is>
      </c>
      <c r="Q2427"/>
      <c r="R2427" t="inlineStr">
        <is>
          <t>14周</t>
        </is>
      </c>
      <c r="S2427" t="inlineStr">
        <is>
          <t>1.08</t>
        </is>
      </c>
      <c r="T2427" t="inlineStr">
        <is>
          <t>美妆个护</t>
        </is>
      </c>
      <c r="U2427" t="inlineStr">
        <is>
          <t>个人护理</t>
        </is>
      </c>
      <c r="V2427" s="3">
        <v>46112.78107638889</v>
      </c>
      <c r="W2427" t="inlineStr">
        <is>
          <t>2026-Q1</t>
        </is>
      </c>
    </row>
    <row r="2428" ht="25.5" customHeight="1">
      <c r="A2428" t="inlineStr">
        <is>
          <t>EHD · 防脱防断健发洗发水蓬松滋润柔顺护发洗发露 官方旗舰店</t>
        </is>
      </c>
      <c r="B2428" t="inlineStr">
        <is>
          <t>recvdRkif4KIU6.jpg</t>
        </is>
      </c>
      <c r="C2428" s="2" t="str">
        <f>=HYPERLINK("https://xhslink.com/m/1YRvj1uz8H8", "https://xhslink.com/m/1YRvj1uz8H8")</f>
        <v>https://xhslink.com/m/1YRvj1uz8H8</v>
      </c>
      <c r="D2428"/>
      <c r="E2428">
        <v>456000</v>
      </c>
      <c r="F2428">
        <v>79.9</v>
      </c>
      <c r="G2428"/>
      <c r="H2428">
        <v>100</v>
      </c>
      <c r="I2428" t="inlineStr">
        <is>
          <t>美发养发</t>
        </is>
      </c>
      <c r="J2428" t="inlineStr">
        <is>
          <t>0.00</t>
        </is>
      </c>
      <c r="K2428"/>
      <c r="L2428" t="inlineStr">
        <is>
          <t>EHD旗舰店</t>
        </is>
      </c>
      <c r="M2428">
        <v>401000</v>
      </c>
      <c r="N2428">
        <v>4.64</v>
      </c>
      <c r="O2428">
        <v>6471000</v>
      </c>
      <c r="P2428" t="inlineStr">
        <is>
          <t>691c34e2603b4e0001b9e3bf</t>
        </is>
      </c>
      <c r="Q2428" t="inlineStr">
        <is>
          <t>🚫重复</t>
        </is>
      </c>
      <c r="R2428" t="inlineStr">
        <is>
          <t>14周</t>
        </is>
      </c>
      <c r="S2428" t="inlineStr">
        <is>
          <t>1.14</t>
        </is>
      </c>
      <c r="T2428" t="inlineStr">
        <is>
          <t>美妆个护</t>
        </is>
      </c>
      <c r="U2428" t="inlineStr">
        <is>
          <t>个人护理</t>
        </is>
      </c>
      <c r="V2428" s="3">
        <v>46112.78107638889</v>
      </c>
      <c r="W2428" t="inlineStr">
        <is>
          <t>2026-Q1</t>
        </is>
      </c>
    </row>
    <row r="2429" ht="25.5" customHeight="1">
      <c r="A2429" t="inlineStr">
        <is>
          <t>圣草泉 · 侧柏叶何首乌生姜植物洗发水去屑止痒控油蓬松护发无月桂醇无硅油</t>
        </is>
      </c>
      <c r="B2429" t="inlineStr">
        <is>
          <t>recvdRkif4T2CL.jpg</t>
        </is>
      </c>
      <c r="C2429" s="2" t="str">
        <f>=HYPERLINK("https://xhslink.com/m/2IT00NosBrz", "https://xhslink.com/m/2IT00NosBrz")</f>
        <v>https://xhslink.com/m/2IT00NosBrz</v>
      </c>
      <c r="D2429"/>
      <c r="E2429">
        <v>59000</v>
      </c>
      <c r="F2429">
        <v>28</v>
      </c>
      <c r="G2429"/>
      <c r="H2429">
        <v>100</v>
      </c>
      <c r="I2429" t="inlineStr">
        <is>
          <t>美发养发</t>
        </is>
      </c>
      <c r="J2429" t="inlineStr">
        <is>
          <t>0.00</t>
        </is>
      </c>
      <c r="K2429"/>
      <c r="L2429" t="inlineStr">
        <is>
          <t>小禾heye的店</t>
        </is>
      </c>
      <c r="M2429">
        <v>43000</v>
      </c>
      <c r="N2429">
        <v>4.61</v>
      </c>
      <c r="O2429">
        <v>610000</v>
      </c>
      <c r="P2429" t="inlineStr">
        <is>
          <t>662bd7651d6fd40001a26ffd</t>
        </is>
      </c>
      <c r="Q2429" t="inlineStr">
        <is>
          <t>🚫重复</t>
        </is>
      </c>
      <c r="R2429" t="inlineStr">
        <is>
          <t>14周</t>
        </is>
      </c>
      <c r="S2429" t="inlineStr">
        <is>
          <t>1.37</t>
        </is>
      </c>
      <c r="T2429" t="inlineStr">
        <is>
          <t>美妆个护</t>
        </is>
      </c>
      <c r="U2429" t="inlineStr">
        <is>
          <t>个人护理</t>
        </is>
      </c>
      <c r="V2429" s="3">
        <v>46112.78107638889</v>
      </c>
      <c r="W2429" t="inlineStr">
        <is>
          <t>2026-Q1</t>
        </is>
      </c>
    </row>
    <row r="2430" ht="25.5" customHeight="1">
      <c r="A2430" t="inlineStr">
        <is>
          <t>SKIN1004 理肤天使 · 【官方授权】韩国skin1004放晒透明质酸水感化学仿晒积雪草物理</t>
        </is>
      </c>
      <c r="B2430" t="inlineStr">
        <is>
          <t>recvdRkif4rxaJ.jpg</t>
        </is>
      </c>
      <c r="C2430" s="2" t="str">
        <f>=HYPERLINK("https://xhslink.com/m/9CzuzOMbM86", "https://xhslink.com/m/9CzuzOMbM86")</f>
        <v>https://xhslink.com/m/9CzuzOMbM86</v>
      </c>
      <c r="D2430"/>
      <c r="E2430">
        <v>8515</v>
      </c>
      <c r="F2430">
        <v>79.32</v>
      </c>
      <c r="G2430">
        <v>69</v>
      </c>
      <c r="H2430">
        <v>100</v>
      </c>
      <c r="I2430" t="inlineStr">
        <is>
          <t>防晒</t>
        </is>
      </c>
      <c r="J2430" t="inlineStr">
        <is>
          <t>0.01</t>
        </is>
      </c>
      <c r="K2430"/>
      <c r="L2430" t="inlineStr">
        <is>
          <t>小王不胖(好价版)的店</t>
        </is>
      </c>
      <c r="M2430">
        <v>70000</v>
      </c>
      <c r="N2430">
        <v>4.7</v>
      </c>
      <c r="O2430">
        <v>234000</v>
      </c>
      <c r="P2430" t="inlineStr">
        <is>
          <t>67776e50d684d700153147bd</t>
        </is>
      </c>
      <c r="Q2430" t="inlineStr">
        <is>
          <t>🚫重复</t>
        </is>
      </c>
      <c r="R2430" t="inlineStr">
        <is>
          <t>14周</t>
        </is>
      </c>
      <c r="S2430" t="inlineStr">
        <is>
          <t>0.12</t>
        </is>
      </c>
      <c r="T2430" t="inlineStr">
        <is>
          <t>美妆个护</t>
        </is>
      </c>
      <c r="U2430" t="inlineStr">
        <is>
          <t>护肤彩妆</t>
        </is>
      </c>
      <c r="V2430" s="3">
        <v>46112.78107638889</v>
      </c>
      <c r="W2430" t="inlineStr">
        <is>
          <t>2026-Q1</t>
        </is>
      </c>
    </row>
    <row r="2431" ht="25.5" customHeight="1">
      <c r="A2431" t="inlineStr">
        <is>
          <t>BABI · 【美白防晒素颜霜】隔离淡斑修颜隐瑕提亮保湿ZB</t>
        </is>
      </c>
      <c r="B2431" t="inlineStr">
        <is>
          <t>recvdRkif4eHhl.jpg</t>
        </is>
      </c>
      <c r="C2431" s="2" t="str">
        <f>=HYPERLINK("https://xhslink.com/m/9XaMgYWtCDN", "https://xhslink.com/m/9XaMgYWtCDN")</f>
        <v>https://xhslink.com/m/9XaMgYWtCDN</v>
      </c>
      <c r="D2431"/>
      <c r="E2431">
        <v>472</v>
      </c>
      <c r="F2431">
        <v>69</v>
      </c>
      <c r="G2431"/>
      <c r="H2431">
        <v>100</v>
      </c>
      <c r="I2431" t="inlineStr">
        <is>
          <t>防晒</t>
        </is>
      </c>
      <c r="J2431" t="inlineStr">
        <is>
          <t>0.21</t>
        </is>
      </c>
      <c r="K2431"/>
      <c r="L2431" t="inlineStr">
        <is>
          <t>BABI旗舰店</t>
        </is>
      </c>
      <c r="M2431">
        <v>31000</v>
      </c>
      <c r="N2431">
        <v>4.64</v>
      </c>
      <c r="O2431">
        <v>246000</v>
      </c>
      <c r="P2431" t="inlineStr">
        <is>
          <t>68fa2d3b427261000139a6d4</t>
        </is>
      </c>
      <c r="Q2431" t="inlineStr">
        <is>
          <t>🚫重复</t>
        </is>
      </c>
      <c r="R2431" t="inlineStr">
        <is>
          <t>14周</t>
        </is>
      </c>
      <c r="S2431" t="inlineStr">
        <is>
          <t>0.02</t>
        </is>
      </c>
      <c r="T2431" t="inlineStr">
        <is>
          <t>美妆个护</t>
        </is>
      </c>
      <c r="U2431" t="inlineStr">
        <is>
          <t>护肤彩妆</t>
        </is>
      </c>
      <c r="V2431" s="3">
        <v>46112.78107638889</v>
      </c>
      <c r="W2431" t="inlineStr">
        <is>
          <t>2026-Q1</t>
        </is>
      </c>
    </row>
    <row r="2432" ht="25.5" customHeight="1">
      <c r="A2432" t="inlineStr">
        <is>
          <t>诗馨语 · 三色遮瑕膏遮盖斑点脸部痘印修饰黑眼圈泪沟提亮滋润遮瑕</t>
        </is>
      </c>
      <c r="B2432" t="inlineStr">
        <is>
          <t>recvdRkif4nPK0.jpg</t>
        </is>
      </c>
      <c r="C2432" s="2" t="str">
        <f>=HYPERLINK("https://xhslink.com/m/HIpXB7Yt6X", "https://xhslink.com/m/HIpXB7Yt6X")</f>
        <v>https://xhslink.com/m/HIpXB7Yt6X</v>
      </c>
      <c r="D2432"/>
      <c r="E2432">
        <v>100000</v>
      </c>
      <c r="F2432">
        <v>79.9</v>
      </c>
      <c r="G2432">
        <v>24.9</v>
      </c>
      <c r="H2432">
        <v>100</v>
      </c>
      <c r="I2432" t="inlineStr">
        <is>
          <t>轮廓底妆</t>
        </is>
      </c>
      <c r="J2432" t="inlineStr">
        <is>
          <t>0.00</t>
        </is>
      </c>
      <c r="K2432" t="inlineStr">
        <is>
          <t>🔥低粉爆款</t>
        </is>
      </c>
      <c r="L2432" t="inlineStr">
        <is>
          <t>ISKINYO诗馨语旗舰店</t>
        </is>
      </c>
      <c r="M2432">
        <v>28000</v>
      </c>
      <c r="N2432">
        <v>4.57</v>
      </c>
      <c r="O2432">
        <v>627000</v>
      </c>
      <c r="P2432" t="inlineStr">
        <is>
          <t>672c6cb28b97a40001f29b4a</t>
        </is>
      </c>
      <c r="Q2432"/>
      <c r="R2432" t="inlineStr">
        <is>
          <t>14周</t>
        </is>
      </c>
      <c r="S2432" t="inlineStr">
        <is>
          <t>3.57</t>
        </is>
      </c>
      <c r="T2432" t="inlineStr">
        <is>
          <t>美妆个护</t>
        </is>
      </c>
      <c r="U2432" t="inlineStr">
        <is>
          <t>护肤彩妆</t>
        </is>
      </c>
      <c r="V2432" s="3">
        <v>46112.78107638889</v>
      </c>
      <c r="W2432" t="inlineStr">
        <is>
          <t>2026-Q1</t>
        </is>
      </c>
    </row>
    <row r="2433" ht="25.5" customHeight="1">
      <c r="A2433" t="inlineStr">
        <is>
          <t>SOCUS 海洋主义 · 素颜霜懒人脸部身体隔离裸妆遮瑕三合一打底素颜霜女官方正品</t>
        </is>
      </c>
      <c r="B2433" t="inlineStr">
        <is>
          <t>recvdRkif4bRxT.jpg</t>
        </is>
      </c>
      <c r="C2433" s="2" t="str">
        <f>=HYPERLINK("https://xhslink.com/m/78AzXVpRNkm", "https://xhslink.com/m/78AzXVpRNkm")</f>
        <v>https://xhslink.com/m/78AzXVpRNkm</v>
      </c>
      <c r="D2433"/>
      <c r="E2433">
        <v>4785</v>
      </c>
      <c r="F2433">
        <v>29.9</v>
      </c>
      <c r="G2433">
        <v>18.8</v>
      </c>
      <c r="H2433">
        <v>100</v>
      </c>
      <c r="I2433" t="inlineStr">
        <is>
          <t>轮廓底妆</t>
        </is>
      </c>
      <c r="J2433" t="inlineStr">
        <is>
          <t>0.02</t>
        </is>
      </c>
      <c r="K2433"/>
      <c r="L2433" t="inlineStr">
        <is>
          <t>SOCUS 海洋主义美护旗舰店</t>
        </is>
      </c>
      <c r="M2433">
        <v>3485</v>
      </c>
      <c r="N2433">
        <v>4.37</v>
      </c>
      <c r="O2433">
        <v>56000</v>
      </c>
      <c r="P2433" t="inlineStr">
        <is>
          <t>68034c614d5fd500010f95c3</t>
        </is>
      </c>
      <c r="Q2433"/>
      <c r="R2433" t="inlineStr">
        <is>
          <t>14周</t>
        </is>
      </c>
      <c r="S2433" t="inlineStr">
        <is>
          <t>1.37</t>
        </is>
      </c>
      <c r="T2433" t="inlineStr">
        <is>
          <t>美妆个护</t>
        </is>
      </c>
      <c r="U2433" t="inlineStr">
        <is>
          <t>护肤彩妆</t>
        </is>
      </c>
      <c r="V2433" s="3">
        <v>46112.78107638889</v>
      </c>
      <c r="W2433" t="inlineStr">
        <is>
          <t>2026-Q1</t>
        </is>
      </c>
    </row>
    <row r="2434" ht="25.5" customHeight="1">
      <c r="A2434" t="inlineStr">
        <is>
          <t>青涩色彩 · 遮瑕膏 买4颗赠送收纳盒·拆封不退不换1，10克</t>
        </is>
      </c>
      <c r="B2434" t="inlineStr">
        <is>
          <t>recvdRkif41rei.jpg</t>
        </is>
      </c>
      <c r="C2434" s="2" t="str">
        <f>=HYPERLINK("https://xhslink.com/m/6XGGSmSSk2k", "https://xhslink.com/m/6XGGSmSSk2k")</f>
        <v>https://xhslink.com/m/6XGGSmSSk2k</v>
      </c>
      <c r="D2434"/>
      <c r="E2434">
        <v>92000</v>
      </c>
      <c r="F2434">
        <v>29</v>
      </c>
      <c r="G2434"/>
      <c r="H2434">
        <v>100</v>
      </c>
      <c r="I2434" t="inlineStr">
        <is>
          <t>轮廓底妆</t>
        </is>
      </c>
      <c r="J2434" t="inlineStr">
        <is>
          <t>0.00</t>
        </is>
      </c>
      <c r="K2434"/>
      <c r="L2434" t="inlineStr">
        <is>
          <t>青涩色彩的店</t>
        </is>
      </c>
      <c r="M2434">
        <v>123000</v>
      </c>
      <c r="N2434">
        <v>4.6</v>
      </c>
      <c r="O2434">
        <v>444000</v>
      </c>
      <c r="P2434" t="inlineStr">
        <is>
          <t>680f005c605b3a00017f734d</t>
        </is>
      </c>
      <c r="Q2434" t="inlineStr">
        <is>
          <t>🚫重复</t>
        </is>
      </c>
      <c r="R2434" t="inlineStr">
        <is>
          <t>14周</t>
        </is>
      </c>
      <c r="S2434" t="inlineStr">
        <is>
          <t>0.75</t>
        </is>
      </c>
      <c r="T2434" t="inlineStr">
        <is>
          <t>美妆个护</t>
        </is>
      </c>
      <c r="U2434" t="inlineStr">
        <is>
          <t>护肤彩妆</t>
        </is>
      </c>
      <c r="V2434" s="3">
        <v>46112.78107638889</v>
      </c>
      <c r="W2434" t="inlineStr">
        <is>
          <t>2026-Q1</t>
        </is>
      </c>
    </row>
    <row r="2435" ht="25.5" customHeight="1">
      <c r="A2435" t="inlineStr">
        <is>
          <t>原色波塔 · 正品 遮瑕盘遮盖眼部黑眼圈斑痘印泪沟遮瑕提亮</t>
        </is>
      </c>
      <c r="B2435" t="inlineStr">
        <is>
          <t>recvdRkif4O3k5.jpg</t>
        </is>
      </c>
      <c r="C2435" s="2" t="str">
        <f>=HYPERLINK("https://xhslink.com/m/6A1Dnd1Pd1p", "https://xhslink.com/m/6A1Dnd1Pd1p")</f>
        <v>https://xhslink.com/m/6A1Dnd1Pd1p</v>
      </c>
      <c r="D2435"/>
      <c r="E2435">
        <v>2394</v>
      </c>
      <c r="F2435">
        <v>121.11</v>
      </c>
      <c r="G2435">
        <v>75</v>
      </c>
      <c r="H2435">
        <v>100</v>
      </c>
      <c r="I2435" t="inlineStr">
        <is>
          <t>轮廓底妆</t>
        </is>
      </c>
      <c r="J2435" t="inlineStr">
        <is>
          <t>0.04</t>
        </is>
      </c>
      <c r="K2435" t="inlineStr">
        <is>
          <t>🔥低粉爆款</t>
        </is>
      </c>
      <c r="L2435" t="inlineStr">
        <is>
          <t>情绪折射的店</t>
        </is>
      </c>
      <c r="M2435">
        <v>125</v>
      </c>
      <c r="N2435">
        <v>4.08</v>
      </c>
      <c r="O2435">
        <v>2673</v>
      </c>
      <c r="P2435" t="inlineStr">
        <is>
          <t>6978e753948abf001520b6ac</t>
        </is>
      </c>
      <c r="Q2435"/>
      <c r="R2435" t="inlineStr">
        <is>
          <t>14周</t>
        </is>
      </c>
      <c r="S2435" t="inlineStr">
        <is>
          <t>19.15</t>
        </is>
      </c>
      <c r="T2435" t="inlineStr">
        <is>
          <t>美妆个护</t>
        </is>
      </c>
      <c r="U2435" t="inlineStr">
        <is>
          <t>护肤彩妆</t>
        </is>
      </c>
      <c r="V2435" s="3">
        <v>46112.78107638889</v>
      </c>
      <c r="W2435" t="inlineStr">
        <is>
          <t>2026-Q1</t>
        </is>
      </c>
    </row>
    <row r="2436" ht="25.5" customHeight="1">
      <c r="A2436" t="inlineStr">
        <is>
          <t>柏瑞美 · 后台保湿定妆喷雾持久控油快速定妆</t>
        </is>
      </c>
      <c r="B2436" t="inlineStr">
        <is>
          <t>recvdRkif4OwS7.jpg</t>
        </is>
      </c>
      <c r="C2436" s="2" t="str">
        <f>=HYPERLINK("https://xhslink.com/m/Aop6lJHWJGc", "https://xhslink.com/m/Aop6lJHWJGc")</f>
        <v>https://xhslink.com/m/Aop6lJHWJGc</v>
      </c>
      <c r="D2436"/>
      <c r="E2436">
        <v>58000</v>
      </c>
      <c r="F2436">
        <v>89.9</v>
      </c>
      <c r="G2436">
        <v>86.9</v>
      </c>
      <c r="H2436">
        <v>100</v>
      </c>
      <c r="I2436" t="inlineStr">
        <is>
          <t>轮廓底妆</t>
        </is>
      </c>
      <c r="J2436" t="inlineStr">
        <is>
          <t>0.00</t>
        </is>
      </c>
      <c r="K2436"/>
      <c r="L2436" t="inlineStr">
        <is>
          <t>PRAMY柏瑞美-定妆种草集专卖店</t>
        </is>
      </c>
      <c r="M2436">
        <v>27000</v>
      </c>
      <c r="N2436">
        <v>4.57</v>
      </c>
      <c r="O2436">
        <v>175000</v>
      </c>
      <c r="P2436" t="inlineStr">
        <is>
          <t>65d6f050728a2d000146f952</t>
        </is>
      </c>
      <c r="Q2436"/>
      <c r="R2436" t="inlineStr">
        <is>
          <t>14周</t>
        </is>
      </c>
      <c r="S2436" t="inlineStr">
        <is>
          <t>2.15</t>
        </is>
      </c>
      <c r="T2436" t="inlineStr">
        <is>
          <t>美妆个护</t>
        </is>
      </c>
      <c r="U2436" t="inlineStr">
        <is>
          <t>护肤彩妆</t>
        </is>
      </c>
      <c r="V2436" s="3">
        <v>46112.78107638889</v>
      </c>
      <c r="W2436" t="inlineStr">
        <is>
          <t>2026-Q1</t>
        </is>
      </c>
    </row>
    <row r="2437" ht="25.5" customHeight="1">
      <c r="A2437" t="inlineStr">
        <is>
          <t>NETST · 透白弹润身体乳腋下脖子关节黑粗糙果酸水杨酸身体关节通用</t>
        </is>
      </c>
      <c r="B2437" t="inlineStr">
        <is>
          <t>recvdRkif4kN68.jpg</t>
        </is>
      </c>
      <c r="C2437" s="2" t="str">
        <f>=HYPERLINK("https://xhslink.com/m/21KYG8cEBBp", "https://xhslink.com/m/21KYG8cEBBp")</f>
        <v>https://xhslink.com/m/21KYG8cEBBp</v>
      </c>
      <c r="D2437"/>
      <c r="E2437">
        <v>21000</v>
      </c>
      <c r="F2437">
        <v>64.8</v>
      </c>
      <c r="G2437">
        <v>39.8</v>
      </c>
      <c r="H2437">
        <v>100</v>
      </c>
      <c r="I2437" t="inlineStr">
        <is>
          <t>身体护理</t>
        </is>
      </c>
      <c r="J2437" t="inlineStr">
        <is>
          <t>0.00</t>
        </is>
      </c>
      <c r="K2437" t="inlineStr">
        <is>
          <t>🔥低粉爆款</t>
        </is>
      </c>
      <c r="L2437" t="inlineStr">
        <is>
          <t>她姐姐的店</t>
        </is>
      </c>
      <c r="M2437">
        <v>1191</v>
      </c>
      <c r="N2437">
        <v>4.44</v>
      </c>
      <c r="O2437">
        <v>45000</v>
      </c>
      <c r="P2437" t="inlineStr">
        <is>
          <t>685d6b5ff89aa500015348f4</t>
        </is>
      </c>
      <c r="Q2437"/>
      <c r="R2437" t="inlineStr">
        <is>
          <t>14周</t>
        </is>
      </c>
      <c r="S2437" t="inlineStr">
        <is>
          <t>17.63</t>
        </is>
      </c>
      <c r="T2437" t="inlineStr">
        <is>
          <t>美妆个护</t>
        </is>
      </c>
      <c r="U2437" t="inlineStr">
        <is>
          <t>个人护理</t>
        </is>
      </c>
      <c r="V2437" s="3">
        <v>46112.78107638889</v>
      </c>
      <c r="W2437" t="inlineStr">
        <is>
          <t>2026-Q1</t>
        </is>
      </c>
    </row>
    <row r="2438" ht="25.5" customHeight="1">
      <c r="A2438" t="inlineStr">
        <is>
          <t>ROOTH · 【spa级护理】特调乌木玫瑰磨砂膏！清洁保湿二合一！小众宝藏！</t>
        </is>
      </c>
      <c r="B2438" t="inlineStr">
        <is>
          <t>recvdRkif4f5dd.jpg</t>
        </is>
      </c>
      <c r="C2438" s="2" t="str">
        <f>=HYPERLINK("https://xhslink.com/m/9MHsPgc9SHK", "https://xhslink.com/m/9MHsPgc9SHK")</f>
        <v>https://xhslink.com/m/9MHsPgc9SHK</v>
      </c>
      <c r="D2438"/>
      <c r="E2438">
        <v>6198</v>
      </c>
      <c r="F2438">
        <v>59</v>
      </c>
      <c r="G2438">
        <v>29.9</v>
      </c>
      <c r="H2438">
        <v>100</v>
      </c>
      <c r="I2438" t="inlineStr">
        <is>
          <t>身体护理</t>
        </is>
      </c>
      <c r="J2438" t="inlineStr">
        <is>
          <t>0.02</t>
        </is>
      </c>
      <c r="K2438"/>
      <c r="L2438" t="inlineStr">
        <is>
          <t>一杯冰可乐（挖宝版）的店</t>
        </is>
      </c>
      <c r="M2438">
        <v>47000</v>
      </c>
      <c r="N2438">
        <v>4.38</v>
      </c>
      <c r="O2438">
        <v>182000</v>
      </c>
      <c r="P2438" t="inlineStr">
        <is>
          <t>6870fad7071cdc00016e097e</t>
        </is>
      </c>
      <c r="Q2438"/>
      <c r="R2438" t="inlineStr">
        <is>
          <t>14周</t>
        </is>
      </c>
      <c r="S2438" t="inlineStr">
        <is>
          <t>0.13</t>
        </is>
      </c>
      <c r="T2438" t="inlineStr">
        <is>
          <t>家居生活</t>
        </is>
      </c>
      <c r="U2438" t="inlineStr">
        <is>
          <t>家居日用</t>
        </is>
      </c>
      <c r="V2438" s="3">
        <v>46112.78107638889</v>
      </c>
      <c r="W2438" t="inlineStr">
        <is>
          <t>2026-Q1</t>
        </is>
      </c>
    </row>
    <row r="2439" ht="25.5" customHeight="1">
      <c r="A2439" t="inlineStr">
        <is>
          <t>lessgo · 笑脸鼻吸提神醒脑学生上课考研开车熬夜防瞌睡</t>
        </is>
      </c>
      <c r="B2439" t="inlineStr">
        <is>
          <t>recvdRkif4h9bk.jpg</t>
        </is>
      </c>
      <c r="C2439" s="2" t="str">
        <f>=HYPERLINK("https://xhslink.com/m/b480mh7cCW", "https://xhslink.com/m/b480mh7cCW")</f>
        <v>https://xhslink.com/m/b480mh7cCW</v>
      </c>
      <c r="D2439"/>
      <c r="E2439">
        <v>55000</v>
      </c>
      <c r="F2439">
        <v>14.9</v>
      </c>
      <c r="G2439">
        <v>9.9</v>
      </c>
      <c r="H2439">
        <v>100</v>
      </c>
      <c r="I2439" t="inlineStr">
        <is>
          <t>身体护理</t>
        </is>
      </c>
      <c r="J2439" t="inlineStr">
        <is>
          <t>0.00</t>
        </is>
      </c>
      <c r="K2439" t="inlineStr">
        <is>
          <t>🔥低粉爆款</t>
        </is>
      </c>
      <c r="L2439" t="inlineStr">
        <is>
          <t>lessgo利事多旗舰店</t>
        </is>
      </c>
      <c r="M2439">
        <v>13000</v>
      </c>
      <c r="N2439">
        <v>4.5</v>
      </c>
      <c r="O2439">
        <v>182000</v>
      </c>
      <c r="P2439" t="inlineStr">
        <is>
          <t>672227d4c91a8d0001003f23</t>
        </is>
      </c>
      <c r="Q2439" t="inlineStr">
        <is>
          <t>🚫重复</t>
        </is>
      </c>
      <c r="R2439" t="inlineStr">
        <is>
          <t>14周</t>
        </is>
      </c>
      <c r="S2439" t="inlineStr">
        <is>
          <t>4.23</t>
        </is>
      </c>
      <c r="T2439" t="inlineStr">
        <is>
          <t>美妆个护</t>
        </is>
      </c>
      <c r="U2439" t="inlineStr">
        <is>
          <t>个人护理</t>
        </is>
      </c>
      <c r="V2439" s="3">
        <v>46112.78107638889</v>
      </c>
      <c r="W2439" t="inlineStr">
        <is>
          <t>2026-Q1</t>
        </is>
      </c>
    </row>
    <row r="2440" ht="25.5" customHeight="1">
      <c r="A2440" t="inlineStr">
        <is>
          <t>BOH · 小猴子推荐泛酰醇积雪草面霜喷雾修复舒缓镇静补水120ml妆前</t>
        </is>
      </c>
      <c r="B2440" t="inlineStr">
        <is>
          <t>recvdRkif4sTSu.jpg</t>
        </is>
      </c>
      <c r="C2440" s="2" t="str">
        <f>=HYPERLINK("https://xhslink.com/m/3Gl0dH0rZx3", "https://xhslink.com/m/3Gl0dH0rZx3")</f>
        <v>https://xhslink.com/m/3Gl0dH0rZx3</v>
      </c>
      <c r="D2440"/>
      <c r="E2440">
        <v>29000</v>
      </c>
      <c r="F2440">
        <v>26.8</v>
      </c>
      <c r="G2440"/>
      <c r="H2440">
        <v>100</v>
      </c>
      <c r="I2440" t="inlineStr">
        <is>
          <t>身体护理</t>
        </is>
      </c>
      <c r="J2440" t="inlineStr">
        <is>
          <t>0.00</t>
        </is>
      </c>
      <c r="K2440"/>
      <c r="L2440" t="inlineStr">
        <is>
          <t>小王不胖(好价版)的店</t>
        </is>
      </c>
      <c r="M2440">
        <v>70000</v>
      </c>
      <c r="N2440">
        <v>4.7</v>
      </c>
      <c r="O2440">
        <v>234000</v>
      </c>
      <c r="P2440" t="inlineStr">
        <is>
          <t>68f4c90cc67e470001206e68</t>
        </is>
      </c>
      <c r="Q2440" t="inlineStr">
        <is>
          <t>🚫重复</t>
        </is>
      </c>
      <c r="R2440" t="inlineStr">
        <is>
          <t>14周</t>
        </is>
      </c>
      <c r="S2440" t="inlineStr">
        <is>
          <t>0.41</t>
        </is>
      </c>
      <c r="T2440" t="inlineStr">
        <is>
          <t>美妆个护</t>
        </is>
      </c>
      <c r="U2440" t="inlineStr">
        <is>
          <t>护肤彩妆</t>
        </is>
      </c>
      <c r="V2440" s="3">
        <v>46112.78107638889</v>
      </c>
      <c r="W2440" t="inlineStr">
        <is>
          <t>2026-Q1</t>
        </is>
      </c>
    </row>
    <row r="2441" ht="25.5" customHeight="1">
      <c r="A2441" t="inlineStr">
        <is>
          <t>岑艾堂 · 【限时特惠】日本京都药业背粒消喷雾前胸痘后背痘红疙</t>
        </is>
      </c>
      <c r="B2441" t="inlineStr">
        <is>
          <t>recvdRkif4sX8f.jpg</t>
        </is>
      </c>
      <c r="C2441" s="2" t="str">
        <f>=HYPERLINK("https://xhslink.com/m/4A2OrX9oCSp", "https://xhslink.com/m/4A2OrX9oCSp")</f>
        <v>https://xhslink.com/m/4A2OrX9oCSp</v>
      </c>
      <c r="D2441"/>
      <c r="E2441">
        <v>20000</v>
      </c>
      <c r="F2441">
        <v>59.9</v>
      </c>
      <c r="G2441">
        <v>39.9</v>
      </c>
      <c r="H2441">
        <v>100</v>
      </c>
      <c r="I2441" t="inlineStr">
        <is>
          <t>身体护理</t>
        </is>
      </c>
      <c r="J2441" t="inlineStr">
        <is>
          <t>0.01</t>
        </is>
      </c>
      <c r="K2441" t="inlineStr">
        <is>
          <t>🔥低粉爆款</t>
        </is>
      </c>
      <c r="L2441" t="inlineStr">
        <is>
          <t>妮妮baby严选好物的店</t>
        </is>
      </c>
      <c r="M2441">
        <v>44</v>
      </c>
      <c r="N2441">
        <v>4.68</v>
      </c>
      <c r="O2441">
        <v>20000</v>
      </c>
      <c r="P2441" t="inlineStr">
        <is>
          <t>67d3de9f52646c0015259ea3</t>
        </is>
      </c>
      <c r="Q2441" t="inlineStr">
        <is>
          <t>🚫重复</t>
        </is>
      </c>
      <c r="R2441" t="inlineStr">
        <is>
          <t>14周</t>
        </is>
      </c>
      <c r="S2441" t="inlineStr">
        <is>
          <t>454.55</t>
        </is>
      </c>
      <c r="T2441" t="inlineStr">
        <is>
          <t>美妆个护</t>
        </is>
      </c>
      <c r="U2441" t="inlineStr">
        <is>
          <t>个人护理</t>
        </is>
      </c>
      <c r="V2441" s="3">
        <v>46112.78107638889</v>
      </c>
      <c r="W2441" t="inlineStr">
        <is>
          <t>2026-Q1</t>
        </is>
      </c>
    </row>
    <row r="2442" ht="25.5" customHeight="1">
      <c r="A2442" t="inlineStr">
        <is>
          <t>臻羞 · 水杨酸果酸磨砂膏377美白身体乳收缩毛孔改善粗糙干燥精华液</t>
        </is>
      </c>
      <c r="B2442" t="inlineStr">
        <is>
          <t>recvdRkif4TSpW.jpg</t>
        </is>
      </c>
      <c r="C2442" s="2" t="str">
        <f>=HYPERLINK("https://xhslink.com/m/7Fb6HNXlk9P", "https://xhslink.com/m/7Fb6HNXlk9P")</f>
        <v>https://xhslink.com/m/7Fb6HNXlk9P</v>
      </c>
      <c r="D2442"/>
      <c r="E2442">
        <v>13000</v>
      </c>
      <c r="F2442">
        <v>46.9</v>
      </c>
      <c r="G2442">
        <v>26.9</v>
      </c>
      <c r="H2442">
        <v>100</v>
      </c>
      <c r="I2442" t="inlineStr">
        <is>
          <t>身体护理</t>
        </is>
      </c>
      <c r="J2442" t="inlineStr">
        <is>
          <t>0.01</t>
        </is>
      </c>
      <c r="K2442" t="inlineStr">
        <is>
          <t>🔥低粉爆款</t>
        </is>
      </c>
      <c r="L2442" t="inlineStr">
        <is>
          <t>苏li白白美护的店</t>
        </is>
      </c>
      <c r="M2442">
        <v>620</v>
      </c>
      <c r="N2442">
        <v>4.63</v>
      </c>
      <c r="O2442">
        <v>14000</v>
      </c>
      <c r="P2442" t="inlineStr">
        <is>
          <t>685ab6447e7bf00001b0eb3b</t>
        </is>
      </c>
      <c r="Q2442" t="inlineStr">
        <is>
          <t>🚫重复</t>
        </is>
      </c>
      <c r="R2442" t="inlineStr">
        <is>
          <t>14周</t>
        </is>
      </c>
      <c r="S2442" t="inlineStr">
        <is>
          <t>20.97</t>
        </is>
      </c>
      <c r="T2442" t="inlineStr">
        <is>
          <t>美妆个护</t>
        </is>
      </c>
      <c r="U2442" t="inlineStr">
        <is>
          <t>护肤彩妆</t>
        </is>
      </c>
      <c r="V2442" s="3">
        <v>46112.78107638889</v>
      </c>
      <c r="W2442" t="inlineStr">
        <is>
          <t>2026-Q1</t>
        </is>
      </c>
    </row>
    <row r="2443" ht="25.5" customHeight="1">
      <c r="A2443" t="inlineStr">
        <is>
          <t>UOSO · uoso舒柔净肤脱毛膏脱腋毛腿毛温和干净不留黑男女士学生脱毛神器</t>
        </is>
      </c>
      <c r="B2443" t="inlineStr">
        <is>
          <t>recvdRkif4DgyB.jpg</t>
        </is>
      </c>
      <c r="C2443" s="2" t="str">
        <f>=HYPERLINK("https://xhslink.com/m/5TTD9FgKJZL", "https://xhslink.com/m/5TTD9FgKJZL")</f>
        <v>https://xhslink.com/m/5TTD9FgKJZL</v>
      </c>
      <c r="D2443"/>
      <c r="E2443">
        <v>77000</v>
      </c>
      <c r="F2443">
        <v>99</v>
      </c>
      <c r="G2443"/>
      <c r="H2443">
        <v>100</v>
      </c>
      <c r="I2443" t="inlineStr">
        <is>
          <t>身体护理</t>
        </is>
      </c>
      <c r="J2443" t="inlineStr">
        <is>
          <t>0.00</t>
        </is>
      </c>
      <c r="K2443" t="inlineStr">
        <is>
          <t>🔥低粉爆款</t>
        </is>
      </c>
      <c r="L2443" t="inlineStr">
        <is>
          <t>UOSO旗舰店</t>
        </is>
      </c>
      <c r="M2443">
        <v>12000</v>
      </c>
      <c r="N2443">
        <v>4.44</v>
      </c>
      <c r="O2443">
        <v>206000</v>
      </c>
      <c r="P2443" t="inlineStr">
        <is>
          <t>621d7c533d7c4e000120c0f9</t>
        </is>
      </c>
      <c r="Q2443" t="inlineStr">
        <is>
          <t>🚫重复</t>
        </is>
      </c>
      <c r="R2443" t="inlineStr">
        <is>
          <t>14周</t>
        </is>
      </c>
      <c r="S2443" t="inlineStr">
        <is>
          <t>6.42</t>
        </is>
      </c>
      <c r="T2443" t="inlineStr">
        <is>
          <t>美妆个护</t>
        </is>
      </c>
      <c r="U2443" t="inlineStr">
        <is>
          <t>个人护理</t>
        </is>
      </c>
      <c r="V2443" s="3">
        <v>46112.78107638889</v>
      </c>
      <c r="W2443" t="inlineStr">
        <is>
          <t>2026-Q1</t>
        </is>
      </c>
    </row>
    <row r="2444" ht="25.5" customHeight="1">
      <c r="A2444" t="inlineStr">
        <is>
          <t>lessgo · 笑脸鼻吸提神醒脑学生上课考研开车熬夜防瞌睡</t>
        </is>
      </c>
      <c r="B2444" t="inlineStr">
        <is>
          <t>recvdRkif43RqG.jpg</t>
        </is>
      </c>
      <c r="C2444" s="2" t="str">
        <f>=HYPERLINK("https://xhslink.com/m/2avV6Nt8xCz", "https://xhslink.com/m/2avV6Nt8xCz")</f>
        <v>https://xhslink.com/m/2avV6Nt8xCz</v>
      </c>
      <c r="D2444"/>
      <c r="E2444">
        <v>55000</v>
      </c>
      <c r="F2444">
        <v>14.9</v>
      </c>
      <c r="G2444">
        <v>9.9</v>
      </c>
      <c r="H2444">
        <v>100</v>
      </c>
      <c r="I2444" t="inlineStr">
        <is>
          <t>身体护理</t>
        </is>
      </c>
      <c r="J2444" t="inlineStr">
        <is>
          <t>0.00</t>
        </is>
      </c>
      <c r="K2444" t="inlineStr">
        <is>
          <t>🔥低粉爆款</t>
        </is>
      </c>
      <c r="L2444" t="inlineStr">
        <is>
          <t>lessgo利事多旗舰店</t>
        </is>
      </c>
      <c r="M2444">
        <v>13000</v>
      </c>
      <c r="N2444">
        <v>4.5</v>
      </c>
      <c r="O2444">
        <v>182000</v>
      </c>
      <c r="P2444" t="inlineStr">
        <is>
          <t>672227d4c91a8d0001003f26</t>
        </is>
      </c>
      <c r="Q2444" t="inlineStr">
        <is>
          <t>🚫重复</t>
        </is>
      </c>
      <c r="R2444" t="inlineStr">
        <is>
          <t>14周</t>
        </is>
      </c>
      <c r="S2444" t="inlineStr">
        <is>
          <t>4.23</t>
        </is>
      </c>
      <c r="T2444" t="inlineStr">
        <is>
          <t>美妆个护</t>
        </is>
      </c>
      <c r="U2444" t="inlineStr">
        <is>
          <t>个人护理</t>
        </is>
      </c>
      <c r="V2444" s="3">
        <v>46112.78107638889</v>
      </c>
      <c r="W2444" t="inlineStr">
        <is>
          <t>2026-Q1</t>
        </is>
      </c>
    </row>
    <row r="2445" ht="25.5" customHeight="1">
      <c r="A2445" t="inlineStr">
        <is>
          <t>葵花 · 祛疤膏儿童用小孩修复摔伤擦伤去疤手术脸部伤口烫伤强效疤痕SY</t>
        </is>
      </c>
      <c r="B2445" t="inlineStr">
        <is>
          <t>recvdRkif4TxV5.jpg</t>
        </is>
      </c>
      <c r="C2445" s="2" t="str">
        <f>=HYPERLINK("https://xhslink.com/m/2azVJHMpvf9", "https://xhslink.com/m/2azVJHMpvf9")</f>
        <v>https://xhslink.com/m/2azVJHMpvf9</v>
      </c>
      <c r="D2445"/>
      <c r="E2445">
        <v>22000</v>
      </c>
      <c r="F2445">
        <v>89.9</v>
      </c>
      <c r="G2445"/>
      <c r="H2445">
        <v>100</v>
      </c>
      <c r="I2445" t="inlineStr">
        <is>
          <t>身体护理</t>
        </is>
      </c>
      <c r="J2445" t="inlineStr">
        <is>
          <t>0.00</t>
        </is>
      </c>
      <c r="K2445" t="inlineStr">
        <is>
          <t>🔥低粉爆款</t>
        </is>
      </c>
      <c r="L2445" t="inlineStr">
        <is>
          <t>伊贝护箢悭专卖店</t>
        </is>
      </c>
      <c r="M2445">
        <v>283</v>
      </c>
      <c r="N2445">
        <v>4.65</v>
      </c>
      <c r="O2445">
        <v>43000</v>
      </c>
      <c r="P2445" t="inlineStr">
        <is>
          <t>6878c36679bc470001ba055d</t>
        </is>
      </c>
      <c r="Q2445"/>
      <c r="R2445" t="inlineStr">
        <is>
          <t>14周</t>
        </is>
      </c>
      <c r="S2445" t="inlineStr">
        <is>
          <t>77.74</t>
        </is>
      </c>
      <c r="T2445" t="inlineStr">
        <is>
          <t>美妆个护</t>
        </is>
      </c>
      <c r="U2445" t="inlineStr">
        <is>
          <t>个人护理</t>
        </is>
      </c>
      <c r="V2445" s="3">
        <v>46112.78107638889</v>
      </c>
      <c r="W2445" t="inlineStr">
        <is>
          <t>2026-Q1</t>
        </is>
      </c>
    </row>
    <row r="2446" ht="25.5" customHeight="1">
      <c r="A2446" t="inlineStr">
        <is>
          <t>臻羞 · 水杨酸果酸磨砂膏377美白身体乳收缩毛孔改善粗糙干燥精华液</t>
        </is>
      </c>
      <c r="B2446" t="inlineStr">
        <is>
          <t>recvdRkif4aoom.jpg</t>
        </is>
      </c>
      <c r="C2446" s="2" t="str">
        <f>=HYPERLINK("https://xhslink.com/m/3IFH4W3rUEl", "https://xhslink.com/m/3IFH4W3rUEl")</f>
        <v>https://xhslink.com/m/3IFH4W3rUEl</v>
      </c>
      <c r="D2446"/>
      <c r="E2446">
        <v>13000</v>
      </c>
      <c r="F2446">
        <v>49.9</v>
      </c>
      <c r="G2446">
        <v>29.9</v>
      </c>
      <c r="H2446">
        <v>100</v>
      </c>
      <c r="I2446" t="inlineStr">
        <is>
          <t>身体护理</t>
        </is>
      </c>
      <c r="J2446" t="inlineStr">
        <is>
          <t>0.01</t>
        </is>
      </c>
      <c r="K2446" t="inlineStr">
        <is>
          <t>🔥低粉爆款</t>
        </is>
      </c>
      <c r="L2446" t="inlineStr">
        <is>
          <t>苏li白白美护的店</t>
        </is>
      </c>
      <c r="M2446">
        <v>620</v>
      </c>
      <c r="N2446">
        <v>4.63</v>
      </c>
      <c r="O2446">
        <v>14000</v>
      </c>
      <c r="P2446" t="inlineStr">
        <is>
          <t>685ab6447e7bf00001b0eb53</t>
        </is>
      </c>
      <c r="Q2446" t="inlineStr">
        <is>
          <t>🚫重复</t>
        </is>
      </c>
      <c r="R2446" t="inlineStr">
        <is>
          <t>14周</t>
        </is>
      </c>
      <c r="S2446" t="inlineStr">
        <is>
          <t>20.97</t>
        </is>
      </c>
      <c r="T2446" t="inlineStr">
        <is>
          <t>美妆个护</t>
        </is>
      </c>
      <c r="U2446" t="inlineStr">
        <is>
          <t>护肤彩妆</t>
        </is>
      </c>
      <c r="V2446" s="3">
        <v>46112.78107638889</v>
      </c>
      <c r="W2446" t="inlineStr">
        <is>
          <t>2026-Q1</t>
        </is>
      </c>
    </row>
    <row r="2447" ht="25.5" customHeight="1">
      <c r="A2447" t="inlineStr">
        <is>
          <t>素秀臣氏 · · 美白祛斑霜烟酰胺肤颜研美白祛斑雀淡斑霜保湿锁水嫩肤护</t>
        </is>
      </c>
      <c r="B2447" t="inlineStr">
        <is>
          <t>recvdRkif4OSQq.jpg</t>
        </is>
      </c>
      <c r="C2447" s="2" t="str">
        <f>=HYPERLINK("https://xhslink.com/m/4e5z7uTZiVn", "https://xhslink.com/m/4e5z7uTZiVn")</f>
        <v>https://xhslink.com/m/4e5z7uTZiVn</v>
      </c>
      <c r="D2447"/>
      <c r="E2447">
        <v>51000</v>
      </c>
      <c r="F2447">
        <v>65.8</v>
      </c>
      <c r="G2447">
        <v>35.8</v>
      </c>
      <c r="H2447">
        <v>100</v>
      </c>
      <c r="I2447" t="inlineStr">
        <is>
          <t>美白</t>
        </is>
      </c>
      <c r="J2447" t="inlineStr">
        <is>
          <t>0.00</t>
        </is>
      </c>
      <c r="K2447" t="inlineStr">
        <is>
          <t>🔥低粉爆款</t>
        </is>
      </c>
      <c r="L2447" t="inlineStr">
        <is>
          <t>暖暖美妆屋的店</t>
        </is>
      </c>
      <c r="M2447">
        <v>4495</v>
      </c>
      <c r="N2447">
        <v>4.61</v>
      </c>
      <c r="O2447">
        <v>68000</v>
      </c>
      <c r="P2447" t="inlineStr">
        <is>
          <t>66bca21760660100011a747b</t>
        </is>
      </c>
      <c r="Q2447"/>
      <c r="R2447" t="inlineStr">
        <is>
          <t>14周</t>
        </is>
      </c>
      <c r="S2447" t="inlineStr">
        <is>
          <t>11.35</t>
        </is>
      </c>
      <c r="T2447" t="inlineStr">
        <is>
          <t>美妆个护</t>
        </is>
      </c>
      <c r="U2447" t="inlineStr">
        <is>
          <t>护肤彩妆</t>
        </is>
      </c>
      <c r="V2447" s="3">
        <v>46112.78107638889</v>
      </c>
      <c r="W2447" t="inlineStr">
        <is>
          <t>2026-Q1</t>
        </is>
      </c>
    </row>
    <row r="2448" ht="25.5" customHeight="1">
      <c r="A2448" t="inlineStr">
        <is>
          <t>臻羞 · 水杨酸果酸磨砂膏377美白身体乳收缩毛孔改善粗糙干燥精华液</t>
        </is>
      </c>
      <c r="B2448" t="inlineStr">
        <is>
          <t>recvdRkif4cG2i.jpg</t>
        </is>
      </c>
      <c r="C2448" s="2" t="str">
        <f>=HYPERLINK("https://xhslink.com/m/7M96BCAlGR3", "https://xhslink.com/m/7M96BCAlGR3")</f>
        <v>https://xhslink.com/m/7M96BCAlGR3</v>
      </c>
      <c r="D2448"/>
      <c r="E2448">
        <v>13000</v>
      </c>
      <c r="F2448">
        <v>56.9</v>
      </c>
      <c r="G2448">
        <v>36.9</v>
      </c>
      <c r="H2448">
        <v>100</v>
      </c>
      <c r="I2448" t="inlineStr">
        <is>
          <t>美白</t>
        </is>
      </c>
      <c r="J2448" t="inlineStr">
        <is>
          <t>0.01</t>
        </is>
      </c>
      <c r="K2448" t="inlineStr">
        <is>
          <t>🔥低粉爆款</t>
        </is>
      </c>
      <c r="L2448" t="inlineStr">
        <is>
          <t>苏li白白美护的店</t>
        </is>
      </c>
      <c r="M2448">
        <v>620</v>
      </c>
      <c r="N2448">
        <v>4.63</v>
      </c>
      <c r="O2448">
        <v>14000</v>
      </c>
      <c r="P2448" t="inlineStr">
        <is>
          <t>685ab6447e7bf00001b0eb38</t>
        </is>
      </c>
      <c r="Q2448" t="inlineStr">
        <is>
          <t>🚫重复</t>
        </is>
      </c>
      <c r="R2448" t="inlineStr">
        <is>
          <t>14周</t>
        </is>
      </c>
      <c r="S2448" t="inlineStr">
        <is>
          <t>20.97</t>
        </is>
      </c>
      <c r="T2448" t="inlineStr">
        <is>
          <t>美妆个护</t>
        </is>
      </c>
      <c r="U2448" t="inlineStr">
        <is>
          <t>护肤彩妆</t>
        </is>
      </c>
      <c r="V2448" s="3">
        <v>46112.78107638889</v>
      </c>
      <c r="W2448" t="inlineStr">
        <is>
          <t>2026-Q1</t>
        </is>
      </c>
    </row>
    <row r="2449" ht="25.5" customHeight="1">
      <c r="A2449" t="inlineStr">
        <is>
          <t>NETST · 护手霜推荐秋冬干燥粗糙开裂平价弹润淡纹护手霜美白去手纹男女</t>
        </is>
      </c>
      <c r="B2449" t="inlineStr">
        <is>
          <t>recvdRkif4ViHq.jpg</t>
        </is>
      </c>
      <c r="C2449" s="2" t="str">
        <f>=HYPERLINK("https://xhslink.com/m/9Wfu6gnqMSy", "https://xhslink.com/m/9Wfu6gnqMSy")</f>
        <v>https://xhslink.com/m/9Wfu6gnqMSy</v>
      </c>
      <c r="D2449"/>
      <c r="E2449">
        <v>20000</v>
      </c>
      <c r="F2449">
        <v>54.9</v>
      </c>
      <c r="G2449">
        <v>39.9</v>
      </c>
      <c r="H2449">
        <v>100</v>
      </c>
      <c r="I2449" t="inlineStr">
        <is>
          <t>美白</t>
        </is>
      </c>
      <c r="J2449" t="inlineStr">
        <is>
          <t>0.01</t>
        </is>
      </c>
      <c r="K2449" t="inlineStr">
        <is>
          <t>🔥低粉爆款</t>
        </is>
      </c>
      <c r="L2449" t="inlineStr">
        <is>
          <t>花花小钱办大事的店</t>
        </is>
      </c>
      <c r="M2449">
        <v>1924</v>
      </c>
      <c r="N2449">
        <v>4.65</v>
      </c>
      <c r="O2449">
        <v>38000</v>
      </c>
      <c r="P2449" t="inlineStr">
        <is>
          <t>67b859cb7198db0001088d58</t>
        </is>
      </c>
      <c r="Q2449"/>
      <c r="R2449" t="inlineStr">
        <is>
          <t>14周</t>
        </is>
      </c>
      <c r="S2449" t="inlineStr">
        <is>
          <t>10.40</t>
        </is>
      </c>
      <c r="T2449" t="inlineStr">
        <is>
          <t>美妆个护</t>
        </is>
      </c>
      <c r="U2449" t="inlineStr">
        <is>
          <t>个人护理</t>
        </is>
      </c>
      <c r="V2449" s="3">
        <v>46112.78107638889</v>
      </c>
      <c r="W2449" t="inlineStr">
        <is>
          <t>2026-Q1</t>
        </is>
      </c>
    </row>
    <row r="2450" ht="25.5" customHeight="1">
      <c r="A2450" t="inlineStr">
        <is>
          <t>山东玉女黄瓜水果小黄瓜拇指黄瓜生吃青瓜现摘现发代餐生吃</t>
        </is>
      </c>
      <c r="B2450" t="inlineStr">
        <is>
          <t>recvdUhmdaABfA.jpg</t>
        </is>
      </c>
      <c r="C2450" s="2" t="str">
        <f>=HYPERLINK("https://xhslink.com/m/9tqE1TwOaPo", "https://xhslink.com/m/9tqE1TwOaPo")</f>
        <v>https://xhslink.com/m/9tqE1TwOaPo</v>
      </c>
      <c r="D2450"/>
      <c r="E2450">
        <v>36000</v>
      </c>
      <c r="F2450">
        <v>23.6</v>
      </c>
      <c r="G2450">
        <v>10.8</v>
      </c>
      <c r="H2450">
        <v>100</v>
      </c>
      <c r="I2450" t="inlineStr">
        <is>
          <t>夏季水果</t>
        </is>
      </c>
      <c r="J2450" t="inlineStr">
        <is>
          <t>0.00</t>
        </is>
      </c>
      <c r="K2450" t="inlineStr">
        <is>
          <t>🔥低粉爆款</t>
        </is>
      </c>
      <c r="L2450" t="inlineStr">
        <is>
          <t>不止鲜果💕的店</t>
        </is>
      </c>
      <c r="M2450">
        <v>1854</v>
      </c>
      <c r="N2450">
        <v>4.57</v>
      </c>
      <c r="O2450">
        <v>41000</v>
      </c>
      <c r="P2450" t="inlineStr">
        <is>
          <t>67b1823a6dd9a6001589354e</t>
        </is>
      </c>
      <c r="Q2450"/>
      <c r="R2450" t="inlineStr">
        <is>
          <t>14周</t>
        </is>
      </c>
      <c r="S2450" t="inlineStr">
        <is>
          <t>19.42</t>
        </is>
      </c>
      <c r="T2450" t="inlineStr">
        <is>
          <t>美食滋补</t>
        </is>
      </c>
      <c r="U2450" t="inlineStr">
        <is>
          <t>休闲零食</t>
        </is>
      </c>
      <c r="V2450" s="3">
        <v>46112.78107638889</v>
      </c>
      <c r="W2450" t="inlineStr">
        <is>
          <t>2026-Q1</t>
        </is>
      </c>
    </row>
    <row r="2451" ht="25.5" customHeight="1">
      <c r="A2451" t="inlineStr">
        <is>
          <t>DDD攀枝花多彩小番茄/玲珑小番茄/皇冠水果小番茄酸甜爆汁</t>
        </is>
      </c>
      <c r="B2451" t="inlineStr">
        <is>
          <t>recvdUhmdaFl0N.jpg</t>
        </is>
      </c>
      <c r="C2451" s="2" t="str">
        <f>=HYPERLINK("https://xhslink.com/m/7LUnfvSBsAX", "https://xhslink.com/m/7LUnfvSBsAX")</f>
        <v>https://xhslink.com/m/7LUnfvSBsAX</v>
      </c>
      <c r="D2451"/>
      <c r="E2451">
        <v>134000</v>
      </c>
      <c r="F2451">
        <v>29.9</v>
      </c>
      <c r="G2451"/>
      <c r="H2451">
        <v>100</v>
      </c>
      <c r="I2451" t="inlineStr">
        <is>
          <t>夏季水果</t>
        </is>
      </c>
      <c r="J2451" t="inlineStr">
        <is>
          <t>0.00</t>
        </is>
      </c>
      <c r="K2451"/>
      <c r="L2451" t="inlineStr">
        <is>
          <t>李丹丹DDD的店</t>
        </is>
      </c>
      <c r="M2451">
        <v>76000</v>
      </c>
      <c r="N2451">
        <v>4.51</v>
      </c>
      <c r="O2451">
        <v>947000</v>
      </c>
      <c r="P2451" t="inlineStr">
        <is>
          <t>6964d8ce05a37f0001474cb8</t>
        </is>
      </c>
      <c r="Q2451" t="inlineStr">
        <is>
          <t>🚫重复</t>
        </is>
      </c>
      <c r="R2451" t="inlineStr">
        <is>
          <t>14周</t>
        </is>
      </c>
      <c r="S2451" t="inlineStr">
        <is>
          <t>1.76</t>
        </is>
      </c>
      <c r="T2451" t="inlineStr">
        <is>
          <t>美食滋补</t>
        </is>
      </c>
      <c r="U2451" t="inlineStr">
        <is>
          <t>生鲜特产</t>
        </is>
      </c>
      <c r="V2451" s="3">
        <v>46112.78107638889</v>
      </c>
      <c r="W2451" t="inlineStr">
        <is>
          <t>2026-Q1</t>
        </is>
      </c>
    </row>
    <row r="2452" ht="25.5" customHeight="1">
      <c r="A2452" t="inlineStr">
        <is>
          <t>秘鲁进口高品质哈斯牛油果·新鲜水果 精品巨无霸孕妈辅食首选</t>
        </is>
      </c>
      <c r="B2452" t="inlineStr">
        <is>
          <t>recvdUhmdaPTdq.jpg</t>
        </is>
      </c>
      <c r="C2452" s="2" t="str">
        <f>=HYPERLINK("https://xhslink.com/m/4m6kIbRaJTh", "https://xhslink.com/m/4m6kIbRaJTh")</f>
        <v>https://xhslink.com/m/4m6kIbRaJTh</v>
      </c>
      <c r="D2452"/>
      <c r="E2452">
        <v>33000</v>
      </c>
      <c r="F2452">
        <v>42.6</v>
      </c>
      <c r="G2452">
        <v>27.9</v>
      </c>
      <c r="H2452">
        <v>100</v>
      </c>
      <c r="I2452" t="inlineStr">
        <is>
          <t>夏季水果</t>
        </is>
      </c>
      <c r="J2452" t="inlineStr">
        <is>
          <t>0.00</t>
        </is>
      </c>
      <c r="K2452" t="inlineStr">
        <is>
          <t>🔥低粉爆款</t>
        </is>
      </c>
      <c r="L2452" t="inlineStr">
        <is>
          <t>鲁哥严选高端生鲜的店</t>
        </is>
      </c>
      <c r="M2452">
        <v>1460</v>
      </c>
      <c r="N2452">
        <v>4.61</v>
      </c>
      <c r="O2452">
        <v>59000</v>
      </c>
      <c r="P2452" t="inlineStr">
        <is>
          <t>67ef9d3ae8f2430001e59262</t>
        </is>
      </c>
      <c r="Q2452"/>
      <c r="R2452" t="inlineStr">
        <is>
          <t>14周</t>
        </is>
      </c>
      <c r="S2452" t="inlineStr">
        <is>
          <t>22.60</t>
        </is>
      </c>
      <c r="T2452" t="inlineStr">
        <is>
          <t>美食滋补</t>
        </is>
      </c>
      <c r="U2452" t="inlineStr">
        <is>
          <t>生鲜特产</t>
        </is>
      </c>
      <c r="V2452" s="3">
        <v>46112.78107638889</v>
      </c>
      <c r="W2452" t="inlineStr">
        <is>
          <t>2026-Q1</t>
        </is>
      </c>
    </row>
    <row r="2453" ht="25.5" customHeight="1">
      <c r="A2453" t="inlineStr">
        <is>
          <t>软芭乐红心草莓白心奶油番石榴新鲜软糯香甜多汁低脂水果果园现摘</t>
        </is>
      </c>
      <c r="B2453" t="inlineStr">
        <is>
          <t>recvdUhmdafcbO.jpg</t>
        </is>
      </c>
      <c r="C2453" s="2" t="str">
        <f>=HYPERLINK("https://xhslink.com/m/K3TTKB6N3K", "https://xhslink.com/m/K3TTKB6N3K")</f>
        <v>https://xhslink.com/m/K3TTKB6N3K</v>
      </c>
      <c r="D2453"/>
      <c r="E2453">
        <v>8000</v>
      </c>
      <c r="F2453">
        <v>9.5</v>
      </c>
      <c r="G2453"/>
      <c r="H2453">
        <v>100</v>
      </c>
      <c r="I2453" t="inlineStr">
        <is>
          <t>夏季水果</t>
        </is>
      </c>
      <c r="J2453" t="inlineStr">
        <is>
          <t>0.01</t>
        </is>
      </c>
      <c r="K2453"/>
      <c r="L2453" t="inlineStr">
        <is>
          <t>今天好想吃酸的店</t>
        </is>
      </c>
      <c r="M2453">
        <v>6249</v>
      </c>
      <c r="N2453">
        <v>4.63</v>
      </c>
      <c r="O2453">
        <v>50000</v>
      </c>
      <c r="P2453" t="inlineStr">
        <is>
          <t>694faca0c43df900010f4e45</t>
        </is>
      </c>
      <c r="Q2453"/>
      <c r="R2453" t="inlineStr">
        <is>
          <t>14周</t>
        </is>
      </c>
      <c r="S2453" t="inlineStr">
        <is>
          <t>1.28</t>
        </is>
      </c>
      <c r="T2453" t="inlineStr">
        <is>
          <t>美食滋补</t>
        </is>
      </c>
      <c r="U2453" t="inlineStr">
        <is>
          <t>休闲零食</t>
        </is>
      </c>
      <c r="V2453" s="3">
        <v>46112.78107638889</v>
      </c>
      <c r="W2453" t="inlineStr">
        <is>
          <t>2026-Q1</t>
        </is>
      </c>
    </row>
    <row r="2454" ht="25.5" customHeight="1">
      <c r="A2454" t="inlineStr">
        <is>
          <t>【黄心猕猴桃】现摘果园黄金奇异果新鲜水果孕妇儿童应当季放软吃</t>
        </is>
      </c>
      <c r="B2454" t="inlineStr">
        <is>
          <t>recvdUhmdayJEK.jpg</t>
        </is>
      </c>
      <c r="C2454" s="2" t="str">
        <f>=HYPERLINK("https://xhslink.com/m/71jrqQK0ZDf", "https://xhslink.com/m/71jrqQK0ZDf")</f>
        <v>https://xhslink.com/m/71jrqQK0ZDf</v>
      </c>
      <c r="D2454"/>
      <c r="E2454">
        <v>33000</v>
      </c>
      <c r="F2454">
        <v>36.8</v>
      </c>
      <c r="G2454">
        <v>16.8</v>
      </c>
      <c r="H2454">
        <v>100</v>
      </c>
      <c r="I2454" t="inlineStr">
        <is>
          <t>夏季水果</t>
        </is>
      </c>
      <c r="J2454" t="inlineStr">
        <is>
          <t>0.00</t>
        </is>
      </c>
      <c r="K2454" t="inlineStr">
        <is>
          <t>🔥低粉爆款</t>
        </is>
      </c>
      <c r="L2454" t="inlineStr">
        <is>
          <t>果壹果贰生鲜的店</t>
        </is>
      </c>
      <c r="M2454">
        <v>391</v>
      </c>
      <c r="N2454">
        <v>4.58</v>
      </c>
      <c r="O2454">
        <v>220000</v>
      </c>
      <c r="P2454" t="inlineStr">
        <is>
          <t>6902d78f5b9deb000149507a</t>
        </is>
      </c>
      <c r="Q2454"/>
      <c r="R2454" t="inlineStr">
        <is>
          <t>14周</t>
        </is>
      </c>
      <c r="S2454" t="inlineStr">
        <is>
          <t>84.40</t>
        </is>
      </c>
      <c r="T2454" t="inlineStr">
        <is>
          <t>美食滋补</t>
        </is>
      </c>
      <c r="U2454" t="inlineStr">
        <is>
          <t>生鲜特产</t>
        </is>
      </c>
      <c r="V2454" s="3">
        <v>46112.78107638889</v>
      </c>
      <c r="W2454" t="inlineStr">
        <is>
          <t>2026-Q1</t>
        </is>
      </c>
    </row>
    <row r="2455" ht="25.5" customHeight="1">
      <c r="A2455" t="inlineStr">
        <is>
          <t>高端多色混装七色七彩爆汁番茄圣女果新鲜采摘顺丰包邮彩虹小番茄</t>
        </is>
      </c>
      <c r="B2455" t="inlineStr">
        <is>
          <t>recvdUhmdaUGll.jpg</t>
        </is>
      </c>
      <c r="C2455" s="2" t="str">
        <f>=HYPERLINK("https://xhslink.com/m/2xHVtXiJvgM", "https://xhslink.com/m/2xHVtXiJvgM")</f>
        <v>https://xhslink.com/m/2xHVtXiJvgM</v>
      </c>
      <c r="D2455"/>
      <c r="E2455">
        <v>21000</v>
      </c>
      <c r="F2455">
        <v>19.9</v>
      </c>
      <c r="G2455">
        <v>13.9</v>
      </c>
      <c r="H2455">
        <v>100</v>
      </c>
      <c r="I2455" t="inlineStr">
        <is>
          <t>夏季水果</t>
        </is>
      </c>
      <c r="J2455" t="inlineStr">
        <is>
          <t>0.00</t>
        </is>
      </c>
      <c r="K2455" t="inlineStr">
        <is>
          <t>🔥低粉爆款</t>
        </is>
      </c>
      <c r="L2455" t="inlineStr">
        <is>
          <t>番喜茄乐园的店</t>
        </is>
      </c>
      <c r="M2455">
        <v>4669</v>
      </c>
      <c r="N2455">
        <v>4.64</v>
      </c>
      <c r="O2455">
        <v>24000</v>
      </c>
      <c r="P2455" t="inlineStr">
        <is>
          <t>689a68720991b40001d3a719</t>
        </is>
      </c>
      <c r="Q2455"/>
      <c r="R2455" t="inlineStr">
        <is>
          <t>14周</t>
        </is>
      </c>
      <c r="S2455" t="inlineStr">
        <is>
          <t>4.50</t>
        </is>
      </c>
      <c r="T2455" t="inlineStr">
        <is>
          <t>美食滋补</t>
        </is>
      </c>
      <c r="U2455" t="inlineStr">
        <is>
          <t>生鲜特产</t>
        </is>
      </c>
      <c r="V2455" s="3">
        <v>46112.78107638889</v>
      </c>
      <c r="W2455" t="inlineStr">
        <is>
          <t>2026-Q1</t>
        </is>
      </c>
    </row>
    <row r="2456" ht="25.5" customHeight="1">
      <c r="A2456" t="inlineStr">
        <is>
          <t>【顺丰快递】四川攀枝花米易高山甜枇杷多汁孕妇新鲜水果3斤/5斤</t>
        </is>
      </c>
      <c r="B2456" t="inlineStr">
        <is>
          <t>recvdUhmdaasse.jpg</t>
        </is>
      </c>
      <c r="C2456" s="2" t="str">
        <f>=HYPERLINK("https://xhslink.com/m/5uUQNaRZhQF", "https://xhslink.com/m/5uUQNaRZhQF")</f>
        <v>https://xhslink.com/m/5uUQNaRZhQF</v>
      </c>
      <c r="D2456"/>
      <c r="E2456">
        <v>26000</v>
      </c>
      <c r="F2456">
        <v>25.9</v>
      </c>
      <c r="G2456">
        <v>15.9</v>
      </c>
      <c r="H2456">
        <v>100</v>
      </c>
      <c r="I2456" t="inlineStr">
        <is>
          <t>夏季水果</t>
        </is>
      </c>
      <c r="J2456" t="inlineStr">
        <is>
          <t>0.00</t>
        </is>
      </c>
      <c r="K2456" t="inlineStr">
        <is>
          <t>🔥低粉爆款</t>
        </is>
      </c>
      <c r="L2456" t="inlineStr">
        <is>
          <t>米易县欣荣种植合作社的店</t>
        </is>
      </c>
      <c r="M2456">
        <v>2975</v>
      </c>
      <c r="N2456">
        <v>4.52</v>
      </c>
      <c r="O2456">
        <v>65000</v>
      </c>
      <c r="P2456" t="inlineStr">
        <is>
          <t>6569a4f414f2c80001e3c175</t>
        </is>
      </c>
      <c r="Q2456"/>
      <c r="R2456" t="inlineStr">
        <is>
          <t>14周</t>
        </is>
      </c>
      <c r="S2456" t="inlineStr">
        <is>
          <t>8.74</t>
        </is>
      </c>
      <c r="T2456" t="inlineStr">
        <is>
          <t>美食滋补</t>
        </is>
      </c>
      <c r="U2456" t="inlineStr">
        <is>
          <t>生鲜特产</t>
        </is>
      </c>
      <c r="V2456" s="3">
        <v>46112.78107638889</v>
      </c>
      <c r="W2456" t="inlineStr">
        <is>
          <t>2026-Q1</t>
        </is>
      </c>
    </row>
    <row r="2457" ht="25.5" customHeight="1">
      <c r="A2457" t="inlineStr">
        <is>
          <t>【每日仅100单】手作英式司康饼 代糖低卡饱腹早餐孕期零食代餐</t>
        </is>
      </c>
      <c r="B2457" t="inlineStr">
        <is>
          <t>recvdUhmdal9RZ.jpg</t>
        </is>
      </c>
      <c r="C2457" s="2" t="str">
        <f>=HYPERLINK("https://xhslink.com/m/AwpKePTGTAi", "https://xhslink.com/m/AwpKePTGTAi")</f>
        <v>https://xhslink.com/m/AwpKePTGTAi</v>
      </c>
      <c r="D2457"/>
      <c r="E2457">
        <v>11000</v>
      </c>
      <c r="F2457">
        <v>25.8</v>
      </c>
      <c r="G2457">
        <v>18.8</v>
      </c>
      <c r="H2457">
        <v>100</v>
      </c>
      <c r="I2457" t="inlineStr">
        <is>
          <t>零食</t>
        </is>
      </c>
      <c r="J2457" t="inlineStr">
        <is>
          <t>0.01</t>
        </is>
      </c>
      <c r="K2457" t="inlineStr">
        <is>
          <t>🔥低粉爆款</t>
        </is>
      </c>
      <c r="L2457" t="inlineStr">
        <is>
          <t>福满多手作面包的店</t>
        </is>
      </c>
      <c r="M2457">
        <v>2406</v>
      </c>
      <c r="N2457">
        <v>4.44</v>
      </c>
      <c r="O2457">
        <v>60000</v>
      </c>
      <c r="P2457" t="inlineStr">
        <is>
          <t>691b16581896c30001456442</t>
        </is>
      </c>
      <c r="Q2457" t="inlineStr">
        <is>
          <t>🚫重复</t>
        </is>
      </c>
      <c r="R2457" t="inlineStr">
        <is>
          <t>14周</t>
        </is>
      </c>
      <c r="S2457" t="inlineStr">
        <is>
          <t>4.57</t>
        </is>
      </c>
      <c r="T2457" t="inlineStr">
        <is>
          <t>美食滋补</t>
        </is>
      </c>
      <c r="U2457" t="inlineStr">
        <is>
          <t>休闲零食</t>
        </is>
      </c>
      <c r="V2457" s="3">
        <v>46112.78107638889</v>
      </c>
      <c r="W2457" t="inlineStr">
        <is>
          <t>2026-Q1</t>
        </is>
      </c>
    </row>
    <row r="2458" ht="25.5" customHeight="1">
      <c r="A2458" t="inlineStr">
        <is>
          <t>氧默 · 速食鸡胸肉健身代餐即食零食鸡胸肉轻食食品学生碳水蛋白</t>
        </is>
      </c>
      <c r="B2458" t="inlineStr">
        <is>
          <t>recvdUhmdaOCPj.jpg</t>
        </is>
      </c>
      <c r="C2458" s="2" t="str">
        <f>=HYPERLINK("https://xhslink.com/m/8VJHLLimWHr", "https://xhslink.com/m/8VJHLLimWHr")</f>
        <v>https://xhslink.com/m/8VJHLLimWHr</v>
      </c>
      <c r="D2458"/>
      <c r="E2458">
        <v>19000</v>
      </c>
      <c r="F2458">
        <v>28.9</v>
      </c>
      <c r="G2458"/>
      <c r="H2458">
        <v>100</v>
      </c>
      <c r="I2458" t="inlineStr">
        <is>
          <t>零食</t>
        </is>
      </c>
      <c r="J2458" t="inlineStr">
        <is>
          <t>0.01</t>
        </is>
      </c>
      <c r="K2458"/>
      <c r="L2458" t="inlineStr">
        <is>
          <t>氧默旗舰店</t>
        </is>
      </c>
      <c r="M2458">
        <v>26000</v>
      </c>
      <c r="N2458">
        <v>4.58</v>
      </c>
      <c r="O2458">
        <v>257000</v>
      </c>
      <c r="P2458" t="inlineStr">
        <is>
          <t>64d03c9de02a360001a32ce0</t>
        </is>
      </c>
      <c r="Q2458" t="inlineStr">
        <is>
          <t>🚫重复</t>
        </is>
      </c>
      <c r="R2458" t="inlineStr">
        <is>
          <t>14周</t>
        </is>
      </c>
      <c r="S2458" t="inlineStr">
        <is>
          <t>0.73</t>
        </is>
      </c>
      <c r="T2458" t="inlineStr">
        <is>
          <t>美食滋补</t>
        </is>
      </c>
      <c r="U2458" t="inlineStr">
        <is>
          <t>休闲零食</t>
        </is>
      </c>
      <c r="V2458" s="3">
        <v>46112.78107638889</v>
      </c>
      <c r="W2458" t="inlineStr">
        <is>
          <t>2026-Q1</t>
        </is>
      </c>
    </row>
    <row r="2459" ht="25.5" customHeight="1">
      <c r="A2459" t="inlineStr">
        <is>
          <t>周三的情书 天气：小雨 · 全麦面包森林蔬菜吐司 低脂轻卡0蔗糖添加代餐早餐面包整箱 7口味</t>
        </is>
      </c>
      <c r="B2459" t="inlineStr">
        <is>
          <t>recvdUhmdaxX3j.jpg</t>
        </is>
      </c>
      <c r="C2459" s="2" t="str">
        <f>=HYPERLINK("https://xhslink.com/m/8IS7fZF4zi2", "https://xhslink.com/m/8IS7fZF4zi2")</f>
        <v>https://xhslink.com/m/8IS7fZF4zi2</v>
      </c>
      <c r="D2459"/>
      <c r="E2459">
        <v>37000</v>
      </c>
      <c r="F2459">
        <v>16.9</v>
      </c>
      <c r="G2459">
        <v>6.9</v>
      </c>
      <c r="H2459">
        <v>100</v>
      </c>
      <c r="I2459" t="inlineStr">
        <is>
          <t>零食</t>
        </is>
      </c>
      <c r="J2459" t="inlineStr">
        <is>
          <t>0.00</t>
        </is>
      </c>
      <c r="K2459"/>
      <c r="L2459" t="inlineStr">
        <is>
          <t>周三的情书 天气：小雨旗舰店</t>
        </is>
      </c>
      <c r="M2459">
        <v>27000</v>
      </c>
      <c r="N2459">
        <v>3.85</v>
      </c>
      <c r="O2459">
        <v>418000</v>
      </c>
      <c r="P2459" t="inlineStr">
        <is>
          <t>66d80a2c0b841f000175d64f</t>
        </is>
      </c>
      <c r="Q2459" t="inlineStr">
        <is>
          <t>🚫重复</t>
        </is>
      </c>
      <c r="R2459" t="inlineStr">
        <is>
          <t>14周</t>
        </is>
      </c>
      <c r="S2459" t="inlineStr">
        <is>
          <t>1.37</t>
        </is>
      </c>
      <c r="T2459" t="inlineStr">
        <is>
          <t>美食滋补</t>
        </is>
      </c>
      <c r="U2459" t="inlineStr">
        <is>
          <t>休闲零食</t>
        </is>
      </c>
      <c r="V2459" s="3">
        <v>46112.78107638889</v>
      </c>
      <c r="W2459" t="inlineStr">
        <is>
          <t>2026-Q1</t>
        </is>
      </c>
    </row>
    <row r="2460" ht="25.5" customHeight="1">
      <c r="A2460" t="inlineStr">
        <is>
          <t>农科优品 · 中国农科院世壮纯燕麦片纯谷物原味粗粮健身代餐</t>
        </is>
      </c>
      <c r="B2460" t="inlineStr">
        <is>
          <t>recvdUhmda0zUQ.jpg</t>
        </is>
      </c>
      <c r="C2460" s="2" t="str">
        <f>=HYPERLINK("https://xhslink.com/m/8GVusGq94qU", "https://xhslink.com/m/8GVusGq94qU")</f>
        <v>https://xhslink.com/m/8GVusGq94qU</v>
      </c>
      <c r="D2460"/>
      <c r="E2460">
        <v>40000</v>
      </c>
      <c r="F2460">
        <v>14.9</v>
      </c>
      <c r="G2460">
        <v>11.9</v>
      </c>
      <c r="H2460">
        <v>100</v>
      </c>
      <c r="I2460" t="inlineStr">
        <is>
          <t>零食</t>
        </is>
      </c>
      <c r="J2460" t="inlineStr">
        <is>
          <t>0.00</t>
        </is>
      </c>
      <c r="K2460"/>
      <c r="L2460" t="inlineStr">
        <is>
          <t>农科优品旗舰店</t>
        </is>
      </c>
      <c r="M2460">
        <v>372000</v>
      </c>
      <c r="N2460">
        <v>4.46</v>
      </c>
      <c r="O2460">
        <v>516000</v>
      </c>
      <c r="P2460" t="inlineStr">
        <is>
          <t>645afb2d301a420001b60984</t>
        </is>
      </c>
      <c r="Q2460"/>
      <c r="R2460" t="inlineStr">
        <is>
          <t>14周</t>
        </is>
      </c>
      <c r="S2460" t="inlineStr">
        <is>
          <t>0.11</t>
        </is>
      </c>
      <c r="T2460" t="inlineStr">
        <is>
          <t>美食滋补</t>
        </is>
      </c>
      <c r="U2460" t="inlineStr">
        <is>
          <t>休闲零食</t>
        </is>
      </c>
      <c r="V2460" s="3">
        <v>46112.78107638889</v>
      </c>
      <c r="W2460" t="inlineStr">
        <is>
          <t>2026-Q1</t>
        </is>
      </c>
    </row>
    <row r="2461" ht="25.5" customHeight="1">
      <c r="A2461" t="inlineStr">
        <is>
          <t>「29包邮！大包装立减15元」糯叽奶酪小方手工麻薯奶酪夹心网红</t>
        </is>
      </c>
      <c r="B2461" t="inlineStr">
        <is>
          <t>recvdUhmdaibbP.jpg</t>
        </is>
      </c>
      <c r="C2461" s="2" t="str">
        <f>=HYPERLINK("https://xhslink.com/m/8OZtS4rdJwE", "https://xhslink.com/m/8OZtS4rdJwE")</f>
        <v>https://xhslink.com/m/8OZtS4rdJwE</v>
      </c>
      <c r="D2461"/>
      <c r="E2461">
        <v>2562</v>
      </c>
      <c r="F2461">
        <v>29</v>
      </c>
      <c r="G2461"/>
      <c r="H2461">
        <v>100</v>
      </c>
      <c r="I2461" t="inlineStr">
        <is>
          <t>零食</t>
        </is>
      </c>
      <c r="J2461" t="inlineStr">
        <is>
          <t>0.04</t>
        </is>
      </c>
      <c r="K2461"/>
      <c r="L2461" t="inlineStr">
        <is>
          <t>湘甜手作糯叽叽的店</t>
        </is>
      </c>
      <c r="M2461">
        <v>15000</v>
      </c>
      <c r="N2461">
        <v>4.31</v>
      </c>
      <c r="O2461">
        <v>3225</v>
      </c>
      <c r="P2461" t="inlineStr">
        <is>
          <t>6901d65084cf42000132744b</t>
        </is>
      </c>
      <c r="Q2461"/>
      <c r="R2461" t="inlineStr">
        <is>
          <t>14周</t>
        </is>
      </c>
      <c r="S2461" t="inlineStr">
        <is>
          <t>0.17</t>
        </is>
      </c>
      <c r="T2461" t="inlineStr">
        <is>
          <t>美食滋补</t>
        </is>
      </c>
      <c r="U2461" t="inlineStr">
        <is>
          <t>休闲零食</t>
        </is>
      </c>
      <c r="V2461" s="3">
        <v>46112.78107638889</v>
      </c>
      <c r="W2461" t="inlineStr">
        <is>
          <t>2026-Q1</t>
        </is>
      </c>
    </row>
    <row r="2462" ht="25.5" customHeight="1">
      <c r="A2462" t="inlineStr">
        <is>
          <t>沈小糕 · 非遗工坊生巧福团传统匠心糯米糍巧克力超大福团雪媚娘解馋零食</t>
        </is>
      </c>
      <c r="B2462" t="inlineStr">
        <is>
          <t>recvdUhmdalv4R.jpg</t>
        </is>
      </c>
      <c r="C2462" s="2" t="str">
        <f>=HYPERLINK("https://xhslink.com/m/12kwmPeSGY4", "https://xhslink.com/m/12kwmPeSGY4")</f>
        <v>https://xhslink.com/m/12kwmPeSGY4</v>
      </c>
      <c r="D2462"/>
      <c r="E2462">
        <v>5190</v>
      </c>
      <c r="F2462">
        <v>19.9</v>
      </c>
      <c r="G2462"/>
      <c r="H2462">
        <v>100</v>
      </c>
      <c r="I2462" t="inlineStr">
        <is>
          <t>零食</t>
        </is>
      </c>
      <c r="J2462" t="inlineStr">
        <is>
          <t>0.02</t>
        </is>
      </c>
      <c r="K2462"/>
      <c r="L2462" t="inlineStr">
        <is>
          <t>沈小糕旗舰店</t>
        </is>
      </c>
      <c r="M2462">
        <v>2559</v>
      </c>
      <c r="N2462">
        <v>4.53</v>
      </c>
      <c r="O2462">
        <v>8569</v>
      </c>
      <c r="P2462" t="inlineStr">
        <is>
          <t>68552cd3e023210015ebdf29</t>
        </is>
      </c>
      <c r="Q2462" t="inlineStr">
        <is>
          <t>🚫重复</t>
        </is>
      </c>
      <c r="R2462" t="inlineStr">
        <is>
          <t>14周</t>
        </is>
      </c>
      <c r="S2462" t="inlineStr">
        <is>
          <t>2.03</t>
        </is>
      </c>
      <c r="T2462" t="inlineStr">
        <is>
          <t>美食滋补</t>
        </is>
      </c>
      <c r="U2462" t="inlineStr">
        <is>
          <t>休闲零食</t>
        </is>
      </c>
      <c r="V2462" s="3">
        <v>46112.78107638889</v>
      </c>
      <c r="W2462" t="inlineStr">
        <is>
          <t>2026-Q1</t>
        </is>
      </c>
    </row>
    <row r="2463" ht="25.5" customHeight="1">
      <c r="A2463" t="inlineStr">
        <is>
          <t>佳沃 · 云南花香蓝莓 4/6盒装  L25当季鲜果满满花青素宝宝孕妇水果直播</t>
        </is>
      </c>
      <c r="B2463" t="inlineStr">
        <is>
          <t>recvdUhmda3xv7.jpg</t>
        </is>
      </c>
      <c r="C2463" s="2" t="str">
        <f>=HYPERLINK("https://xhslink.com/m/89dg6zTxuty", "https://xhslink.com/m/89dg6zTxuty")</f>
        <v>https://xhslink.com/m/89dg6zTxuty</v>
      </c>
      <c r="D2463"/>
      <c r="E2463">
        <v>2788</v>
      </c>
      <c r="F2463">
        <v>69.9</v>
      </c>
      <c r="G2463">
        <v>49.9</v>
      </c>
      <c r="H2463">
        <v>100</v>
      </c>
      <c r="I2463" t="inlineStr">
        <is>
          <t>夏季水果</t>
        </is>
      </c>
      <c r="J2463" t="inlineStr">
        <is>
          <t>0.04</t>
        </is>
      </c>
      <c r="K2463"/>
      <c r="L2463" t="inlineStr">
        <is>
          <t>佳沃水果旗舰店</t>
        </is>
      </c>
      <c r="M2463">
        <v>178000</v>
      </c>
      <c r="N2463">
        <v>4.53</v>
      </c>
      <c r="O2463">
        <v>183000</v>
      </c>
      <c r="P2463" t="inlineStr">
        <is>
          <t>67c5796d4a59360001938132</t>
        </is>
      </c>
      <c r="Q2463" t="inlineStr">
        <is>
          <t>🚫重复</t>
        </is>
      </c>
      <c r="R2463" t="inlineStr">
        <is>
          <t>14周</t>
        </is>
      </c>
      <c r="S2463" t="inlineStr">
        <is>
          <t>0.02</t>
        </is>
      </c>
      <c r="T2463" t="inlineStr">
        <is>
          <t>美食滋补</t>
        </is>
      </c>
      <c r="U2463" t="inlineStr">
        <is>
          <t>生鲜特产</t>
        </is>
      </c>
      <c r="V2463" s="3">
        <v>46112.78107638889</v>
      </c>
      <c r="W2463" t="inlineStr">
        <is>
          <t>2026-Q1</t>
        </is>
      </c>
    </row>
    <row r="2464" ht="25.5" customHeight="1">
      <c r="A2464" t="inlineStr">
        <is>
          <t>【顺丰/JD】七色小番茄水果盲盒青甜2号小番茄圣女果现摘现发</t>
        </is>
      </c>
      <c r="B2464" t="inlineStr">
        <is>
          <t>recvdUhmda3Nv0.jpg</t>
        </is>
      </c>
      <c r="C2464" s="2" t="str">
        <f>=HYPERLINK("https://xhslink.com/m/17qrOeUWqVj", "https://xhslink.com/m/17qrOeUWqVj")</f>
        <v>https://xhslink.com/m/17qrOeUWqVj</v>
      </c>
      <c r="D2464"/>
      <c r="E2464">
        <v>4848</v>
      </c>
      <c r="F2464">
        <v>68.5</v>
      </c>
      <c r="G2464">
        <v>45.6</v>
      </c>
      <c r="H2464">
        <v>100</v>
      </c>
      <c r="I2464" t="inlineStr">
        <is>
          <t>夏季水果</t>
        </is>
      </c>
      <c r="J2464" t="inlineStr">
        <is>
          <t>0.02</t>
        </is>
      </c>
      <c r="K2464"/>
      <c r="L2464" t="inlineStr">
        <is>
          <t>麒果果的店</t>
        </is>
      </c>
      <c r="M2464">
        <v>14000</v>
      </c>
      <c r="N2464">
        <v>4.58</v>
      </c>
      <c r="O2464">
        <v>93000</v>
      </c>
      <c r="P2464" t="inlineStr">
        <is>
          <t>68d786e67c1a0300010d8f25</t>
        </is>
      </c>
      <c r="Q2464" t="inlineStr">
        <is>
          <t>🚫重复</t>
        </is>
      </c>
      <c r="R2464" t="inlineStr">
        <is>
          <t>14周</t>
        </is>
      </c>
      <c r="S2464" t="inlineStr">
        <is>
          <t>0.35</t>
        </is>
      </c>
      <c r="T2464" t="inlineStr">
        <is>
          <t>美食滋补</t>
        </is>
      </c>
      <c r="U2464" t="inlineStr">
        <is>
          <t>生鲜特产</t>
        </is>
      </c>
      <c r="V2464" s="3">
        <v>46112.78107638889</v>
      </c>
      <c r="W2464" t="inlineStr">
        <is>
          <t>2026-Q1</t>
        </is>
      </c>
    </row>
    <row r="2465" ht="25.5" customHeight="1">
      <c r="A2465" t="inlineStr">
        <is>
          <t>【JD/顺丰包邮】多米米·广东湛江正宗树熟冰糖心红心牛奶木瓜</t>
        </is>
      </c>
      <c r="B2465" t="inlineStr">
        <is>
          <t>recvdUhmdatKbi.jpg</t>
        </is>
      </c>
      <c r="C2465" s="2" t="str">
        <f>=HYPERLINK("https://xhslink.com/m/2abFB3t2Td0", "https://xhslink.com/m/2abFB3t2Td0")</f>
        <v>https://xhslink.com/m/2abFB3t2Td0</v>
      </c>
      <c r="D2465"/>
      <c r="E2465">
        <v>1874</v>
      </c>
      <c r="F2465">
        <v>24.9</v>
      </c>
      <c r="G2465">
        <v>14.9</v>
      </c>
      <c r="H2465">
        <v>100</v>
      </c>
      <c r="I2465" t="inlineStr">
        <is>
          <t>夏季水果</t>
        </is>
      </c>
      <c r="J2465" t="inlineStr">
        <is>
          <t>0.05</t>
        </is>
      </c>
      <c r="K2465"/>
      <c r="L2465" t="inlineStr">
        <is>
          <t>多米米果园（木瓜 芭乐贝贝蜜薯应季)的店</t>
        </is>
      </c>
      <c r="M2465">
        <v>1105</v>
      </c>
      <c r="N2465">
        <v>3.91</v>
      </c>
      <c r="O2465">
        <v>23000</v>
      </c>
      <c r="P2465" t="inlineStr">
        <is>
          <t>68ea4db0c753610001d131e3</t>
        </is>
      </c>
      <c r="Q2465"/>
      <c r="R2465" t="inlineStr">
        <is>
          <t>14周</t>
        </is>
      </c>
      <c r="S2465" t="inlineStr">
        <is>
          <t>1.70</t>
        </is>
      </c>
      <c r="T2465" t="inlineStr">
        <is>
          <t>美食滋补</t>
        </is>
      </c>
      <c r="U2465" t="inlineStr">
        <is>
          <t>酒水冲饮</t>
        </is>
      </c>
      <c r="V2465" s="3">
        <v>46112.78107638889</v>
      </c>
      <c r="W2465" t="inlineStr">
        <is>
          <t>2026-Q1</t>
        </is>
      </c>
    </row>
    <row r="2466" ht="25.5" customHeight="1">
      <c r="A2466" t="inlineStr">
        <is>
          <t>亨丝 · 【送削笔刀】苔绿硬芯木质砍刀眉笔野生眉防水防汗不晕染化妆专用</t>
        </is>
      </c>
      <c r="B2466" t="inlineStr">
        <is>
          <t>recvdUMUuTd0bb.jpg</t>
        </is>
      </c>
      <c r="C2466" s="2" t="str">
        <f>=HYPERLINK("https://xhslink.com/m/34fLeTIvPV0", "https://xhslink.com/m/34fLeTIvPV0")</f>
        <v>https://xhslink.com/m/34fLeTIvPV0</v>
      </c>
      <c r="D2466"/>
      <c r="E2466">
        <v>53000</v>
      </c>
      <c r="F2466">
        <v>7.8</v>
      </c>
      <c r="G2466"/>
      <c r="H2466">
        <v>100</v>
      </c>
      <c r="I2466" t="inlineStr">
        <is>
          <t>面部色彩</t>
        </is>
      </c>
      <c r="J2466" t="inlineStr">
        <is>
          <t>0.00</t>
        </is>
      </c>
      <c r="K2466" t="inlineStr">
        <is>
          <t>🔥低粉爆款</t>
        </is>
      </c>
      <c r="L2466" t="inlineStr">
        <is>
          <t>万支支ws的店</t>
        </is>
      </c>
      <c r="M2466">
        <v>10000</v>
      </c>
      <c r="N2466">
        <v>4.64</v>
      </c>
      <c r="O2466">
        <v>223000</v>
      </c>
      <c r="P2466" t="inlineStr">
        <is>
          <t>65fc29b8914685000101f476</t>
        </is>
      </c>
      <c r="Q2466"/>
      <c r="R2466" t="inlineStr">
        <is>
          <t>14周</t>
        </is>
      </c>
      <c r="S2466" t="inlineStr">
        <is>
          <t>5.30</t>
        </is>
      </c>
      <c r="T2466" t="inlineStr">
        <is>
          <t>美妆个护</t>
        </is>
      </c>
      <c r="U2466" t="inlineStr">
        <is>
          <t>护肤彩妆</t>
        </is>
      </c>
      <c r="V2466" s="3">
        <v>46112.78107638889</v>
      </c>
      <c r="W2466" t="inlineStr">
        <is>
          <t>2026-Q1</t>
        </is>
      </c>
    </row>
    <row r="2467" ht="25.5" customHeight="1">
      <c r="A2467" t="inlineStr">
        <is>
          <t>ERSHIQI · 韩系26色超女Super GIRL眼影哑珠光细闪低饱和大地</t>
        </is>
      </c>
      <c r="B2467" t="inlineStr">
        <is>
          <t>recvdUN7QQXnuX.jpg</t>
        </is>
      </c>
      <c r="C2467" s="2" t="str">
        <f>=HYPERLINK("https://xhslink.com/m/3cBL2sTqsa", "https://xhslink.com/m/3cBL2sTqsa")</f>
        <v>https://xhslink.com/m/3cBL2sTqsa</v>
      </c>
      <c r="D2467"/>
      <c r="E2467">
        <v>29000</v>
      </c>
      <c r="F2467">
        <v>25.8</v>
      </c>
      <c r="G2467">
        <v>9.8</v>
      </c>
      <c r="H2467">
        <v>100</v>
      </c>
      <c r="I2467" t="inlineStr">
        <is>
          <t>面部色彩</t>
        </is>
      </c>
      <c r="J2467" t="inlineStr">
        <is>
          <t>0.00</t>
        </is>
      </c>
      <c r="K2467" t="inlineStr">
        <is>
          <t>🔥低粉爆款</t>
        </is>
      </c>
      <c r="L2467" t="inlineStr">
        <is>
          <t>半勺甜甜粥的店</t>
        </is>
      </c>
      <c r="M2467">
        <v>2839</v>
      </c>
      <c r="N2467">
        <v>4.62</v>
      </c>
      <c r="O2467">
        <v>86000</v>
      </c>
      <c r="P2467" t="inlineStr">
        <is>
          <t>682ac70adc7a6b001527d4d3</t>
        </is>
      </c>
      <c r="Q2467" t="inlineStr">
        <is>
          <t>🚫重复</t>
        </is>
      </c>
      <c r="R2467" t="inlineStr">
        <is>
          <t>14周</t>
        </is>
      </c>
      <c r="S2467" t="inlineStr">
        <is>
          <t>10.21</t>
        </is>
      </c>
      <c r="T2467" t="inlineStr">
        <is>
          <t>美妆个护</t>
        </is>
      </c>
      <c r="U2467" t="inlineStr">
        <is>
          <t>护肤彩妆</t>
        </is>
      </c>
      <c r="V2467" s="3">
        <v>46112.78107638889</v>
      </c>
      <c r="W2467" t="inlineStr">
        <is>
          <t>2026-Q1</t>
        </is>
      </c>
    </row>
    <row r="2468" ht="25.5" customHeight="1">
      <c r="A2468" t="inlineStr">
        <is>
          <t>INTOYOU · 【新色上市】女主角唇泥二代全新升级院线级修护哑光雾面唇颊两用</t>
        </is>
      </c>
      <c r="B2468" t="inlineStr">
        <is>
          <t>recvdUN7QQtr25.jpg</t>
        </is>
      </c>
      <c r="C2468" s="2" t="str">
        <f>=HYPERLINK("https://xhslink.com/m/m9ELVNFNGm", "https://xhslink.com/m/m9ELVNFNGm")</f>
        <v>https://xhslink.com/m/m9ELVNFNGm</v>
      </c>
      <c r="D2468"/>
      <c r="E2468">
        <v>301000</v>
      </c>
      <c r="F2468">
        <v>60</v>
      </c>
      <c r="G2468">
        <v>49</v>
      </c>
      <c r="H2468">
        <v>100</v>
      </c>
      <c r="I2468" t="inlineStr">
        <is>
          <t>面部色彩</t>
        </is>
      </c>
      <c r="J2468" t="inlineStr">
        <is>
          <t>0.00</t>
        </is>
      </c>
      <c r="K2468"/>
      <c r="L2468" t="inlineStr">
        <is>
          <t>INTO YOU心慕与你旗舰店</t>
        </is>
      </c>
      <c r="M2468">
        <v>275000</v>
      </c>
      <c r="N2468">
        <v>4.76</v>
      </c>
      <c r="O2468">
        <v>1409000</v>
      </c>
      <c r="P2468" t="inlineStr">
        <is>
          <t>5f2bd098530565729c152081</t>
        </is>
      </c>
      <c r="Q2468" t="inlineStr">
        <is>
          <t>🚫重复</t>
        </is>
      </c>
      <c r="R2468" t="inlineStr">
        <is>
          <t>14周</t>
        </is>
      </c>
      <c r="S2468" t="inlineStr">
        <is>
          <t>1.09</t>
        </is>
      </c>
      <c r="T2468" t="inlineStr">
        <is>
          <t>美妆个护</t>
        </is>
      </c>
      <c r="U2468" t="inlineStr">
        <is>
          <t>护肤彩妆</t>
        </is>
      </c>
      <c r="V2468" s="3">
        <v>46112.78107638889</v>
      </c>
      <c r="W2468" t="inlineStr">
        <is>
          <t>2026-Q1</t>
        </is>
      </c>
    </row>
    <row r="2469" ht="25.5" customHeight="1">
      <c r="A2469" t="inlineStr">
        <is>
          <t>KeKe Mood · 【个位数...任选3支】泡泡有色精华唇蜜唇釉水光玻璃唇伪素颜显白</t>
        </is>
      </c>
      <c r="B2469" t="inlineStr">
        <is>
          <t>recvdUN7QQ2uzw.jpg</t>
        </is>
      </c>
      <c r="C2469" s="2" t="str">
        <f>=HYPERLINK("https://xhslink.com/m/5UBumkbqBgq", "https://xhslink.com/m/5UBumkbqBgq")</f>
        <v>https://xhslink.com/m/5UBumkbqBgq</v>
      </c>
      <c r="D2469"/>
      <c r="E2469">
        <v>6904</v>
      </c>
      <c r="F2469">
        <v>45.7</v>
      </c>
      <c r="G2469">
        <v>8.99</v>
      </c>
      <c r="H2469">
        <v>100</v>
      </c>
      <c r="I2469" t="inlineStr">
        <is>
          <t>面部色彩</t>
        </is>
      </c>
      <c r="J2469" t="inlineStr">
        <is>
          <t>0.01</t>
        </is>
      </c>
      <c r="K2469"/>
      <c r="L2469" t="inlineStr">
        <is>
          <t>Keke Mood旗舰店</t>
        </is>
      </c>
      <c r="M2469">
        <v>71000</v>
      </c>
      <c r="N2469">
        <v>4.28</v>
      </c>
      <c r="O2469">
        <v>387000</v>
      </c>
      <c r="P2469" t="inlineStr">
        <is>
          <t>6832d8aafde0e20001fc8112</t>
        </is>
      </c>
      <c r="Q2469"/>
      <c r="R2469" t="inlineStr">
        <is>
          <t>14周</t>
        </is>
      </c>
      <c r="S2469" t="inlineStr">
        <is>
          <t>0.10</t>
        </is>
      </c>
      <c r="T2469" t="inlineStr">
        <is>
          <t>美妆个护</t>
        </is>
      </c>
      <c r="U2469" t="inlineStr">
        <is>
          <t>护肤彩妆</t>
        </is>
      </c>
      <c r="V2469" s="3">
        <v>46112.78107638889</v>
      </c>
      <c r="W2469" t="inlineStr">
        <is>
          <t>2026-Q1</t>
        </is>
      </c>
    </row>
    <row r="2470" ht="25.5" customHeight="1">
      <c r="A2470" t="inlineStr">
        <is>
          <t>lilybyred · 小猴子推荐~韩国Lilybyred爱心单色腮红粉膏02火龙果色/01/05/06/</t>
        </is>
      </c>
      <c r="B2470" t="inlineStr">
        <is>
          <t>recvdUN7QQKwOo.jpg</t>
        </is>
      </c>
      <c r="C2470" s="2" t="str">
        <f>=HYPERLINK("https://xhslink.com/m/388fhwyOWBB", "https://xhslink.com/m/388fhwyOWBB")</f>
        <v>https://xhslink.com/m/388fhwyOWBB</v>
      </c>
      <c r="D2470"/>
      <c r="E2470">
        <v>7797</v>
      </c>
      <c r="F2470">
        <v>50</v>
      </c>
      <c r="G2470">
        <v>42.5</v>
      </c>
      <c r="H2470">
        <v>100</v>
      </c>
      <c r="I2470" t="inlineStr">
        <is>
          <t>面部色彩</t>
        </is>
      </c>
      <c r="J2470" t="inlineStr">
        <is>
          <t>0.01</t>
        </is>
      </c>
      <c r="K2470"/>
      <c r="L2470" t="inlineStr">
        <is>
          <t>晓选👸留学生的店</t>
        </is>
      </c>
      <c r="M2470">
        <v>273000</v>
      </c>
      <c r="N2470">
        <v>4.5</v>
      </c>
      <c r="O2470">
        <v>532000</v>
      </c>
      <c r="P2470" t="inlineStr">
        <is>
          <t>6704aae94ae18700018defbb</t>
        </is>
      </c>
      <c r="Q2470" t="inlineStr">
        <is>
          <t>🚫重复</t>
        </is>
      </c>
      <c r="R2470" t="inlineStr">
        <is>
          <t>14周</t>
        </is>
      </c>
      <c r="S2470" t="inlineStr">
        <is>
          <t>0.03</t>
        </is>
      </c>
      <c r="T2470" t="inlineStr">
        <is>
          <t>美妆个护</t>
        </is>
      </c>
      <c r="U2470" t="inlineStr">
        <is>
          <t>护肤彩妆</t>
        </is>
      </c>
      <c r="V2470" s="3">
        <v>46112.78107638889</v>
      </c>
      <c r="W2470" t="inlineStr">
        <is>
          <t>2026-Q1</t>
        </is>
      </c>
    </row>
    <row r="2471" ht="25.5" customHeight="1">
      <c r="A2471" t="inlineStr">
        <is>
          <t>Girlcult构奇 · 幻镜唇蜜  不易沾杯不掉色</t>
        </is>
      </c>
      <c r="B2471" t="inlineStr">
        <is>
          <t>recvdUN7QQOGoU.jpg</t>
        </is>
      </c>
      <c r="C2471" s="2" t="str">
        <f>=HYPERLINK("https://xhslink.com/m/7HP3n3Py0rh", "https://xhslink.com/m/7HP3n3Py0rh")</f>
        <v>https://xhslink.com/m/7HP3n3Py0rh</v>
      </c>
      <c r="D2471"/>
      <c r="E2471">
        <v>35000</v>
      </c>
      <c r="F2471">
        <v>99</v>
      </c>
      <c r="G2471">
        <v>79</v>
      </c>
      <c r="H2471">
        <v>100</v>
      </c>
      <c r="I2471" t="inlineStr">
        <is>
          <t>面部色彩</t>
        </is>
      </c>
      <c r="J2471" t="inlineStr">
        <is>
          <t>0.00</t>
        </is>
      </c>
      <c r="K2471"/>
      <c r="L2471" t="inlineStr">
        <is>
          <t>Girlcult构奇旗舰店</t>
        </is>
      </c>
      <c r="M2471">
        <v>193000</v>
      </c>
      <c r="N2471">
        <v>4.78</v>
      </c>
      <c r="O2471">
        <v>810000</v>
      </c>
      <c r="P2471" t="inlineStr">
        <is>
          <t>662099dabda8e1000112d018</t>
        </is>
      </c>
      <c r="Q2471" t="inlineStr">
        <is>
          <t>🚫重复</t>
        </is>
      </c>
      <c r="R2471" t="inlineStr">
        <is>
          <t>14周</t>
        </is>
      </c>
      <c r="S2471" t="inlineStr">
        <is>
          <t>0.18</t>
        </is>
      </c>
      <c r="T2471" t="inlineStr">
        <is>
          <t>美妆个护</t>
        </is>
      </c>
      <c r="U2471" t="inlineStr">
        <is>
          <t>护肤彩妆</t>
        </is>
      </c>
      <c r="V2471" s="3">
        <v>46112.78107638889</v>
      </c>
      <c r="W2471" t="inlineStr">
        <is>
          <t>2026-Q1</t>
        </is>
      </c>
    </row>
    <row r="2472" ht="25.5" customHeight="1">
      <c r="A2472" t="inlineStr">
        <is>
          <t>HERORANGE · 裸色系秋冬日常素颜淡妆黄皮深唇口红唇釉膏女水光自然滋润低饱和</t>
        </is>
      </c>
      <c r="B2472" t="inlineStr">
        <is>
          <t>recvdUN7QQ7Hfk.jpg</t>
        </is>
      </c>
      <c r="C2472" s="2" t="str">
        <f>=HYPERLINK("https://xhslink.com/m/9jHspMRnqGM", "https://xhslink.com/m/9jHspMRnqGM")</f>
        <v>https://xhslink.com/m/9jHspMRnqGM</v>
      </c>
      <c r="D2472"/>
      <c r="E2472">
        <v>15000</v>
      </c>
      <c r="F2472">
        <v>15.8</v>
      </c>
      <c r="G2472">
        <v>6.6</v>
      </c>
      <c r="H2472">
        <v>100</v>
      </c>
      <c r="I2472" t="inlineStr">
        <is>
          <t>面部色彩</t>
        </is>
      </c>
      <c r="J2472" t="inlineStr">
        <is>
          <t>0.01</t>
        </is>
      </c>
      <c r="K2472" t="inlineStr">
        <is>
          <t>🔥低粉爆款</t>
        </is>
      </c>
      <c r="L2472" t="inlineStr">
        <is>
          <t>可安妮美妆的店</t>
        </is>
      </c>
      <c r="M2472">
        <v>2047</v>
      </c>
      <c r="N2472">
        <v>4.2</v>
      </c>
      <c r="O2472">
        <v>49000</v>
      </c>
      <c r="P2472" t="inlineStr">
        <is>
          <t>674e201693a0300001a58996</t>
        </is>
      </c>
      <c r="Q2472"/>
      <c r="R2472" t="inlineStr">
        <is>
          <t>14周</t>
        </is>
      </c>
      <c r="S2472" t="inlineStr">
        <is>
          <t>7.33</t>
        </is>
      </c>
      <c r="T2472" t="inlineStr">
        <is>
          <t>美妆个护</t>
        </is>
      </c>
      <c r="U2472" t="inlineStr">
        <is>
          <t>护肤彩妆</t>
        </is>
      </c>
      <c r="V2472" s="3">
        <v>46112.78107638889</v>
      </c>
      <c r="W2472" t="inlineStr">
        <is>
          <t>2026-Q1</t>
        </is>
      </c>
    </row>
    <row r="2473" ht="25.5" customHeight="1">
      <c r="A2473" t="inlineStr">
        <is>
          <t>花知晓 · 天鹅芭蕾系列成膜镜面固体唇釉成膜快嘟嘟唇口红</t>
        </is>
      </c>
      <c r="B2473" t="inlineStr">
        <is>
          <t>recvdUN7QQYKsX.jpg</t>
        </is>
      </c>
      <c r="C2473" s="2" t="str">
        <f>=HYPERLINK("https://xhslink.com/m/40qRbbXuXHQ", "https://xhslink.com/m/40qRbbXuXHQ")</f>
        <v>https://xhslink.com/m/40qRbbXuXHQ</v>
      </c>
      <c r="D2473"/>
      <c r="E2473">
        <v>41000</v>
      </c>
      <c r="F2473">
        <v>89</v>
      </c>
      <c r="G2473">
        <v>69</v>
      </c>
      <c r="H2473">
        <v>100</v>
      </c>
      <c r="I2473" t="inlineStr">
        <is>
          <t>面部色彩</t>
        </is>
      </c>
      <c r="J2473" t="inlineStr">
        <is>
          <t>0.00</t>
        </is>
      </c>
      <c r="K2473"/>
      <c r="L2473" t="inlineStr">
        <is>
          <t>FlowerKnows花知晓旗舰店</t>
        </is>
      </c>
      <c r="M2473">
        <v>696000</v>
      </c>
      <c r="N2473">
        <v>4.63</v>
      </c>
      <c r="O2473">
        <v>1019000</v>
      </c>
      <c r="P2473" t="inlineStr">
        <is>
          <t>64d9ccfb2af9910001e527b2</t>
        </is>
      </c>
      <c r="Q2473" t="inlineStr">
        <is>
          <t>🚫重复</t>
        </is>
      </c>
      <c r="R2473" t="inlineStr">
        <is>
          <t>14周</t>
        </is>
      </c>
      <c r="S2473" t="inlineStr">
        <is>
          <t>0.06</t>
        </is>
      </c>
      <c r="T2473" t="inlineStr">
        <is>
          <t>美妆个护</t>
        </is>
      </c>
      <c r="U2473" t="inlineStr">
        <is>
          <t>护肤彩妆</t>
        </is>
      </c>
      <c r="V2473" s="3">
        <v>46112.78107638889</v>
      </c>
      <c r="W2473" t="inlineStr">
        <is>
          <t>2026-Q1</t>
        </is>
      </c>
    </row>
    <row r="2474" ht="25.5" customHeight="1">
      <c r="A2474" t="inlineStr">
        <is>
          <t>INTOYOU · 【新品上市】水雾净感多用棒柔雾显色滋润保湿持久不脱色早八必备</t>
        </is>
      </c>
      <c r="B2474" t="inlineStr">
        <is>
          <t>recvdUN7QQpltP.jpg</t>
        </is>
      </c>
      <c r="C2474" s="2" t="str">
        <f>=HYPERLINK("https://xhslink.com/m/3TAXySuz9Gc", "https://xhslink.com/m/3TAXySuz9Gc")</f>
        <v>https://xhslink.com/m/3TAXySuz9Gc</v>
      </c>
      <c r="D2474"/>
      <c r="E2474">
        <v>13000</v>
      </c>
      <c r="F2474">
        <v>80</v>
      </c>
      <c r="G2474">
        <v>59</v>
      </c>
      <c r="H2474">
        <v>100</v>
      </c>
      <c r="I2474" t="inlineStr">
        <is>
          <t>面部色彩</t>
        </is>
      </c>
      <c r="J2474" t="inlineStr">
        <is>
          <t>0.01</t>
        </is>
      </c>
      <c r="K2474"/>
      <c r="L2474" t="inlineStr">
        <is>
          <t>INTO YOU心慕与你旗舰店</t>
        </is>
      </c>
      <c r="M2474">
        <v>275000</v>
      </c>
      <c r="N2474">
        <v>4.76</v>
      </c>
      <c r="O2474">
        <v>1409000</v>
      </c>
      <c r="P2474" t="inlineStr">
        <is>
          <t>68f59e0eb8a4f60001a13b50</t>
        </is>
      </c>
      <c r="Q2474" t="inlineStr">
        <is>
          <t>🚫重复</t>
        </is>
      </c>
      <c r="R2474" t="inlineStr">
        <is>
          <t>14周</t>
        </is>
      </c>
      <c r="S2474" t="inlineStr">
        <is>
          <t>0.05</t>
        </is>
      </c>
      <c r="T2474" t="inlineStr">
        <is>
          <t>美妆个护</t>
        </is>
      </c>
      <c r="U2474" t="inlineStr">
        <is>
          <t>护肤彩妆</t>
        </is>
      </c>
      <c r="V2474" s="3">
        <v>46112.78107638889</v>
      </c>
      <c r="W2474" t="inlineStr">
        <is>
          <t>2026-Q1</t>
        </is>
      </c>
    </row>
    <row r="2475" ht="25.5" customHeight="1">
      <c r="A2475" t="inlineStr">
        <is>
          <t>黑兔 · 裸色唇泥唇釉哑光雾面裸色裸棕裸粉口黑口棕平价口红</t>
        </is>
      </c>
      <c r="B2475" t="inlineStr">
        <is>
          <t>recvdUN7QQsxWk.jpg</t>
        </is>
      </c>
      <c r="C2475" s="2" t="str">
        <f>=HYPERLINK("https://xhslink.com/m/3XYb0FDejfx", "https://xhslink.com/m/3XYb0FDejfx")</f>
        <v>https://xhslink.com/m/3XYb0FDejfx</v>
      </c>
      <c r="D2475"/>
      <c r="E2475">
        <v>11000</v>
      </c>
      <c r="F2475">
        <v>59</v>
      </c>
      <c r="G2475">
        <v>49</v>
      </c>
      <c r="H2475">
        <v>100</v>
      </c>
      <c r="I2475" t="inlineStr">
        <is>
          <t>面部色彩</t>
        </is>
      </c>
      <c r="J2475" t="inlineStr">
        <is>
          <t>0.01</t>
        </is>
      </c>
      <c r="K2475"/>
      <c r="L2475" t="inlineStr">
        <is>
          <t>HYNTOOR黑兔旗舰店</t>
        </is>
      </c>
      <c r="M2475">
        <v>41000</v>
      </c>
      <c r="N2475">
        <v>4.68</v>
      </c>
      <c r="O2475">
        <v>101000</v>
      </c>
      <c r="P2475" t="inlineStr">
        <is>
          <t>6877946be019f20001fc2337</t>
        </is>
      </c>
      <c r="Q2475" t="inlineStr">
        <is>
          <t>🚫重复</t>
        </is>
      </c>
      <c r="R2475" t="inlineStr">
        <is>
          <t>14周</t>
        </is>
      </c>
      <c r="S2475" t="inlineStr">
        <is>
          <t>0.27</t>
        </is>
      </c>
      <c r="T2475" t="inlineStr">
        <is>
          <t>美妆个护</t>
        </is>
      </c>
      <c r="U2475" t="inlineStr">
        <is>
          <t>护肤彩妆</t>
        </is>
      </c>
      <c r="V2475" s="3">
        <v>46112.78107638889</v>
      </c>
      <c r="W2475" t="inlineStr">
        <is>
          <t>2026-Q1</t>
        </is>
      </c>
    </row>
    <row r="2476" ht="25.5" customHeight="1">
      <c r="A2476" t="inlineStr">
        <is>
          <t>毛戈平 · 【陈丽君同款】塑形晶彩四色眼影盘新款哑光亮片多功能大地色</t>
        </is>
      </c>
      <c r="B2476" t="inlineStr">
        <is>
          <t>recvdUN7QQ9OBZ.jpg</t>
        </is>
      </c>
      <c r="C2476" s="2" t="str">
        <f>=HYPERLINK("https://xhslink.com/m/Z1a5JHNrIb", "https://xhslink.com/m/Z1a5JHNrIb")</f>
        <v>https://xhslink.com/m/Z1a5JHNrIb</v>
      </c>
      <c r="D2476"/>
      <c r="E2476">
        <v>4857</v>
      </c>
      <c r="F2476">
        <v>400</v>
      </c>
      <c r="G2476">
        <v>350</v>
      </c>
      <c r="H2476">
        <v>100</v>
      </c>
      <c r="I2476" t="inlineStr">
        <is>
          <t>面部色彩</t>
        </is>
      </c>
      <c r="J2476" t="inlineStr">
        <is>
          <t>0.02</t>
        </is>
      </c>
      <c r="K2476"/>
      <c r="L2476" t="inlineStr">
        <is>
          <t>毛戈平美妆官方旗舰店</t>
        </is>
      </c>
      <c r="M2476">
        <v>1042000</v>
      </c>
      <c r="N2476">
        <v>4.66</v>
      </c>
      <c r="O2476">
        <v>466000</v>
      </c>
      <c r="P2476" t="inlineStr">
        <is>
          <t>65dc5a967ec2d8000103d1ca</t>
        </is>
      </c>
      <c r="Q2476" t="inlineStr">
        <is>
          <t>🚫重复</t>
        </is>
      </c>
      <c r="R2476" t="inlineStr">
        <is>
          <t>14周</t>
        </is>
      </c>
      <c r="S2476" t="inlineStr">
        <is>
          <t>0.00</t>
        </is>
      </c>
      <c r="T2476" t="inlineStr">
        <is>
          <t>美妆个护</t>
        </is>
      </c>
      <c r="U2476" t="inlineStr">
        <is>
          <t>护肤彩妆</t>
        </is>
      </c>
      <c r="V2476" s="3">
        <v>46112.78107638889</v>
      </c>
      <c r="W2476" t="inlineStr">
        <is>
          <t>2026-Q1</t>
        </is>
      </c>
    </row>
    <row r="2477" ht="25.5" customHeight="1">
      <c r="A2477" t="inlineStr">
        <is>
          <t>Cherry Garden · 新手cos必备！万能实用眼影盘 CG且逸彩色眼影自组盘持久防水平价</t>
        </is>
      </c>
      <c r="B2477" t="inlineStr">
        <is>
          <t>recvdUN7QQ5sf1.jpg</t>
        </is>
      </c>
      <c r="C2477" s="2" t="str">
        <f>=HYPERLINK("https://xhslink.com/m/86QcRSEAA84", "https://xhslink.com/m/86QcRSEAA84")</f>
        <v>https://xhslink.com/m/86QcRSEAA84</v>
      </c>
      <c r="D2477"/>
      <c r="E2477">
        <v>1593</v>
      </c>
      <c r="F2477">
        <v>42.9</v>
      </c>
      <c r="G2477"/>
      <c r="H2477">
        <v>100</v>
      </c>
      <c r="I2477" t="inlineStr">
        <is>
          <t>面部色彩</t>
        </is>
      </c>
      <c r="J2477" t="inlineStr">
        <is>
          <t>0.06</t>
        </is>
      </c>
      <c r="K2477"/>
      <c r="L2477" t="inlineStr">
        <is>
          <t>Cherry Garden且逸旗舰店</t>
        </is>
      </c>
      <c r="M2477">
        <v>15000</v>
      </c>
      <c r="N2477">
        <v>4.5</v>
      </c>
      <c r="O2477">
        <v>60000</v>
      </c>
      <c r="P2477" t="inlineStr">
        <is>
          <t>691c4e4ece3eb500015dfc89</t>
        </is>
      </c>
      <c r="Q2477"/>
      <c r="R2477" t="inlineStr">
        <is>
          <t>14周</t>
        </is>
      </c>
      <c r="S2477" t="inlineStr">
        <is>
          <t>0.11</t>
        </is>
      </c>
      <c r="T2477" t="inlineStr">
        <is>
          <t>美妆个护</t>
        </is>
      </c>
      <c r="U2477" t="inlineStr">
        <is>
          <t>护肤彩妆</t>
        </is>
      </c>
      <c r="V2477" s="3">
        <v>46112.78107638889</v>
      </c>
      <c r="W2477" t="inlineStr">
        <is>
          <t>2026-Q1</t>
        </is>
      </c>
    </row>
    <row r="2478" ht="25.5" customHeight="1">
      <c r="A2478" t="inlineStr">
        <is>
          <t>花知晓 · 邦尼花园系列冻干腮红浮雕哑光缎光柔润细腻易显色</t>
        </is>
      </c>
      <c r="B2478" t="inlineStr">
        <is>
          <t>recvdUN7QQsnpm.jpg</t>
        </is>
      </c>
      <c r="C2478" s="2" t="str">
        <f>=HYPERLINK("https://xhslink.com/m/3Pzy86HKyMk", "https://xhslink.com/m/3Pzy86HKyMk")</f>
        <v>https://xhslink.com/m/3Pzy86HKyMk</v>
      </c>
      <c r="D2478"/>
      <c r="E2478">
        <v>2213</v>
      </c>
      <c r="F2478">
        <v>99</v>
      </c>
      <c r="G2478">
        <v>79</v>
      </c>
      <c r="H2478">
        <v>100</v>
      </c>
      <c r="I2478" t="inlineStr">
        <is>
          <t>面部色彩</t>
        </is>
      </c>
      <c r="J2478" t="inlineStr">
        <is>
          <t>0.05</t>
        </is>
      </c>
      <c r="K2478"/>
      <c r="L2478" t="inlineStr">
        <is>
          <t>FlowerKnows花知晓旗舰店</t>
        </is>
      </c>
      <c r="M2478">
        <v>696000</v>
      </c>
      <c r="N2478">
        <v>4.63</v>
      </c>
      <c r="O2478">
        <v>1019000</v>
      </c>
      <c r="P2478" t="inlineStr">
        <is>
          <t>6954eb3bc43df900018d0869</t>
        </is>
      </c>
      <c r="Q2478" t="inlineStr">
        <is>
          <t>🚫重复</t>
        </is>
      </c>
      <c r="R2478" t="inlineStr">
        <is>
          <t>14周</t>
        </is>
      </c>
      <c r="S2478" t="inlineStr">
        <is>
          <t>0.00</t>
        </is>
      </c>
      <c r="T2478" t="inlineStr">
        <is>
          <t>美妆个护</t>
        </is>
      </c>
      <c r="U2478" t="inlineStr">
        <is>
          <t>护肤彩妆</t>
        </is>
      </c>
      <c r="V2478" s="3">
        <v>46112.78107638889</v>
      </c>
      <c r="W2478" t="inlineStr">
        <is>
          <t>2026-Q1</t>
        </is>
      </c>
    </row>
    <row r="2479" ht="25.5" customHeight="1">
      <c r="A2479" t="inlineStr">
        <is>
          <t>今天礼拜天原创设计痛包lolita女托特少女缎带大容量丝带单肩包包</t>
        </is>
      </c>
      <c r="B2479" t="inlineStr">
        <is>
          <t>recvdUN7QQQfon.jpg</t>
        </is>
      </c>
      <c r="C2479" s="2" t="str">
        <f>=HYPERLINK("https://xhslink.com/m/3QNDnrmck7Y", "https://xhslink.com/m/3QNDnrmck7Y")</f>
        <v>https://xhslink.com/m/3QNDnrmck7Y</v>
      </c>
      <c r="D2479"/>
      <c r="E2479">
        <v>17000</v>
      </c>
      <c r="F2479">
        <v>58.9</v>
      </c>
      <c r="G2479"/>
      <c r="H2479">
        <v>100</v>
      </c>
      <c r="I2479" t="inlineStr">
        <is>
          <t>包包</t>
        </is>
      </c>
      <c r="J2479" t="inlineStr">
        <is>
          <t>0.01</t>
        </is>
      </c>
      <c r="K2479"/>
      <c r="L2479" t="inlineStr">
        <is>
          <t>今天礼拜天原创设计的店</t>
        </is>
      </c>
      <c r="M2479">
        <v>143000</v>
      </c>
      <c r="N2479">
        <v>4.49</v>
      </c>
      <c r="O2479">
        <v>82000</v>
      </c>
      <c r="P2479" t="inlineStr">
        <is>
          <t>67a5a169f4d6570001bd40f5</t>
        </is>
      </c>
      <c r="Q2479"/>
      <c r="R2479" t="inlineStr">
        <is>
          <t>14周</t>
        </is>
      </c>
      <c r="S2479" t="inlineStr">
        <is>
          <t>0.12</t>
        </is>
      </c>
      <c r="T2479" t="inlineStr">
        <is>
          <t>服饰穿搭</t>
        </is>
      </c>
      <c r="U2479" t="inlineStr">
        <is>
          <t>鞋靴箱包</t>
        </is>
      </c>
      <c r="V2479" s="3">
        <v>46112.78107638889</v>
      </c>
      <c r="W2479" t="inlineStr">
        <is>
          <t>2026-Q1</t>
        </is>
      </c>
    </row>
    <row r="2480" ht="25.5" customHeight="1">
      <c r="A2480" t="inlineStr">
        <is>
          <t>酒姨Juuye香槟手工星星编织托特包高级大容量通勤手提水桶单肩包</t>
        </is>
      </c>
      <c r="B2480" t="inlineStr">
        <is>
          <t>recvdUN7QQMvYJ.jpg</t>
        </is>
      </c>
      <c r="C2480" s="2" t="str">
        <f>=HYPERLINK("https://xhslink.com/m/7CUS2SuMmmR", "https://xhslink.com/m/7CUS2SuMmmR")</f>
        <v>https://xhslink.com/m/7CUS2SuMmmR</v>
      </c>
      <c r="D2480"/>
      <c r="E2480">
        <v>1595</v>
      </c>
      <c r="F2480">
        <v>179</v>
      </c>
      <c r="G2480">
        <v>149</v>
      </c>
      <c r="H2480">
        <v>100</v>
      </c>
      <c r="I2480" t="inlineStr">
        <is>
          <t>包包</t>
        </is>
      </c>
      <c r="J2480" t="inlineStr">
        <is>
          <t>0.06</t>
        </is>
      </c>
      <c r="K2480" t="inlineStr">
        <is>
          <t>🔥低粉爆款</t>
        </is>
      </c>
      <c r="L2480" t="inlineStr">
        <is>
          <t>酒姨Juuye的店</t>
        </is>
      </c>
      <c r="M2480">
        <v>412</v>
      </c>
      <c r="N2480">
        <v>4.47</v>
      </c>
      <c r="O2480">
        <v>2044</v>
      </c>
      <c r="P2480" t="inlineStr">
        <is>
          <t>67ebd51fae4ae00001dd46cc</t>
        </is>
      </c>
      <c r="Q2480" t="inlineStr">
        <is>
          <t>🚫重复</t>
        </is>
      </c>
      <c r="R2480" t="inlineStr">
        <is>
          <t>14周</t>
        </is>
      </c>
      <c r="S2480" t="inlineStr">
        <is>
          <t>3.87</t>
        </is>
      </c>
      <c r="T2480" t="inlineStr">
        <is>
          <t>服饰穿搭</t>
        </is>
      </c>
      <c r="U2480" t="inlineStr">
        <is>
          <t>鞋靴箱包</t>
        </is>
      </c>
      <c r="V2480" s="3">
        <v>46112.78107638889</v>
      </c>
      <c r="W2480" t="inlineStr">
        <is>
          <t>2026-Q1</t>
        </is>
      </c>
    </row>
    <row r="2481" ht="25.5" customHeight="1">
      <c r="A2481" t="inlineStr">
        <is>
          <t>钱一波 · 原创设计制服痛包单肩追星大食量学生日常斜挎大容量双肩包</t>
        </is>
      </c>
      <c r="B2481" t="inlineStr">
        <is>
          <t>recvdUN7QQLsab.jpg</t>
        </is>
      </c>
      <c r="C2481" s="2" t="str">
        <f>=HYPERLINK("https://xhslink.com/m/71AL9cHSm2m", "https://xhslink.com/m/71AL9cHSm2m")</f>
        <v>https://xhslink.com/m/71AL9cHSm2m</v>
      </c>
      <c r="D2481"/>
      <c r="E2481">
        <v>13000</v>
      </c>
      <c r="F2481">
        <v>69.9</v>
      </c>
      <c r="G2481"/>
      <c r="H2481">
        <v>100</v>
      </c>
      <c r="I2481" t="inlineStr">
        <is>
          <t>包包</t>
        </is>
      </c>
      <c r="J2481" t="inlineStr">
        <is>
          <t>0.01</t>
        </is>
      </c>
      <c r="K2481"/>
      <c r="L2481" t="inlineStr">
        <is>
          <t>钱一波的痛包的店</t>
        </is>
      </c>
      <c r="M2481">
        <v>280000</v>
      </c>
      <c r="N2481">
        <v>4.5</v>
      </c>
      <c r="O2481">
        <v>195000</v>
      </c>
      <c r="P2481" t="inlineStr">
        <is>
          <t>67ab08c0b032e30001272ec0</t>
        </is>
      </c>
      <c r="Q2481" t="inlineStr">
        <is>
          <t>🚫重复</t>
        </is>
      </c>
      <c r="R2481" t="inlineStr">
        <is>
          <t>14周</t>
        </is>
      </c>
      <c r="S2481" t="inlineStr">
        <is>
          <t>0.05</t>
        </is>
      </c>
      <c r="T2481" t="inlineStr">
        <is>
          <t>服饰穿搭</t>
        </is>
      </c>
      <c r="U2481" t="inlineStr">
        <is>
          <t>鞋靴箱包</t>
        </is>
      </c>
      <c r="V2481" s="3">
        <v>46112.78107638889</v>
      </c>
      <c r="W2481" t="inlineStr">
        <is>
          <t>2026-Q1</t>
        </is>
      </c>
    </row>
    <row r="2482" ht="25.5" customHeight="1">
      <c r="A2482" t="inlineStr">
        <is>
          <t>日系ins清新纯色百搭书包休闲校园初中高中生双肩包轻便上课背包</t>
        </is>
      </c>
      <c r="B2482" t="inlineStr">
        <is>
          <t>recvdUN7QQOOlp.jpg</t>
        </is>
      </c>
      <c r="C2482" s="2" t="str">
        <f>=HYPERLINK("https://xhslink.com/m/5ieyTMcP7px", "https://xhslink.com/m/5ieyTMcP7px")</f>
        <v>https://xhslink.com/m/5ieyTMcP7px</v>
      </c>
      <c r="D2482"/>
      <c r="E2482">
        <v>7779</v>
      </c>
      <c r="F2482">
        <v>38.8</v>
      </c>
      <c r="G2482"/>
      <c r="H2482">
        <v>100</v>
      </c>
      <c r="I2482" t="inlineStr">
        <is>
          <t>包包</t>
        </is>
      </c>
      <c r="J2482" t="inlineStr">
        <is>
          <t>0.01</t>
        </is>
      </c>
      <c r="K2482"/>
      <c r="L2482" t="inlineStr">
        <is>
          <t>酱酱包的店</t>
        </is>
      </c>
      <c r="M2482">
        <v>2707</v>
      </c>
      <c r="N2482">
        <v>4.58</v>
      </c>
      <c r="O2482">
        <v>15000</v>
      </c>
      <c r="P2482" t="inlineStr">
        <is>
          <t>6829fe4a0e1038000130956c</t>
        </is>
      </c>
      <c r="Q2482"/>
      <c r="R2482" t="inlineStr">
        <is>
          <t>14周</t>
        </is>
      </c>
      <c r="S2482" t="inlineStr">
        <is>
          <t>2.87</t>
        </is>
      </c>
      <c r="T2482" t="inlineStr">
        <is>
          <t>服饰穿搭</t>
        </is>
      </c>
      <c r="U2482" t="inlineStr">
        <is>
          <t>鞋靴箱包</t>
        </is>
      </c>
      <c r="V2482" s="3">
        <v>46112.78107638889</v>
      </c>
      <c r="W2482" t="inlineStr">
        <is>
          <t>2026-Q1</t>
        </is>
      </c>
    </row>
    <row r="2483" ht="25.5" customHeight="1">
      <c r="A2483" t="inlineStr">
        <is>
          <t>韩国新款单肩斜挎包PU皮长肩带大容量托特包女手提通勤</t>
        </is>
      </c>
      <c r="B2483" t="inlineStr">
        <is>
          <t>recvdUN7QQD6JR.jpg</t>
        </is>
      </c>
      <c r="C2483" s="2" t="str">
        <f>=HYPERLINK("https://xhslink.com/m/5mqvK1xkz1p", "https://xhslink.com/m/5mqvK1xkz1p")</f>
        <v>https://xhslink.com/m/5mqvK1xkz1p</v>
      </c>
      <c r="D2483"/>
      <c r="E2483">
        <v>3260</v>
      </c>
      <c r="F2483">
        <v>189</v>
      </c>
      <c r="G2483">
        <v>149</v>
      </c>
      <c r="H2483">
        <v>100</v>
      </c>
      <c r="I2483" t="inlineStr">
        <is>
          <t>包包</t>
        </is>
      </c>
      <c r="J2483" t="inlineStr">
        <is>
          <t>0.03</t>
        </is>
      </c>
      <c r="K2483"/>
      <c r="L2483" t="inlineStr">
        <is>
          <t>小韩妮子的店</t>
        </is>
      </c>
      <c r="M2483">
        <v>12000</v>
      </c>
      <c r="N2483">
        <v>4.64</v>
      </c>
      <c r="O2483">
        <v>31000</v>
      </c>
      <c r="P2483" t="inlineStr">
        <is>
          <t>68cf6760c72840000116ea25</t>
        </is>
      </c>
      <c r="Q2483" t="inlineStr">
        <is>
          <t>🚫重复</t>
        </is>
      </c>
      <c r="R2483" t="inlineStr">
        <is>
          <t>14周</t>
        </is>
      </c>
      <c r="S2483" t="inlineStr">
        <is>
          <t>0.27</t>
        </is>
      </c>
      <c r="T2483" t="inlineStr">
        <is>
          <t>服饰穿搭</t>
        </is>
      </c>
      <c r="U2483" t="inlineStr">
        <is>
          <t>鞋靴箱包</t>
        </is>
      </c>
      <c r="V2483" s="3">
        <v>46112.78107638889</v>
      </c>
      <c r="W2483" t="inlineStr">
        <is>
          <t>2026-Q1</t>
        </is>
      </c>
    </row>
    <row r="2484" ht="25.5" customHeight="1">
      <c r="A2484" t="inlineStr">
        <is>
          <t>软糖派对包包定制DIY可藏支架灯牌痛包</t>
        </is>
      </c>
      <c r="B2484" t="inlineStr">
        <is>
          <t>recvdUN7QQ0ebT.jpg</t>
        </is>
      </c>
      <c r="C2484" s="2" t="str">
        <f>=HYPERLINK("https://xhslink.com/m/QiLxlSw9Nu", "https://xhslink.com/m/QiLxlSw9Nu")</f>
        <v>https://xhslink.com/m/QiLxlSw9Nu</v>
      </c>
      <c r="D2484"/>
      <c r="E2484">
        <v>5777</v>
      </c>
      <c r="F2484">
        <v>198</v>
      </c>
      <c r="G2484">
        <v>158</v>
      </c>
      <c r="H2484">
        <v>100</v>
      </c>
      <c r="I2484" t="inlineStr">
        <is>
          <t>包包</t>
        </is>
      </c>
      <c r="J2484" t="inlineStr">
        <is>
          <t>0.02</t>
        </is>
      </c>
      <c r="K2484"/>
      <c r="L2484" t="inlineStr">
        <is>
          <t>麻薯椰奶冻的店</t>
        </is>
      </c>
      <c r="M2484">
        <v>13000</v>
      </c>
      <c r="N2484">
        <v>4.6</v>
      </c>
      <c r="O2484">
        <v>50000</v>
      </c>
      <c r="P2484" t="inlineStr">
        <is>
          <t>683d8d04f078780001f941b2</t>
        </is>
      </c>
      <c r="Q2484"/>
      <c r="R2484" t="inlineStr">
        <is>
          <t>14周</t>
        </is>
      </c>
      <c r="S2484" t="inlineStr">
        <is>
          <t>0.44</t>
        </is>
      </c>
      <c r="T2484" t="inlineStr">
        <is>
          <t>服饰穿搭</t>
        </is>
      </c>
      <c r="U2484" t="inlineStr">
        <is>
          <t>鞋靴箱包</t>
        </is>
      </c>
      <c r="V2484" s="3">
        <v>46112.78107638889</v>
      </c>
      <c r="W2484" t="inlineStr">
        <is>
          <t>2026-Q1</t>
        </is>
      </c>
    </row>
    <row r="2485" ht="25.5" customHeight="1">
      <c r="A2485" t="inlineStr">
        <is>
          <t>Eeeecooll · 豹纹灯芯绒单肩慵懒帆布包</t>
        </is>
      </c>
      <c r="B2485" t="inlineStr">
        <is>
          <t>recvdUN7QQOvax.jpg</t>
        </is>
      </c>
      <c r="C2485" s="2" t="str">
        <f>=HYPERLINK("https://xhslink.com/m/6FQN9ofJd61", "https://xhslink.com/m/6FQN9ofJd61")</f>
        <v>https://xhslink.com/m/6FQN9ofJd61</v>
      </c>
      <c r="D2485"/>
      <c r="E2485">
        <v>1969</v>
      </c>
      <c r="F2485">
        <v>159</v>
      </c>
      <c r="G2485"/>
      <c r="H2485">
        <v>100</v>
      </c>
      <c r="I2485" t="inlineStr">
        <is>
          <t>包包</t>
        </is>
      </c>
      <c r="J2485" t="inlineStr">
        <is>
          <t>0.05</t>
        </is>
      </c>
      <c r="K2485" t="inlineStr">
        <is>
          <t>🔥低粉爆款</t>
        </is>
      </c>
      <c r="L2485" t="inlineStr">
        <is>
          <t>Eeeecooll的店</t>
        </is>
      </c>
      <c r="M2485">
        <v>570</v>
      </c>
      <c r="N2485">
        <v>4.54</v>
      </c>
      <c r="O2485">
        <v>27000</v>
      </c>
      <c r="P2485" t="inlineStr">
        <is>
          <t>685b8d427590770001a5b213</t>
        </is>
      </c>
      <c r="Q2485"/>
      <c r="R2485" t="inlineStr">
        <is>
          <t>14周</t>
        </is>
      </c>
      <c r="S2485" t="inlineStr">
        <is>
          <t>3.45</t>
        </is>
      </c>
      <c r="T2485" t="inlineStr">
        <is>
          <t>服饰穿搭</t>
        </is>
      </c>
      <c r="U2485" t="inlineStr">
        <is>
          <t>鞋靴箱包</t>
        </is>
      </c>
      <c r="V2485" s="3">
        <v>46112.78107638889</v>
      </c>
      <c r="W2485" t="inlineStr">
        <is>
          <t>2026-Q1</t>
        </is>
      </c>
    </row>
    <row r="2486" ht="25.5" customHeight="1">
      <c r="A2486" t="inlineStr">
        <is>
          <t>【发财家爆款】AS流浪包 韩系爆款单肩包Y2K辣妹风 通勤包托特</t>
        </is>
      </c>
      <c r="B2486" t="inlineStr">
        <is>
          <t>recvdUN7QQfsYO.jpg</t>
        </is>
      </c>
      <c r="C2486" s="2" t="str">
        <f>=HYPERLINK("https://xhslink.com/m/2wq0UlGap6l", "https://xhslink.com/m/2wq0UlGap6l")</f>
        <v>https://xhslink.com/m/2wq0UlGap6l</v>
      </c>
      <c r="D2486"/>
      <c r="E2486">
        <v>789</v>
      </c>
      <c r="F2486">
        <v>148</v>
      </c>
      <c r="G2486"/>
      <c r="H2486">
        <v>100</v>
      </c>
      <c r="I2486" t="inlineStr">
        <is>
          <t>包包</t>
        </is>
      </c>
      <c r="J2486" t="inlineStr">
        <is>
          <t>0.13</t>
        </is>
      </c>
      <c r="K2486"/>
      <c r="L2486" t="inlineStr">
        <is>
          <t>OOTADAY的店</t>
        </is>
      </c>
      <c r="M2486">
        <v>1276</v>
      </c>
      <c r="N2486">
        <v>4.46</v>
      </c>
      <c r="O2486">
        <v>1709</v>
      </c>
      <c r="P2486" t="inlineStr">
        <is>
          <t>68d9280e7d3b3f0001b90971</t>
        </is>
      </c>
      <c r="Q2486"/>
      <c r="R2486" t="inlineStr">
        <is>
          <t>14周</t>
        </is>
      </c>
      <c r="S2486" t="inlineStr">
        <is>
          <t>0.62</t>
        </is>
      </c>
      <c r="T2486" t="inlineStr">
        <is>
          <t>服饰穿搭</t>
        </is>
      </c>
      <c r="U2486" t="inlineStr">
        <is>
          <t>鞋靴箱包</t>
        </is>
      </c>
      <c r="V2486" s="3">
        <v>46112.78107638889</v>
      </c>
      <c r="W2486" t="inlineStr">
        <is>
          <t>2026-Q1</t>
        </is>
      </c>
    </row>
    <row r="2487" ht="25.5" customHeight="1">
      <c r="A2487" t="inlineStr">
        <is>
          <t>infan 天使肌肤~v领扭结长袖t恤女显瘦上衣舒适面膜Tee</t>
        </is>
      </c>
      <c r="B2487" t="inlineStr">
        <is>
          <t>recvdWIhrwwgcl.jpg</t>
        </is>
      </c>
      <c r="C2487" s="2" t="str">
        <f>=HYPERLINK("https://xhslink.com/m/7gkuvixfVTa", "https://xhslink.com/m/7gkuvixfVTa")</f>
        <v>https://xhslink.com/m/7gkuvixfVTa</v>
      </c>
      <c r="D2487"/>
      <c r="E2487">
        <v>20000</v>
      </c>
      <c r="F2487">
        <v>69</v>
      </c>
      <c r="G2487"/>
      <c r="H2487">
        <v>100</v>
      </c>
      <c r="I2487" t="inlineStr">
        <is>
          <t>T恤</t>
        </is>
      </c>
      <c r="J2487" t="inlineStr">
        <is>
          <t>0.01</t>
        </is>
      </c>
      <c r="K2487"/>
      <c r="L2487" t="inlineStr">
        <is>
          <t>infan的店</t>
        </is>
      </c>
      <c r="M2487">
        <v>80000</v>
      </c>
      <c r="N2487">
        <v>4.5</v>
      </c>
      <c r="O2487">
        <v>631000</v>
      </c>
      <c r="P2487" t="inlineStr">
        <is>
          <t>695390addd18440001324946</t>
        </is>
      </c>
      <c r="Q2487" t="inlineStr">
        <is>
          <t>🚫重复</t>
        </is>
      </c>
      <c r="R2487" t="inlineStr">
        <is>
          <t>14周</t>
        </is>
      </c>
      <c r="S2487" t="inlineStr">
        <is>
          <t>0.25</t>
        </is>
      </c>
      <c r="T2487" t="inlineStr">
        <is>
          <t>服饰穿搭</t>
        </is>
      </c>
      <c r="U2487" t="inlineStr">
        <is>
          <t>女装</t>
        </is>
      </c>
      <c r="V2487" s="3">
        <v>46112.78107638889</v>
      </c>
      <c r="W2487" t="inlineStr">
        <is>
          <t>2026-Q1</t>
        </is>
      </c>
    </row>
    <row r="2488" ht="25.5" customHeight="1">
      <c r="A2488" t="inlineStr">
        <is>
          <t>韩系秋冬新款爆款条纹磨毛长袖T恤</t>
        </is>
      </c>
      <c r="B2488" t="inlineStr">
        <is>
          <t>recvdWIhrwg9Op.jpg</t>
        </is>
      </c>
      <c r="C2488" s="2" t="str">
        <f>=HYPERLINK("https://xhslink.com/m/2vLvdHCifv3", "https://xhslink.com/m/2vLvdHCifv3")</f>
        <v>https://xhslink.com/m/2vLvdHCifv3</v>
      </c>
      <c r="D2488"/>
      <c r="E2488">
        <v>14000</v>
      </c>
      <c r="F2488">
        <v>49.9</v>
      </c>
      <c r="G2488">
        <v>29.9</v>
      </c>
      <c r="H2488">
        <v>100</v>
      </c>
      <c r="I2488" t="inlineStr">
        <is>
          <t>T恤</t>
        </is>
      </c>
      <c r="J2488" t="inlineStr">
        <is>
          <t>0.01</t>
        </is>
      </c>
      <c r="K2488" t="inlineStr">
        <is>
          <t>🔥低粉爆款</t>
        </is>
      </c>
      <c r="L2488" t="inlineStr">
        <is>
          <t>胖咩咩的懒喵的店</t>
        </is>
      </c>
      <c r="M2488">
        <v>835</v>
      </c>
      <c r="N2488">
        <v>4.47</v>
      </c>
      <c r="O2488">
        <v>18000</v>
      </c>
      <c r="P2488" t="inlineStr">
        <is>
          <t>68d165242b043700011edceb</t>
        </is>
      </c>
      <c r="Q2488" t="inlineStr">
        <is>
          <t>🚫重复</t>
        </is>
      </c>
      <c r="R2488" t="inlineStr">
        <is>
          <t>14周</t>
        </is>
      </c>
      <c r="S2488" t="inlineStr">
        <is>
          <t>16.77</t>
        </is>
      </c>
      <c r="T2488" t="inlineStr">
        <is>
          <t>服饰穿搭</t>
        </is>
      </c>
      <c r="U2488" t="inlineStr">
        <is>
          <t>女装</t>
        </is>
      </c>
      <c r="V2488" s="3">
        <v>46112.78107638889</v>
      </c>
      <c r="W2488" t="inlineStr">
        <is>
          <t>2026-Q1</t>
        </is>
      </c>
    </row>
    <row r="2489" ht="25.5" customHeight="1">
      <c r="A2489" t="inlineStr">
        <is>
          <t>米尼尼 简约气质亨利领设计感半袖T恤</t>
        </is>
      </c>
      <c r="B2489" t="inlineStr">
        <is>
          <t>recvdWIhrw4yYm.jpg</t>
        </is>
      </c>
      <c r="C2489" s="2" t="str">
        <f>=HYPERLINK("https://xhslink.com/m/8c6KxmnA5Zm", "https://xhslink.com/m/8c6KxmnA5Zm")</f>
        <v>https://xhslink.com/m/8c6KxmnA5Zm</v>
      </c>
      <c r="D2489"/>
      <c r="E2489">
        <v>8319</v>
      </c>
      <c r="F2489">
        <v>55.9</v>
      </c>
      <c r="G2489">
        <v>45.9</v>
      </c>
      <c r="H2489">
        <v>100</v>
      </c>
      <c r="I2489" t="inlineStr">
        <is>
          <t>T恤</t>
        </is>
      </c>
      <c r="J2489" t="inlineStr">
        <is>
          <t>0.01</t>
        </is>
      </c>
      <c r="K2489"/>
      <c r="L2489" t="inlineStr">
        <is>
          <t>米尼尼studio的店</t>
        </is>
      </c>
      <c r="M2489">
        <v>483000</v>
      </c>
      <c r="N2489">
        <v>4.5</v>
      </c>
      <c r="O2489">
        <v>580000</v>
      </c>
      <c r="P2489" t="inlineStr">
        <is>
          <t>689f01eb5e17a70001f99051</t>
        </is>
      </c>
      <c r="Q2489" t="inlineStr">
        <is>
          <t>🚫重复</t>
        </is>
      </c>
      <c r="R2489" t="inlineStr">
        <is>
          <t>14周</t>
        </is>
      </c>
      <c r="S2489" t="inlineStr">
        <is>
          <t>0.02</t>
        </is>
      </c>
      <c r="T2489" t="inlineStr">
        <is>
          <t>服饰穿搭</t>
        </is>
      </c>
      <c r="U2489" t="inlineStr">
        <is>
          <t>女装</t>
        </is>
      </c>
      <c r="V2489" s="3">
        <v>46112.78107638889</v>
      </c>
      <c r="W2489" t="inlineStr">
        <is>
          <t>2026-Q1</t>
        </is>
      </c>
    </row>
    <row r="2490" ht="25.5" customHeight="1">
      <c r="A2490" t="inlineStr">
        <is>
          <t>美式重磅纯棉短袖t恤女夏季新款宽松卡通ins国潮牌小众半袖上衣</t>
        </is>
      </c>
      <c r="B2490" t="inlineStr">
        <is>
          <t>recvdWIhrwGJV4.jpg</t>
        </is>
      </c>
      <c r="C2490" s="2" t="str">
        <f>=HYPERLINK("https://xhslink.com/m/7TS0INemUdy", "https://xhslink.com/m/7TS0INemUdy")</f>
        <v>https://xhslink.com/m/7TS0INemUdy</v>
      </c>
      <c r="D2490"/>
      <c r="E2490">
        <v>4020</v>
      </c>
      <c r="F2490">
        <v>30.8</v>
      </c>
      <c r="G2490">
        <v>28.8</v>
      </c>
      <c r="H2490">
        <v>100</v>
      </c>
      <c r="I2490" t="inlineStr">
        <is>
          <t>T恤</t>
        </is>
      </c>
      <c r="J2490" t="inlineStr">
        <is>
          <t>0.02</t>
        </is>
      </c>
      <c r="K2490"/>
      <c r="L2490" t="inlineStr">
        <is>
          <t>XIAO詹原创工作室的店</t>
        </is>
      </c>
      <c r="M2490">
        <v>532000</v>
      </c>
      <c r="N2490">
        <v>4.52</v>
      </c>
      <c r="O2490">
        <v>1829000</v>
      </c>
      <c r="P2490" t="inlineStr">
        <is>
          <t>67c852d297592600010d942c</t>
        </is>
      </c>
      <c r="Q2490" t="inlineStr">
        <is>
          <t>🚫重复</t>
        </is>
      </c>
      <c r="R2490" t="inlineStr">
        <is>
          <t>14周</t>
        </is>
      </c>
      <c r="S2490" t="inlineStr">
        <is>
          <t>0.01</t>
        </is>
      </c>
      <c r="T2490" t="inlineStr">
        <is>
          <t>服饰穿搭</t>
        </is>
      </c>
      <c r="U2490" t="inlineStr">
        <is>
          <t>女装</t>
        </is>
      </c>
      <c r="V2490" s="3">
        <v>46112.78107638889</v>
      </c>
      <c r="W2490" t="inlineStr">
        <is>
          <t>2026-Q1</t>
        </is>
      </c>
    </row>
    <row r="2491" ht="25.5" customHeight="1">
      <c r="A2491" t="inlineStr">
        <is>
          <t>米尼尼 纯欲风微透修身v领正肩短袖T恤</t>
        </is>
      </c>
      <c r="B2491" t="inlineStr">
        <is>
          <t>recvdWIhrwrG7q.jpg</t>
        </is>
      </c>
      <c r="C2491" s="2" t="str">
        <f>=HYPERLINK("https://xhslink.com/m/6fVgM1Q0BKv", "https://xhslink.com/m/6fVgM1Q0BKv")</f>
        <v>https://xhslink.com/m/6fVgM1Q0BKv</v>
      </c>
      <c r="D2491"/>
      <c r="E2491">
        <v>6490</v>
      </c>
      <c r="F2491">
        <v>55.9</v>
      </c>
      <c r="G2491">
        <v>45.9</v>
      </c>
      <c r="H2491">
        <v>100</v>
      </c>
      <c r="I2491" t="inlineStr">
        <is>
          <t>T恤</t>
        </is>
      </c>
      <c r="J2491" t="inlineStr">
        <is>
          <t>0.02</t>
        </is>
      </c>
      <c r="K2491"/>
      <c r="L2491" t="inlineStr">
        <is>
          <t>米尼尼studio的店</t>
        </is>
      </c>
      <c r="M2491">
        <v>483000</v>
      </c>
      <c r="N2491">
        <v>4.5</v>
      </c>
      <c r="O2491">
        <v>580000</v>
      </c>
      <c r="P2491" t="inlineStr">
        <is>
          <t>6817872a46684b000191a6ea</t>
        </is>
      </c>
      <c r="Q2491" t="inlineStr">
        <is>
          <t>🚫重复</t>
        </is>
      </c>
      <c r="R2491" t="inlineStr">
        <is>
          <t>14周</t>
        </is>
      </c>
      <c r="S2491" t="inlineStr">
        <is>
          <t>0.01</t>
        </is>
      </c>
      <c r="T2491" t="inlineStr">
        <is>
          <t>服饰穿搭</t>
        </is>
      </c>
      <c r="U2491" t="inlineStr">
        <is>
          <t>女装</t>
        </is>
      </c>
      <c r="V2491" s="3">
        <v>46112.78107638889</v>
      </c>
      <c r="W2491" t="inlineStr">
        <is>
          <t>2026-Q1</t>
        </is>
      </c>
    </row>
    <row r="2492" ht="25.5" customHeight="1">
      <c r="A2492" t="inlineStr">
        <is>
          <t>【加长款正肩短袖】全棉100%棉T恤女夏季合身百搭显瘦t恤设</t>
        </is>
      </c>
      <c r="B2492" t="inlineStr">
        <is>
          <t>recvdWIhrwfN8Q.jpg</t>
        </is>
      </c>
      <c r="C2492" s="2" t="str">
        <f>=HYPERLINK("https://xhslink.com/m/5S3my2LBeCn", "https://xhslink.com/m/5S3my2LBeCn")</f>
        <v>https://xhslink.com/m/5S3my2LBeCn</v>
      </c>
      <c r="D2492"/>
      <c r="E2492">
        <v>8609</v>
      </c>
      <c r="F2492">
        <v>39.9</v>
      </c>
      <c r="G2492"/>
      <c r="H2492">
        <v>100</v>
      </c>
      <c r="I2492" t="inlineStr">
        <is>
          <t>T恤</t>
        </is>
      </c>
      <c r="J2492" t="inlineStr">
        <is>
          <t>0.01</t>
        </is>
      </c>
      <c r="K2492"/>
      <c r="L2492" t="inlineStr">
        <is>
          <t>ootxjsh的店</t>
        </is>
      </c>
      <c r="M2492">
        <v>7672</v>
      </c>
      <c r="N2492">
        <v>4.53</v>
      </c>
      <c r="O2492">
        <v>42000</v>
      </c>
      <c r="P2492" t="inlineStr">
        <is>
          <t>667bf15bc17ae40001376ffa</t>
        </is>
      </c>
      <c r="Q2492" t="inlineStr">
        <is>
          <t>🚫重复</t>
        </is>
      </c>
      <c r="R2492" t="inlineStr">
        <is>
          <t>14周</t>
        </is>
      </c>
      <c r="S2492" t="inlineStr">
        <is>
          <t>1.12</t>
        </is>
      </c>
      <c r="T2492" t="inlineStr">
        <is>
          <t>服饰穿搭</t>
        </is>
      </c>
      <c r="U2492" t="inlineStr">
        <is>
          <t>女装</t>
        </is>
      </c>
      <c r="V2492" s="3">
        <v>46112.78107638889</v>
      </c>
      <c r="W2492" t="inlineStr">
        <is>
          <t>2026-Q1</t>
        </is>
      </c>
    </row>
    <row r="2493" ht="25.5" customHeight="1">
      <c r="A2493" t="inlineStr">
        <is>
          <t>黄吉吉 · 白色V领罩衫女2026春夏季新款宽松百搭 慵懒轻薄韩系休闲运动T恤</t>
        </is>
      </c>
      <c r="B2493" t="inlineStr">
        <is>
          <t>recvdWIhrwd0Du.jpg</t>
        </is>
      </c>
      <c r="C2493" s="2" t="str">
        <f>=HYPERLINK("https://xhslink.com/m/8WxitF3FZi5", "https://xhslink.com/m/8WxitF3FZi5")</f>
        <v>https://xhslink.com/m/8WxitF3FZi5</v>
      </c>
      <c r="D2493"/>
      <c r="E2493">
        <v>5097</v>
      </c>
      <c r="F2493">
        <v>79</v>
      </c>
      <c r="G2493">
        <v>39.9</v>
      </c>
      <c r="H2493">
        <v>100</v>
      </c>
      <c r="I2493" t="inlineStr">
        <is>
          <t>T恤</t>
        </is>
      </c>
      <c r="J2493" t="inlineStr">
        <is>
          <t>0.02</t>
        </is>
      </c>
      <c r="K2493"/>
      <c r="L2493" t="inlineStr">
        <is>
          <t>黄吉吉的店</t>
        </is>
      </c>
      <c r="M2493">
        <v>1324000</v>
      </c>
      <c r="N2493">
        <v>4.4</v>
      </c>
      <c r="O2493">
        <v>2730000</v>
      </c>
      <c r="P2493" t="inlineStr">
        <is>
          <t>67f4e68c50e54d000150539d</t>
        </is>
      </c>
      <c r="Q2493" t="inlineStr">
        <is>
          <t>🚫重复</t>
        </is>
      </c>
      <c r="R2493" t="inlineStr">
        <is>
          <t>14周</t>
        </is>
      </c>
      <c r="S2493" t="inlineStr">
        <is>
          <t>0.00</t>
        </is>
      </c>
      <c r="T2493" t="inlineStr">
        <is>
          <t>服饰穿搭</t>
        </is>
      </c>
      <c r="U2493" t="inlineStr">
        <is>
          <t>女装</t>
        </is>
      </c>
      <c r="V2493" s="3">
        <v>46112.78107638889</v>
      </c>
      <c r="W2493" t="inlineStr">
        <is>
          <t>2026-Q1</t>
        </is>
      </c>
    </row>
    <row r="2494" ht="25.5" customHeight="1">
      <c r="A2494" t="inlineStr">
        <is>
          <t>美式高街设计感小众字母印花白灰色短袖T恤女夏季百搭宽松上衣服</t>
        </is>
      </c>
      <c r="B2494" t="inlineStr">
        <is>
          <t>recvdWIhrwnoRg.jpg</t>
        </is>
      </c>
      <c r="C2494" s="2" t="str">
        <f>=HYPERLINK("https://xhslink.com/m/ytw52Vv1PZ", "https://xhslink.com/m/ytw52Vv1PZ")</f>
        <v>https://xhslink.com/m/ytw52Vv1PZ</v>
      </c>
      <c r="D2494"/>
      <c r="E2494">
        <v>2156</v>
      </c>
      <c r="F2494">
        <v>30.8</v>
      </c>
      <c r="G2494">
        <v>28.8</v>
      </c>
      <c r="H2494">
        <v>100</v>
      </c>
      <c r="I2494" t="inlineStr">
        <is>
          <t>T恤</t>
        </is>
      </c>
      <c r="J2494" t="inlineStr">
        <is>
          <t>0.05</t>
        </is>
      </c>
      <c r="K2494"/>
      <c r="L2494" t="inlineStr">
        <is>
          <t>XIAO詹原创工作室的店</t>
        </is>
      </c>
      <c r="M2494">
        <v>532000</v>
      </c>
      <c r="N2494">
        <v>4.52</v>
      </c>
      <c r="O2494">
        <v>1829000</v>
      </c>
      <c r="P2494" t="inlineStr">
        <is>
          <t>684968b5fab3990001c64800</t>
        </is>
      </c>
      <c r="Q2494" t="inlineStr">
        <is>
          <t>🚫重复</t>
        </is>
      </c>
      <c r="R2494" t="inlineStr">
        <is>
          <t>14周</t>
        </is>
      </c>
      <c r="S2494" t="inlineStr">
        <is>
          <t>0.00</t>
        </is>
      </c>
      <c r="T2494" t="inlineStr">
        <is>
          <t>服饰穿搭</t>
        </is>
      </c>
      <c r="U2494" t="inlineStr">
        <is>
          <t>女装</t>
        </is>
      </c>
      <c r="V2494" s="3">
        <v>46112.78107638889</v>
      </c>
      <c r="W2494" t="inlineStr">
        <is>
          <t>2026-Q1</t>
        </is>
      </c>
    </row>
    <row r="2495" ht="25.5" customHeight="1">
      <c r="A2495" t="inlineStr">
        <is>
          <t>【大米饭】巨巨巨显瘦的立领亨利衫撞色修身长袖春季薄款运动T恤</t>
        </is>
      </c>
      <c r="B2495" t="inlineStr">
        <is>
          <t>recvdWIhrwzhIh.jpg</t>
        </is>
      </c>
      <c r="C2495" s="2" t="str">
        <f>=HYPERLINK("https://xhslink.com/m/5XfP9SsmebE", "https://xhslink.com/m/5XfP9SsmebE")</f>
        <v>https://xhslink.com/m/5XfP9SsmebE</v>
      </c>
      <c r="D2495"/>
      <c r="E2495">
        <v>1070</v>
      </c>
      <c r="F2495">
        <v>78</v>
      </c>
      <c r="G2495">
        <v>73</v>
      </c>
      <c r="H2495">
        <v>100</v>
      </c>
      <c r="I2495" t="inlineStr">
        <is>
          <t>T恤</t>
        </is>
      </c>
      <c r="J2495" t="inlineStr">
        <is>
          <t>0.09</t>
        </is>
      </c>
      <c r="K2495"/>
      <c r="L2495" t="inlineStr">
        <is>
          <t>大米饭制衣厂（厂长版）的店</t>
        </is>
      </c>
      <c r="M2495">
        <v>61000</v>
      </c>
      <c r="N2495">
        <v>4.7</v>
      </c>
      <c r="O2495">
        <v>144000</v>
      </c>
      <c r="P2495" t="inlineStr">
        <is>
          <t>697756db8a6b8a0001a459c2</t>
        </is>
      </c>
      <c r="Q2495" t="inlineStr">
        <is>
          <t>🚫重复</t>
        </is>
      </c>
      <c r="R2495" t="inlineStr">
        <is>
          <t>14周</t>
        </is>
      </c>
      <c r="S2495" t="inlineStr">
        <is>
          <t>0.02</t>
        </is>
      </c>
      <c r="T2495" t="inlineStr">
        <is>
          <t>服饰穿搭</t>
        </is>
      </c>
      <c r="U2495" t="inlineStr">
        <is>
          <t>女装</t>
        </is>
      </c>
      <c r="V2495" s="3">
        <v>46112.78107638889</v>
      </c>
      <c r="W2495" t="inlineStr">
        <is>
          <t>2026-Q1</t>
        </is>
      </c>
    </row>
    <row r="2496" ht="25.5" customHeight="1">
      <c r="A2496" t="inlineStr">
        <is>
          <t>Brandy BM新款甜美粉色亚麻泡泡袖短袖上衣女bm百搭显瘦减龄T恤夏</t>
        </is>
      </c>
      <c r="B2496" t="inlineStr">
        <is>
          <t>recvdWIhrwvsDU.jpg</t>
        </is>
      </c>
      <c r="C2496" s="2" t="str">
        <f>=HYPERLINK("https://xhslink.com/m/7M1hC2ylxbM", "https://xhslink.com/m/7M1hC2ylxbM")</f>
        <v>https://xhslink.com/m/7M1hC2ylxbM</v>
      </c>
      <c r="D2496"/>
      <c r="E2496">
        <v>2938</v>
      </c>
      <c r="F2496">
        <v>65</v>
      </c>
      <c r="G2496"/>
      <c r="H2496">
        <v>100</v>
      </c>
      <c r="I2496" t="inlineStr">
        <is>
          <t>T恤</t>
        </is>
      </c>
      <c r="J2496" t="inlineStr">
        <is>
          <t>0.03</t>
        </is>
      </c>
      <c r="K2496"/>
      <c r="L2496" t="inlineStr">
        <is>
          <t>浅浅家的BM的店</t>
        </is>
      </c>
      <c r="M2496">
        <v>42000</v>
      </c>
      <c r="N2496">
        <v>4.59</v>
      </c>
      <c r="O2496">
        <v>146000</v>
      </c>
      <c r="P2496" t="inlineStr">
        <is>
          <t>6842803e801a2400019441c5</t>
        </is>
      </c>
      <c r="Q2496" t="inlineStr">
        <is>
          <t>🚫重复</t>
        </is>
      </c>
      <c r="R2496" t="inlineStr">
        <is>
          <t>14周</t>
        </is>
      </c>
      <c r="S2496" t="inlineStr">
        <is>
          <t>0.07</t>
        </is>
      </c>
      <c r="T2496" t="inlineStr">
        <is>
          <t>服饰穿搭</t>
        </is>
      </c>
      <c r="U2496" t="inlineStr">
        <is>
          <t>女装</t>
        </is>
      </c>
      <c r="V2496" s="3">
        <v>46112.78107638889</v>
      </c>
      <c r="W2496" t="inlineStr">
        <is>
          <t>2026-Q1</t>
        </is>
      </c>
    </row>
    <row r="2497" ht="25.5" customHeight="1">
      <c r="A2497" t="inlineStr">
        <is>
          <t>新「五个口味」特色咸香贝果贵州酸汤牛脆笋·黑胡椒火腿芝士我</t>
        </is>
      </c>
      <c r="B2497" t="inlineStr">
        <is>
          <t>recvdWIhrwch04.jpg</t>
        </is>
      </c>
      <c r="C2497" s="2" t="str">
        <f>=HYPERLINK("https://xhslink.com/m/9s8YFAwm2M4", "https://xhslink.com/m/9s8YFAwm2M4")</f>
        <v>https://xhslink.com/m/9s8YFAwm2M4</v>
      </c>
      <c r="D2497"/>
      <c r="E2497">
        <v>626</v>
      </c>
      <c r="F2497">
        <v>75</v>
      </c>
      <c r="G2497">
        <v>55</v>
      </c>
      <c r="H2497">
        <v>100</v>
      </c>
      <c r="I2497" t="inlineStr">
        <is>
          <t>零食</t>
        </is>
      </c>
      <c r="J2497" t="inlineStr">
        <is>
          <t>0.16</t>
        </is>
      </c>
      <c r="K2497"/>
      <c r="L2497" t="inlineStr">
        <is>
          <t>Troycake柠乐的店</t>
        </is>
      </c>
      <c r="M2497">
        <v>86000</v>
      </c>
      <c r="N2497">
        <v>4.75</v>
      </c>
      <c r="O2497">
        <v>75000</v>
      </c>
      <c r="P2497" t="inlineStr">
        <is>
          <t>692acb3035010900011a129d</t>
        </is>
      </c>
      <c r="Q2497" t="inlineStr">
        <is>
          <t>🚫重复</t>
        </is>
      </c>
      <c r="R2497" t="inlineStr">
        <is>
          <t>14周</t>
        </is>
      </c>
      <c r="S2497" t="inlineStr">
        <is>
          <t>0.01</t>
        </is>
      </c>
      <c r="T2497" t="inlineStr">
        <is>
          <t>美食滋补</t>
        </is>
      </c>
      <c r="U2497" t="inlineStr">
        <is>
          <t>休闲零食</t>
        </is>
      </c>
      <c r="V2497" s="3">
        <v>46112.78107638889</v>
      </c>
      <c r="W2497" t="inlineStr">
        <is>
          <t>2026-Q1</t>
        </is>
      </c>
    </row>
    <row r="2498" ht="25.5" customHeight="1">
      <c r="A2498" t="inlineStr">
        <is>
          <t>摘夏棠 · 门店爆款雪葩合集芭乐青苹果芒果百香果家庭装冰淇淋Gelato</t>
        </is>
      </c>
      <c r="B2498" t="inlineStr">
        <is>
          <t>recvdWIhrwxxPe.jpg</t>
        </is>
      </c>
      <c r="C2498" s="2" t="str">
        <f>=HYPERLINK("https://xhslink.com/m/2qr4uUQ8LqX", "https://xhslink.com/m/2qr4uUQ8LqX")</f>
        <v>https://xhslink.com/m/2qr4uUQ8LqX</v>
      </c>
      <c r="D2498"/>
      <c r="E2498">
        <v>764</v>
      </c>
      <c r="F2498">
        <v>129</v>
      </c>
      <c r="G2498">
        <v>126</v>
      </c>
      <c r="H2498">
        <v>100</v>
      </c>
      <c r="I2498" t="inlineStr">
        <is>
          <t>零食</t>
        </is>
      </c>
      <c r="J2498" t="inlineStr">
        <is>
          <t>0.13</t>
        </is>
      </c>
      <c r="K2498"/>
      <c r="L2498" t="inlineStr">
        <is>
          <t>摘夏棠WonderCup的店</t>
        </is>
      </c>
      <c r="M2498">
        <v>35000</v>
      </c>
      <c r="N2498">
        <v>4.63</v>
      </c>
      <c r="O2498">
        <v>24000</v>
      </c>
      <c r="P2498" t="inlineStr">
        <is>
          <t>68b96f645c55f200017b2dc5</t>
        </is>
      </c>
      <c r="Q2498" t="inlineStr">
        <is>
          <t>🚫重复</t>
        </is>
      </c>
      <c r="R2498" t="inlineStr">
        <is>
          <t>14周</t>
        </is>
      </c>
      <c r="S2498" t="inlineStr">
        <is>
          <t>0.02</t>
        </is>
      </c>
      <c r="T2498" t="inlineStr">
        <is>
          <t>美食滋补</t>
        </is>
      </c>
      <c r="U2498" t="inlineStr">
        <is>
          <t>生鲜特产</t>
        </is>
      </c>
      <c r="V2498" s="3">
        <v>46112.78107638889</v>
      </c>
      <c r="W2498" t="inlineStr">
        <is>
          <t>2026-Q1</t>
        </is>
      </c>
    </row>
    <row r="2499" ht="25.5" customHeight="1">
      <c r="A2499" t="inlineStr">
        <is>
          <t>【石磨手工老面馒头】石磨面粉新鲜现做手工老面馒头含胚芽细腻</t>
        </is>
      </c>
      <c r="B2499" t="inlineStr">
        <is>
          <t>recvdWIhrwxqHf.jpg</t>
        </is>
      </c>
      <c r="C2499" s="2" t="str">
        <f>=HYPERLINK("https://xhslink.com/m/AncXGstnT6M", "https://xhslink.com/m/AncXGstnT6M")</f>
        <v>https://xhslink.com/m/AncXGstnT6M</v>
      </c>
      <c r="D2499"/>
      <c r="E2499">
        <v>7989</v>
      </c>
      <c r="F2499">
        <v>15.8</v>
      </c>
      <c r="G2499"/>
      <c r="H2499">
        <v>100</v>
      </c>
      <c r="I2499" t="inlineStr">
        <is>
          <t>生鲜</t>
        </is>
      </c>
      <c r="J2499" t="inlineStr">
        <is>
          <t>0.01</t>
        </is>
      </c>
      <c r="K2499"/>
      <c r="L2499" t="inlineStr">
        <is>
          <t>老段磨坊杂粮的店</t>
        </is>
      </c>
      <c r="M2499">
        <v>10000</v>
      </c>
      <c r="N2499">
        <v>4.53</v>
      </c>
      <c r="O2499">
        <v>47000</v>
      </c>
      <c r="P2499" t="inlineStr">
        <is>
          <t>69495e19ae586c0001d67491</t>
        </is>
      </c>
      <c r="Q2499" t="inlineStr">
        <is>
          <t>🚫重复</t>
        </is>
      </c>
      <c r="R2499" t="inlineStr">
        <is>
          <t>14周</t>
        </is>
      </c>
      <c r="S2499" t="inlineStr">
        <is>
          <t>0.80</t>
        </is>
      </c>
      <c r="T2499" t="inlineStr">
        <is>
          <t>美食滋补</t>
        </is>
      </c>
      <c r="U2499" t="inlineStr">
        <is>
          <t>生鲜特产</t>
        </is>
      </c>
      <c r="V2499" s="3">
        <v>46112.78107638889</v>
      </c>
      <c r="W2499" t="inlineStr">
        <is>
          <t>2026-Q1</t>
        </is>
      </c>
    </row>
    <row r="2500" ht="25.5" customHeight="1">
      <c r="A2500" t="inlineStr">
        <is>
          <t>云南罗平小黄姜生姜老姜月子姜新鲜姜现挖小黄姜带箱带泥1-9斤</t>
        </is>
      </c>
      <c r="B2500" t="inlineStr">
        <is>
          <t>recvdWIhrwKQUd.jpg</t>
        </is>
      </c>
      <c r="C2500" s="2" t="str">
        <f>=HYPERLINK("https://xhslink.com/m/3moza9IfE1l", "https://xhslink.com/m/3moza9IfE1l")</f>
        <v>https://xhslink.com/m/3moza9IfE1l</v>
      </c>
      <c r="D2500"/>
      <c r="E2500">
        <v>82000</v>
      </c>
      <c r="F2500">
        <v>5.9</v>
      </c>
      <c r="G2500"/>
      <c r="H2500">
        <v>100</v>
      </c>
      <c r="I2500" t="inlineStr">
        <is>
          <t>生鲜</t>
        </is>
      </c>
      <c r="J2500" t="inlineStr">
        <is>
          <t>0.00</t>
        </is>
      </c>
      <c r="K2500" t="inlineStr">
        <is>
          <t>🔥低粉爆款</t>
        </is>
      </c>
      <c r="L2500" t="inlineStr">
        <is>
          <t>大熊农产品的店</t>
        </is>
      </c>
      <c r="M2500">
        <v>13000</v>
      </c>
      <c r="N2500">
        <v>4.34</v>
      </c>
      <c r="O2500">
        <v>99000</v>
      </c>
      <c r="P2500" t="inlineStr">
        <is>
          <t>66abafb542e3e900012c6f65</t>
        </is>
      </c>
      <c r="Q2500"/>
      <c r="R2500" t="inlineStr">
        <is>
          <t>14周</t>
        </is>
      </c>
      <c r="S2500" t="inlineStr">
        <is>
          <t>6.31</t>
        </is>
      </c>
      <c r="T2500" t="inlineStr">
        <is>
          <t>母婴亲子</t>
        </is>
      </c>
      <c r="U2500" t="inlineStr">
        <is>
          <t>孕产护理</t>
        </is>
      </c>
      <c r="V2500" s="3">
        <v>46112.78107638889</v>
      </c>
      <c r="W2500" t="inlineStr">
        <is>
          <t>2026-Q1</t>
        </is>
      </c>
    </row>
    <row r="2501" ht="25.5" customHeight="1">
      <c r="A2501" t="inlineStr">
        <is>
          <t>遂香记 · 【无麸质饺子】山粉饺芋饺红薯粉芋头纯手工水饺蒸饺丽水特产美食</t>
        </is>
      </c>
      <c r="B2501" t="inlineStr">
        <is>
          <t>recvdWIhrw9yPa.jpg</t>
        </is>
      </c>
      <c r="C2501" s="2" t="str">
        <f>=HYPERLINK("https://xhslink.com/m/7s1pHNxKnyr", "https://xhslink.com/m/7s1pHNxKnyr")</f>
        <v>https://xhslink.com/m/7s1pHNxKnyr</v>
      </c>
      <c r="D2501"/>
      <c r="E2501">
        <v>6625</v>
      </c>
      <c r="F2501">
        <v>59</v>
      </c>
      <c r="G2501"/>
      <c r="H2501">
        <v>100</v>
      </c>
      <c r="I2501" t="inlineStr">
        <is>
          <t>生鲜</t>
        </is>
      </c>
      <c r="J2501" t="inlineStr">
        <is>
          <t>0.02</t>
        </is>
      </c>
      <c r="K2501"/>
      <c r="L2501" t="inlineStr">
        <is>
          <t>遂香记的店</t>
        </is>
      </c>
      <c r="M2501">
        <v>22000</v>
      </c>
      <c r="N2501">
        <v>4.69</v>
      </c>
      <c r="O2501">
        <v>268000</v>
      </c>
      <c r="P2501" t="inlineStr">
        <is>
          <t>69073acdc4f89100016df1f6</t>
        </is>
      </c>
      <c r="Q2501" t="inlineStr">
        <is>
          <t>🚫重复</t>
        </is>
      </c>
      <c r="R2501" t="inlineStr">
        <is>
          <t>14周</t>
        </is>
      </c>
      <c r="S2501" t="inlineStr">
        <is>
          <t>0.30</t>
        </is>
      </c>
      <c r="T2501" t="inlineStr">
        <is>
          <t>美食滋补</t>
        </is>
      </c>
      <c r="U2501" t="inlineStr">
        <is>
          <t>生鲜特产</t>
        </is>
      </c>
      <c r="V2501" s="3">
        <v>46112.78107638889</v>
      </c>
      <c r="W2501" t="inlineStr">
        <is>
          <t>2026-Q1</t>
        </is>
      </c>
    </row>
    <row r="2502" ht="25.5" customHeight="1">
      <c r="A2502" t="inlineStr">
        <is>
          <t>中辣樟树风味香辣小香妹辣椒炒肉专用椒新鲜皮薄肉嫩辣椒现摘现发</t>
        </is>
      </c>
      <c r="B2502" t="inlineStr">
        <is>
          <t>recvdWIhrwInn7.jpg</t>
        </is>
      </c>
      <c r="C2502" s="2" t="str">
        <f>=HYPERLINK("https://xhslink.com/m/2N3ZLg0yXma", "https://xhslink.com/m/2N3ZLg0yXma")</f>
        <v>https://xhslink.com/m/2N3ZLg0yXma</v>
      </c>
      <c r="D2502"/>
      <c r="E2502">
        <v>6474</v>
      </c>
      <c r="F2502">
        <v>9.9</v>
      </c>
      <c r="G2502">
        <v>7.9</v>
      </c>
      <c r="H2502">
        <v>100</v>
      </c>
      <c r="I2502" t="inlineStr">
        <is>
          <t>生鲜</t>
        </is>
      </c>
      <c r="J2502" t="inlineStr">
        <is>
          <t>0.02</t>
        </is>
      </c>
      <c r="K2502"/>
      <c r="L2502" t="inlineStr">
        <is>
          <t>茂名小燕子的店</t>
        </is>
      </c>
      <c r="M2502">
        <v>3209</v>
      </c>
      <c r="N2502">
        <v>4.58</v>
      </c>
      <c r="O2502">
        <v>22000</v>
      </c>
      <c r="P2502" t="inlineStr">
        <is>
          <t>6901f670becfcc0001600acd</t>
        </is>
      </c>
      <c r="Q2502"/>
      <c r="R2502" t="inlineStr">
        <is>
          <t>14周</t>
        </is>
      </c>
      <c r="S2502" t="inlineStr">
        <is>
          <t>2.02</t>
        </is>
      </c>
      <c r="T2502" t="inlineStr">
        <is>
          <t>美食滋补</t>
        </is>
      </c>
      <c r="U2502" t="inlineStr">
        <is>
          <t>生鲜特产</t>
        </is>
      </c>
      <c r="V2502" s="3">
        <v>46112.78107638889</v>
      </c>
      <c r="W2502" t="inlineStr">
        <is>
          <t>2026-Q1</t>
        </is>
      </c>
    </row>
    <row r="2503" ht="25.5" customHeight="1">
      <c r="A2503" t="inlineStr">
        <is>
          <t>沂蒙香妹儿 · 真粗粮手工大煎饼5斤-300克香软面包煎饼早餐速食煎饼</t>
        </is>
      </c>
      <c r="B2503" t="inlineStr">
        <is>
          <t>recvdWIhrwS896.jpg</t>
        </is>
      </c>
      <c r="C2503" s="2" t="str">
        <f>=HYPERLINK("https://xhslink.com/m/1KZRAPWtxwg", "https://xhslink.com/m/1KZRAPWtxwg")</f>
        <v>https://xhslink.com/m/1KZRAPWtxwg</v>
      </c>
      <c r="D2503"/>
      <c r="E2503">
        <v>6563</v>
      </c>
      <c r="F2503">
        <v>9.99</v>
      </c>
      <c r="G2503"/>
      <c r="H2503">
        <v>100</v>
      </c>
      <c r="I2503" t="inlineStr">
        <is>
          <t>生鲜</t>
        </is>
      </c>
      <c r="J2503" t="inlineStr">
        <is>
          <t>0.02</t>
        </is>
      </c>
      <c r="K2503"/>
      <c r="L2503" t="inlineStr">
        <is>
          <t>沂蒙香妹儿食品的店</t>
        </is>
      </c>
      <c r="M2503">
        <v>17000</v>
      </c>
      <c r="N2503">
        <v>4.54</v>
      </c>
      <c r="O2503">
        <v>13000</v>
      </c>
      <c r="P2503" t="inlineStr">
        <is>
          <t>69183217e78d99000165ced7</t>
        </is>
      </c>
      <c r="Q2503" t="inlineStr">
        <is>
          <t>🚫重复</t>
        </is>
      </c>
      <c r="R2503" t="inlineStr">
        <is>
          <t>14周</t>
        </is>
      </c>
      <c r="S2503" t="inlineStr">
        <is>
          <t>0.39</t>
        </is>
      </c>
      <c r="T2503" t="inlineStr">
        <is>
          <t>美食滋补</t>
        </is>
      </c>
      <c r="U2503" t="inlineStr">
        <is>
          <t>休闲零食</t>
        </is>
      </c>
      <c r="V2503" s="3">
        <v>46112.78107638889</v>
      </c>
      <c r="W2503" t="inlineStr">
        <is>
          <t>2026-Q1</t>
        </is>
      </c>
    </row>
    <row r="2504" ht="25.5" customHeight="1">
      <c r="A2504" t="inlineStr">
        <is>
          <t>正宗贝贝南瓜干面粉糯板栗南瓜健康粗粮新鲜采摘产地直发整箱批发</t>
        </is>
      </c>
      <c r="B2504" t="inlineStr">
        <is>
          <t>recvdWIhrwIPTF.jpg</t>
        </is>
      </c>
      <c r="C2504" s="2" t="str">
        <f>=HYPERLINK("https://xhslink.com/m/8fSQzDoUB2o", "https://xhslink.com/m/8fSQzDoUB2o")</f>
        <v>https://xhslink.com/m/8fSQzDoUB2o</v>
      </c>
      <c r="D2504"/>
      <c r="E2504">
        <v>452</v>
      </c>
      <c r="F2504">
        <v>9.9</v>
      </c>
      <c r="G2504"/>
      <c r="H2504">
        <v>100</v>
      </c>
      <c r="I2504" t="inlineStr">
        <is>
          <t>生鲜</t>
        </is>
      </c>
      <c r="J2504" t="inlineStr">
        <is>
          <t>0.22</t>
        </is>
      </c>
      <c r="K2504"/>
      <c r="L2504" t="inlineStr">
        <is>
          <t>四季鲜果新农人的店</t>
        </is>
      </c>
      <c r="M2504">
        <v>163</v>
      </c>
      <c r="N2504">
        <v>4.62</v>
      </c>
      <c r="O2504">
        <v>437</v>
      </c>
      <c r="P2504" t="inlineStr">
        <is>
          <t>69ab81cf1166fe000186e6eb</t>
        </is>
      </c>
      <c r="Q2504"/>
      <c r="R2504" t="inlineStr">
        <is>
          <t>14周</t>
        </is>
      </c>
      <c r="S2504" t="inlineStr">
        <is>
          <t>2.77</t>
        </is>
      </c>
      <c r="T2504" t="inlineStr">
        <is>
          <t>美食滋补</t>
        </is>
      </c>
      <c r="U2504" t="inlineStr">
        <is>
          <t>生鲜特产</t>
        </is>
      </c>
      <c r="V2504" s="3">
        <v>46112.78107638889</v>
      </c>
      <c r="W2504" t="inlineStr">
        <is>
          <t>2026-Q1</t>
        </is>
      </c>
    </row>
    <row r="2505" ht="25.5" customHeight="1">
      <c r="A2505" t="inlineStr">
        <is>
          <t>STARMARRY · soote 家同款 韩系掐腰修身显瘦短袖口袋收腰气质衬衫上衣女</t>
        </is>
      </c>
      <c r="B2505" t="inlineStr">
        <is>
          <t>recvdWIhrwz0vl.jpg</t>
        </is>
      </c>
      <c r="C2505" s="2" t="str">
        <f>=HYPERLINK("https://xhslink.com/m/68Fv7emaMNg", "https://xhslink.com/m/68Fv7emaMNg")</f>
        <v>https://xhslink.com/m/68Fv7emaMNg</v>
      </c>
      <c r="D2505"/>
      <c r="E2505">
        <v>7494</v>
      </c>
      <c r="F2505">
        <v>79</v>
      </c>
      <c r="G2505"/>
      <c r="H2505">
        <v>100</v>
      </c>
      <c r="I2505" t="inlineStr">
        <is>
          <t>衬衫</t>
        </is>
      </c>
      <c r="J2505" t="inlineStr">
        <is>
          <t>0.01</t>
        </is>
      </c>
      <c r="K2505"/>
      <c r="L2505" t="inlineStr">
        <is>
          <t>OK饼饼的店</t>
        </is>
      </c>
      <c r="M2505">
        <v>24000</v>
      </c>
      <c r="N2505">
        <v>4.51</v>
      </c>
      <c r="O2505">
        <v>179000</v>
      </c>
      <c r="P2505" t="inlineStr">
        <is>
          <t>67f933af791e940015197567</t>
        </is>
      </c>
      <c r="Q2505" t="inlineStr">
        <is>
          <t>🚫重复</t>
        </is>
      </c>
      <c r="R2505" t="inlineStr">
        <is>
          <t>14周</t>
        </is>
      </c>
      <c r="S2505" t="inlineStr">
        <is>
          <t>0.31</t>
        </is>
      </c>
      <c r="T2505" t="inlineStr">
        <is>
          <t>服饰穿搭</t>
        </is>
      </c>
      <c r="U2505" t="inlineStr">
        <is>
          <t>女装</t>
        </is>
      </c>
      <c r="V2505" s="3">
        <v>46112.78107638889</v>
      </c>
      <c r="W2505" t="inlineStr">
        <is>
          <t>2026-Q1</t>
        </is>
      </c>
    </row>
    <row r="2506" ht="25.5" customHeight="1">
      <c r="A2506" t="inlineStr">
        <is>
          <t>小金扣复古正肩通勤叠穿水洗牛仔衬衫</t>
        </is>
      </c>
      <c r="B2506" t="inlineStr">
        <is>
          <t>recvdWIhrwvGZO.jpg</t>
        </is>
      </c>
      <c r="C2506" s="2" t="str">
        <f>=HYPERLINK("https://xhslink.com/m/2ooF84s9izp", "https://xhslink.com/m/2ooF84s9izp")</f>
        <v>https://xhslink.com/m/2ooF84s9izp</v>
      </c>
      <c r="D2506"/>
      <c r="E2506">
        <v>15000</v>
      </c>
      <c r="F2506">
        <v>89</v>
      </c>
      <c r="G2506"/>
      <c r="H2506">
        <v>100</v>
      </c>
      <c r="I2506" t="inlineStr">
        <is>
          <t>衬衫</t>
        </is>
      </c>
      <c r="J2506" t="inlineStr">
        <is>
          <t>0.01</t>
        </is>
      </c>
      <c r="K2506" t="inlineStr">
        <is>
          <t>🔥低粉爆款</t>
        </is>
      </c>
      <c r="L2506" t="inlineStr">
        <is>
          <t>一只罐头acan的店</t>
        </is>
      </c>
      <c r="M2506">
        <v>3287</v>
      </c>
      <c r="N2506">
        <v>4.33</v>
      </c>
      <c r="O2506">
        <v>20000</v>
      </c>
      <c r="P2506" t="inlineStr">
        <is>
          <t>64f3f9c0dd63ad0001c768b9</t>
        </is>
      </c>
      <c r="Q2506"/>
      <c r="R2506" t="inlineStr">
        <is>
          <t>14周</t>
        </is>
      </c>
      <c r="S2506" t="inlineStr">
        <is>
          <t>4.56</t>
        </is>
      </c>
      <c r="T2506" t="inlineStr">
        <is>
          <t>服饰穿搭</t>
        </is>
      </c>
      <c r="U2506" t="inlineStr">
        <is>
          <t>女装</t>
        </is>
      </c>
      <c r="V2506" s="3">
        <v>46112.78107638889</v>
      </c>
      <c r="W2506" t="inlineStr">
        <is>
          <t>2026-Q1</t>
        </is>
      </c>
    </row>
    <row r="2507" ht="25.5" customHeight="1">
      <c r="A2507" t="inlineStr">
        <is>
          <t>纯色基础款衬衫～夏季高智商宽松休闲衬衫复古百搭上衣</t>
        </is>
      </c>
      <c r="B2507" t="inlineStr">
        <is>
          <t>recvdWIhrwltOd.jpg</t>
        </is>
      </c>
      <c r="C2507" s="2" t="str">
        <f>=HYPERLINK("https://xhslink.com/m/6vcoSo20XRg", "https://xhslink.com/m/6vcoSo20XRg")</f>
        <v>https://xhslink.com/m/6vcoSo20XRg</v>
      </c>
      <c r="D2507"/>
      <c r="E2507">
        <v>4012</v>
      </c>
      <c r="F2507">
        <v>89</v>
      </c>
      <c r="G2507">
        <v>69</v>
      </c>
      <c r="H2507">
        <v>100</v>
      </c>
      <c r="I2507" t="inlineStr">
        <is>
          <t>衬衫</t>
        </is>
      </c>
      <c r="J2507" t="inlineStr">
        <is>
          <t>0.02</t>
        </is>
      </c>
      <c r="K2507"/>
      <c r="L2507" t="inlineStr">
        <is>
          <t>Esther女装穿搭的店</t>
        </is>
      </c>
      <c r="M2507">
        <v>7887</v>
      </c>
      <c r="N2507">
        <v>4.51</v>
      </c>
      <c r="O2507">
        <v>104000</v>
      </c>
      <c r="P2507" t="inlineStr">
        <is>
          <t>683d39bbd0af0a0001665c79</t>
        </is>
      </c>
      <c r="Q2507" t="inlineStr">
        <is>
          <t>🚫重复</t>
        </is>
      </c>
      <c r="R2507" t="inlineStr">
        <is>
          <t>14周</t>
        </is>
      </c>
      <c r="S2507" t="inlineStr">
        <is>
          <t>0.51</t>
        </is>
      </c>
      <c r="T2507" t="inlineStr">
        <is>
          <t>服饰穿搭</t>
        </is>
      </c>
      <c r="U2507" t="inlineStr">
        <is>
          <t>女装</t>
        </is>
      </c>
      <c r="V2507" s="3">
        <v>46112.78107638889</v>
      </c>
      <c r="W2507" t="inlineStr">
        <is>
          <t>2026-Q1</t>
        </is>
      </c>
    </row>
    <row r="2508" ht="25.5" customHeight="1">
      <c r="A2508" t="inlineStr">
        <is>
          <t>纯色翻领衬衫女春秋季宽松百搭长袖衬衣设计感大口袋简约别致上衣</t>
        </is>
      </c>
      <c r="B2508" t="inlineStr">
        <is>
          <t>recvdWIhrw2GBc.jpg</t>
        </is>
      </c>
      <c r="C2508" s="2" t="str">
        <f>=HYPERLINK("https://xhslink.com/m/D41oADhrJ6", "https://xhslink.com/m/D41oADhrJ6")</f>
        <v>https://xhslink.com/m/D41oADhrJ6</v>
      </c>
      <c r="D2508"/>
      <c r="E2508">
        <v>4247</v>
      </c>
      <c r="F2508">
        <v>80</v>
      </c>
      <c r="G2508">
        <v>77</v>
      </c>
      <c r="H2508">
        <v>100</v>
      </c>
      <c r="I2508" t="inlineStr">
        <is>
          <t>衬衫</t>
        </is>
      </c>
      <c r="J2508" t="inlineStr">
        <is>
          <t>0.02</t>
        </is>
      </c>
      <c r="K2508" t="inlineStr">
        <is>
          <t>🔥低粉爆款</t>
        </is>
      </c>
      <c r="L2508" t="inlineStr">
        <is>
          <t>有咖靓的店</t>
        </is>
      </c>
      <c r="M2508">
        <v>522</v>
      </c>
      <c r="N2508">
        <v>4.68</v>
      </c>
      <c r="O2508">
        <v>8270</v>
      </c>
      <c r="P2508" t="inlineStr">
        <is>
          <t>680675fe92ada4000121814d</t>
        </is>
      </c>
      <c r="Q2508" t="inlineStr">
        <is>
          <t>🚫重复</t>
        </is>
      </c>
      <c r="R2508" t="inlineStr">
        <is>
          <t>14周</t>
        </is>
      </c>
      <c r="S2508" t="inlineStr">
        <is>
          <t>8.14</t>
        </is>
      </c>
      <c r="T2508" t="inlineStr">
        <is>
          <t>服饰穿搭</t>
        </is>
      </c>
      <c r="U2508" t="inlineStr">
        <is>
          <t>女装</t>
        </is>
      </c>
      <c r="V2508" s="3">
        <v>46112.78107638889</v>
      </c>
      <c r="W2508" t="inlineStr">
        <is>
          <t>2026-Q1</t>
        </is>
      </c>
    </row>
    <row r="2509" ht="25.5" customHeight="1">
      <c r="A2509" t="inlineStr">
        <is>
          <t>蕉老板 · 【小海鸥衬衫】微透定制100%棉慵懒风松弛感白色遮阳宽松</t>
        </is>
      </c>
      <c r="B2509" t="inlineStr">
        <is>
          <t>recvdWIhrwVMiY.jpg</t>
        </is>
      </c>
      <c r="C2509" s="2" t="str">
        <f>=HYPERLINK("https://xhslink.com/m/22pGYlnVe2m", "https://xhslink.com/m/22pGYlnVe2m")</f>
        <v>https://xhslink.com/m/22pGYlnVe2m</v>
      </c>
      <c r="D2509"/>
      <c r="E2509">
        <v>5969</v>
      </c>
      <c r="F2509">
        <v>129</v>
      </c>
      <c r="G2509">
        <v>109</v>
      </c>
      <c r="H2509">
        <v>100</v>
      </c>
      <c r="I2509" t="inlineStr">
        <is>
          <t>衬衫</t>
        </is>
      </c>
      <c r="J2509" t="inlineStr">
        <is>
          <t>0.02</t>
        </is>
      </c>
      <c r="K2509"/>
      <c r="L2509" t="inlineStr">
        <is>
          <t>蕉老板私服的店</t>
        </is>
      </c>
      <c r="M2509">
        <v>250000</v>
      </c>
      <c r="N2509">
        <v>4.65</v>
      </c>
      <c r="O2509">
        <v>702000</v>
      </c>
      <c r="P2509" t="inlineStr">
        <is>
          <t>67e89b7cc90d830001c26df9</t>
        </is>
      </c>
      <c r="Q2509"/>
      <c r="R2509" t="inlineStr">
        <is>
          <t>14周</t>
        </is>
      </c>
      <c r="S2509" t="inlineStr">
        <is>
          <t>0.02</t>
        </is>
      </c>
      <c r="T2509" t="inlineStr">
        <is>
          <t>服饰穿搭</t>
        </is>
      </c>
      <c r="U2509" t="inlineStr">
        <is>
          <t>女装</t>
        </is>
      </c>
      <c r="V2509" s="3">
        <v>46112.78107638889</v>
      </c>
      <c r="W2509" t="inlineStr">
        <is>
          <t>2026-Q1</t>
        </is>
      </c>
    </row>
    <row r="2510" ht="25.5" customHeight="1">
      <c r="A2510" t="inlineStr">
        <is>
          <t>#高端线 100%纯亚麻！有面料进口报关单！100出头高性价比！衬衫</t>
        </is>
      </c>
      <c r="B2510" t="inlineStr">
        <is>
          <t>recvdWIhrw7AOY.jpg</t>
        </is>
      </c>
      <c r="C2510" s="2" t="str">
        <f>=HYPERLINK("https://xhslink.com/m/8Yh06wXPxhk", "https://xhslink.com/m/8Yh06wXPxhk")</f>
        <v>https://xhslink.com/m/8Yh06wXPxhk</v>
      </c>
      <c r="D2510"/>
      <c r="E2510">
        <v>1189</v>
      </c>
      <c r="F2510">
        <v>139.99</v>
      </c>
      <c r="G2510"/>
      <c r="H2510">
        <v>100</v>
      </c>
      <c r="I2510" t="inlineStr">
        <is>
          <t>衬衫</t>
        </is>
      </c>
      <c r="J2510" t="inlineStr">
        <is>
          <t>0.08</t>
        </is>
      </c>
      <c r="K2510"/>
      <c r="L2510" t="inlineStr">
        <is>
          <t>野草银河的店</t>
        </is>
      </c>
      <c r="M2510">
        <v>203000</v>
      </c>
      <c r="N2510">
        <v>4.53</v>
      </c>
      <c r="O2510">
        <v>1846000</v>
      </c>
      <c r="P2510" t="inlineStr">
        <is>
          <t>68abcd11956aac0015a30996</t>
        </is>
      </c>
      <c r="Q2510" t="inlineStr">
        <is>
          <t>🚫重复</t>
        </is>
      </c>
      <c r="R2510" t="inlineStr">
        <is>
          <t>14周</t>
        </is>
      </c>
      <c r="S2510" t="inlineStr">
        <is>
          <t>0.01</t>
        </is>
      </c>
      <c r="T2510" t="inlineStr">
        <is>
          <t>服饰穿搭</t>
        </is>
      </c>
      <c r="U2510" t="inlineStr">
        <is>
          <t>女装</t>
        </is>
      </c>
      <c r="V2510" s="3">
        <v>46112.78107638889</v>
      </c>
      <c r="W2510" t="inlineStr">
        <is>
          <t>2026-Q1</t>
        </is>
      </c>
    </row>
    <row r="2511" ht="25.5" customHeight="1">
      <c r="A2511" t="inlineStr">
        <is>
          <t>粉色条纹衬衫女早春季2026年新款宽松休闲衬衣外套设计感小众上衣</t>
        </is>
      </c>
      <c r="B2511" t="inlineStr">
        <is>
          <t>recvdWIhrwzoDF.jpg</t>
        </is>
      </c>
      <c r="C2511" s="2" t="str">
        <f>=HYPERLINK("https://xhslink.com/m/AZC2MoRZfT5", "https://xhslink.com/m/AZC2MoRZfT5")</f>
        <v>https://xhslink.com/m/AZC2MoRZfT5</v>
      </c>
      <c r="D2511"/>
      <c r="E2511">
        <v>1761</v>
      </c>
      <c r="F2511">
        <v>199</v>
      </c>
      <c r="G2511">
        <v>59.9</v>
      </c>
      <c r="H2511">
        <v>100</v>
      </c>
      <c r="I2511" t="inlineStr">
        <is>
          <t>衬衫</t>
        </is>
      </c>
      <c r="J2511" t="inlineStr">
        <is>
          <t>0.06</t>
        </is>
      </c>
      <c r="K2511"/>
      <c r="L2511" t="inlineStr">
        <is>
          <t>范致衬衫工厂店的店</t>
        </is>
      </c>
      <c r="M2511">
        <v>5373</v>
      </c>
      <c r="N2511">
        <v>4.5</v>
      </c>
      <c r="O2511">
        <v>56000</v>
      </c>
      <c r="P2511" t="inlineStr">
        <is>
          <t>680e323808e37000018ff95b</t>
        </is>
      </c>
      <c r="Q2511"/>
      <c r="R2511" t="inlineStr">
        <is>
          <t>14周</t>
        </is>
      </c>
      <c r="S2511" t="inlineStr">
        <is>
          <t>0.33</t>
        </is>
      </c>
      <c r="T2511" t="inlineStr">
        <is>
          <t>服饰穿搭</t>
        </is>
      </c>
      <c r="U2511" t="inlineStr">
        <is>
          <t>女装</t>
        </is>
      </c>
      <c r="V2511" s="3">
        <v>46112.78107638889</v>
      </c>
      <c r="W2511" t="inlineStr">
        <is>
          <t>2026-Q1</t>
        </is>
      </c>
    </row>
    <row r="2512" ht="25.5" customHeight="1">
      <c r="A2512" t="inlineStr">
        <is>
          <t>100%亚麻/鹅黄新款老钱风慵懒宽松休闲通勤长袖衬衫女</t>
        </is>
      </c>
      <c r="B2512" t="inlineStr">
        <is>
          <t>recvdWIhrw5FZv.jpg</t>
        </is>
      </c>
      <c r="C2512" s="2" t="str">
        <f>=HYPERLINK("https://xhslink.com/m/6YJFGaU0rPu", "https://xhslink.com/m/6YJFGaU0rPu")</f>
        <v>https://xhslink.com/m/6YJFGaU0rPu</v>
      </c>
      <c r="D2512"/>
      <c r="E2512">
        <v>1225</v>
      </c>
      <c r="F2512">
        <v>158</v>
      </c>
      <c r="G2512">
        <v>133</v>
      </c>
      <c r="H2512">
        <v>100</v>
      </c>
      <c r="I2512" t="inlineStr">
        <is>
          <t>衬衫</t>
        </is>
      </c>
      <c r="J2512" t="inlineStr">
        <is>
          <t>0.08</t>
        </is>
      </c>
      <c r="K2512"/>
      <c r="L2512" t="inlineStr">
        <is>
          <t>莜酱子的店</t>
        </is>
      </c>
      <c r="M2512">
        <v>5377</v>
      </c>
      <c r="N2512">
        <v>4.61</v>
      </c>
      <c r="O2512">
        <v>26000</v>
      </c>
      <c r="P2512" t="inlineStr">
        <is>
          <t>669403bcedff5d000119621e</t>
        </is>
      </c>
      <c r="Q2512"/>
      <c r="R2512" t="inlineStr">
        <is>
          <t>14周</t>
        </is>
      </c>
      <c r="S2512" t="inlineStr">
        <is>
          <t>0.23</t>
        </is>
      </c>
      <c r="T2512" t="inlineStr">
        <is>
          <t>服饰穿搭</t>
        </is>
      </c>
      <c r="U2512" t="inlineStr">
        <is>
          <t>女装</t>
        </is>
      </c>
      <c r="V2512" s="3">
        <v>46112.78107638889</v>
      </c>
      <c r="W2512" t="inlineStr">
        <is>
          <t>2026-Q1</t>
        </is>
      </c>
    </row>
    <row r="2513" ht="25.5" customHeight="1">
      <c r="A2513" t="inlineStr">
        <is>
          <t>法式慵懒感风琴褶皱衬衫女韩系清新百搭长袖衬衣</t>
        </is>
      </c>
      <c r="B2513" t="inlineStr">
        <is>
          <t>recvdWIhrw8DpS.jpg</t>
        </is>
      </c>
      <c r="C2513" s="2" t="str">
        <f>=HYPERLINK("https://xhslink.com/m/7CzzjZidSWB", "https://xhslink.com/m/7CzzjZidSWB")</f>
        <v>https://xhslink.com/m/7CzzjZidSWB</v>
      </c>
      <c r="D2513"/>
      <c r="E2513">
        <v>1083</v>
      </c>
      <c r="F2513">
        <v>129</v>
      </c>
      <c r="G2513"/>
      <c r="H2513">
        <v>100</v>
      </c>
      <c r="I2513" t="inlineStr">
        <is>
          <t>衬衫</t>
        </is>
      </c>
      <c r="J2513" t="inlineStr">
        <is>
          <t>0.09</t>
        </is>
      </c>
      <c r="K2513"/>
      <c r="L2513" t="inlineStr">
        <is>
          <t>本那那的店</t>
        </is>
      </c>
      <c r="M2513">
        <v>9651</v>
      </c>
      <c r="N2513">
        <v>4.74</v>
      </c>
      <c r="O2513">
        <v>3855</v>
      </c>
      <c r="P2513" t="inlineStr">
        <is>
          <t>6963718baae29400014d3c89</t>
        </is>
      </c>
      <c r="Q2513" t="inlineStr">
        <is>
          <t>🚫重复</t>
        </is>
      </c>
      <c r="R2513" t="inlineStr">
        <is>
          <t>14周</t>
        </is>
      </c>
      <c r="S2513" t="inlineStr">
        <is>
          <t>0.11</t>
        </is>
      </c>
      <c r="T2513" t="inlineStr">
        <is>
          <t>服饰穿搭</t>
        </is>
      </c>
      <c r="U2513" t="inlineStr">
        <is>
          <t>女装</t>
        </is>
      </c>
      <c r="V2513" s="3">
        <v>46112.78107638889</v>
      </c>
      <c r="W2513" t="inlineStr">
        <is>
          <t>2026-Q1</t>
        </is>
      </c>
    </row>
    <row r="2514" ht="25.5" customHeight="1">
      <c r="A2514" t="inlineStr">
        <is>
          <t>玉西子 · 【极地白】新疆长绒棉纱久洗不黄白衬衫衬衣上衣/CSBH530</t>
        </is>
      </c>
      <c r="B2514" t="inlineStr">
        <is>
          <t>recvdWIhrwYxCg.jpg</t>
        </is>
      </c>
      <c r="C2514" s="2" t="str">
        <f>=HYPERLINK("https://xhslink.com/m/4hqrkYxazlV", "https://xhslink.com/m/4hqrkYxazlV")</f>
        <v>https://xhslink.com/m/4hqrkYxazlV</v>
      </c>
      <c r="D2514"/>
      <c r="E2514">
        <v>9601</v>
      </c>
      <c r="F2514">
        <v>299</v>
      </c>
      <c r="G2514"/>
      <c r="H2514">
        <v>100</v>
      </c>
      <c r="I2514" t="inlineStr">
        <is>
          <t>衬衫</t>
        </is>
      </c>
      <c r="J2514" t="inlineStr">
        <is>
          <t>0.01</t>
        </is>
      </c>
      <c r="K2514"/>
      <c r="L2514" t="inlineStr">
        <is>
          <t>西子小老板娘的店</t>
        </is>
      </c>
      <c r="M2514">
        <v>175000</v>
      </c>
      <c r="N2514">
        <v>4.67</v>
      </c>
      <c r="O2514">
        <v>311000</v>
      </c>
      <c r="P2514" t="inlineStr">
        <is>
          <t>66f3e42f1609ee0001df3946</t>
        </is>
      </c>
      <c r="Q2514"/>
      <c r="R2514" t="inlineStr">
        <is>
          <t>14周</t>
        </is>
      </c>
      <c r="S2514" t="inlineStr">
        <is>
          <t>0.05</t>
        </is>
      </c>
      <c r="T2514" t="inlineStr">
        <is>
          <t>服饰穿搭</t>
        </is>
      </c>
      <c r="U2514" t="inlineStr">
        <is>
          <t>女装</t>
        </is>
      </c>
      <c r="V2514" s="3">
        <v>46112.78107638889</v>
      </c>
      <c r="W2514" t="inlineStr">
        <is>
          <t>2026-Q1</t>
        </is>
      </c>
    </row>
    <row r="2515" ht="25.5" customHeight="1">
      <c r="A2515" t="inlineStr">
        <is>
          <t>后背绣花法式通勤长袖衬衫</t>
        </is>
      </c>
      <c r="B2515" t="inlineStr">
        <is>
          <t>recvdWIhrwL6E5.jpg</t>
        </is>
      </c>
      <c r="C2515" s="2" t="str">
        <f>=HYPERLINK("https://xhslink.com/m/kvMKqpbHLI", "https://xhslink.com/m/kvMKqpbHLI")</f>
        <v>https://xhslink.com/m/kvMKqpbHLI</v>
      </c>
      <c r="D2515"/>
      <c r="E2515">
        <v>993</v>
      </c>
      <c r="F2515">
        <v>89.9</v>
      </c>
      <c r="G2515">
        <v>86.9</v>
      </c>
      <c r="H2515">
        <v>100</v>
      </c>
      <c r="I2515" t="inlineStr">
        <is>
          <t>衬衫</t>
        </is>
      </c>
      <c r="J2515" t="inlineStr">
        <is>
          <t>0.10</t>
        </is>
      </c>
      <c r="K2515"/>
      <c r="L2515" t="inlineStr">
        <is>
          <t>小妮不想吃花生的店</t>
        </is>
      </c>
      <c r="M2515">
        <v>52000</v>
      </c>
      <c r="N2515">
        <v>4.58</v>
      </c>
      <c r="O2515">
        <v>170000</v>
      </c>
      <c r="P2515" t="inlineStr">
        <is>
          <t>69046b232fdb7c0001808422</t>
        </is>
      </c>
      <c r="Q2515"/>
      <c r="R2515" t="inlineStr">
        <is>
          <t>14周</t>
        </is>
      </c>
      <c r="S2515" t="inlineStr">
        <is>
          <t>0.02</t>
        </is>
      </c>
      <c r="T2515" t="inlineStr">
        <is>
          <t>服饰穿搭</t>
        </is>
      </c>
      <c r="U2515" t="inlineStr">
        <is>
          <t>女装</t>
        </is>
      </c>
      <c r="V2515" s="3">
        <v>46112.78107638889</v>
      </c>
      <c r="W2515" t="inlineStr">
        <is>
          <t>2026-Q1</t>
        </is>
      </c>
    </row>
    <row r="2516" ht="25.5" customHeight="1">
      <c r="A2516" t="inlineStr">
        <is>
          <t>NAMIOUNI · 酵素洗~红标NAMI高级感简约棉老钱风白色衬衫百搭慵懒薄款衬衣女</t>
        </is>
      </c>
      <c r="B2516" t="inlineStr">
        <is>
          <t>recvdWIhrwEN1X.jpg</t>
        </is>
      </c>
      <c r="C2516" s="2" t="str">
        <f>=HYPERLINK("https://xhslink.com/m/A4JbKaMbMXf", "https://xhslink.com/m/A4JbKaMbMXf")</f>
        <v>https://xhslink.com/m/A4JbKaMbMXf</v>
      </c>
      <c r="D2516"/>
      <c r="E2516">
        <v>336</v>
      </c>
      <c r="F2516">
        <v>129.9</v>
      </c>
      <c r="G2516">
        <v>79.9</v>
      </c>
      <c r="H2516">
        <v>100</v>
      </c>
      <c r="I2516" t="inlineStr">
        <is>
          <t>衬衫</t>
        </is>
      </c>
      <c r="J2516" t="inlineStr">
        <is>
          <t>0.30</t>
        </is>
      </c>
      <c r="K2516"/>
      <c r="L2516" t="inlineStr">
        <is>
          <t>NAMI欧尼Studio的店</t>
        </is>
      </c>
      <c r="M2516">
        <v>8112</v>
      </c>
      <c r="N2516">
        <v>4.52</v>
      </c>
      <c r="O2516">
        <v>19000</v>
      </c>
      <c r="P2516" t="inlineStr">
        <is>
          <t>689809ff417c3f00013e8927</t>
        </is>
      </c>
      <c r="Q2516"/>
      <c r="R2516" t="inlineStr">
        <is>
          <t>14周</t>
        </is>
      </c>
      <c r="S2516" t="inlineStr">
        <is>
          <t>0.04</t>
        </is>
      </c>
      <c r="T2516" t="inlineStr">
        <is>
          <t>服饰穿搭</t>
        </is>
      </c>
      <c r="U2516" t="inlineStr">
        <is>
          <t>女装</t>
        </is>
      </c>
      <c r="V2516" s="3">
        <v>46112.78107638889</v>
      </c>
      <c r="W2516" t="inlineStr">
        <is>
          <t>2026-Q1</t>
        </is>
      </c>
    </row>
    <row r="2517" ht="25.5" customHeight="1">
      <c r="A2517" t="inlineStr">
        <is>
          <t>转角街头 蓝色蝴蝶结绑带条纹衬衫女长袖衬衣气质上衣</t>
        </is>
      </c>
      <c r="B2517" t="inlineStr">
        <is>
          <t>recvdWIhrwSMzf.jpg</t>
        </is>
      </c>
      <c r="C2517" s="2" t="str">
        <f>=HYPERLINK("https://xhslink.com/m/y9quq9aP4u", "https://xhslink.com/m/y9quq9aP4u")</f>
        <v>https://xhslink.com/m/y9quq9aP4u</v>
      </c>
      <c r="D2517"/>
      <c r="E2517">
        <v>364</v>
      </c>
      <c r="F2517">
        <v>79</v>
      </c>
      <c r="G2517">
        <v>74</v>
      </c>
      <c r="H2517">
        <v>100</v>
      </c>
      <c r="I2517" t="inlineStr">
        <is>
          <t>衬衫</t>
        </is>
      </c>
      <c r="J2517" t="inlineStr">
        <is>
          <t>0.27</t>
        </is>
      </c>
      <c r="K2517"/>
      <c r="L2517" t="inlineStr">
        <is>
          <t>莯莯不想上班的店</t>
        </is>
      </c>
      <c r="M2517">
        <v>13000</v>
      </c>
      <c r="N2517">
        <v>4.45</v>
      </c>
      <c r="O2517">
        <v>73000</v>
      </c>
      <c r="P2517" t="inlineStr">
        <is>
          <t>68b09c00aed1a40015e90f78</t>
        </is>
      </c>
      <c r="Q2517" t="inlineStr">
        <is>
          <t>🚫重复</t>
        </is>
      </c>
      <c r="R2517" t="inlineStr">
        <is>
          <t>14周</t>
        </is>
      </c>
      <c r="S2517" t="inlineStr">
        <is>
          <t>0.03</t>
        </is>
      </c>
      <c r="T2517" t="inlineStr">
        <is>
          <t>服饰穿搭</t>
        </is>
      </c>
      <c r="U2517" t="inlineStr">
        <is>
          <t>女装</t>
        </is>
      </c>
      <c r="V2517" s="3">
        <v>46112.78107638889</v>
      </c>
      <c r="W2517" t="inlineStr">
        <is>
          <t>2026-Q1</t>
        </is>
      </c>
    </row>
    <row r="2518" ht="25.5" customHeight="1">
      <c r="A2518" t="inlineStr">
        <is>
          <t>FUNINO · 设计感显瘦轻奢剪影手绘花苞A字女长袖衬衫粉白通勤夏日海边度假</t>
        </is>
      </c>
      <c r="B2518" t="inlineStr">
        <is>
          <t>recvdWIhrwoTrW.jpg</t>
        </is>
      </c>
      <c r="C2518" s="2" t="str">
        <f>=HYPERLINK("https://xhslink.com/m/9EEplGt797X", "https://xhslink.com/m/9EEplGt797X")</f>
        <v>https://xhslink.com/m/9EEplGt797X</v>
      </c>
      <c r="D2518"/>
      <c r="E2518">
        <v>4776</v>
      </c>
      <c r="F2518">
        <v>1080</v>
      </c>
      <c r="G2518"/>
      <c r="H2518">
        <v>100</v>
      </c>
      <c r="I2518" t="inlineStr">
        <is>
          <t>衬衫</t>
        </is>
      </c>
      <c r="J2518" t="inlineStr">
        <is>
          <t>0.02</t>
        </is>
      </c>
      <c r="K2518"/>
      <c r="L2518" t="inlineStr">
        <is>
          <t>FUNINO的店</t>
        </is>
      </c>
      <c r="M2518">
        <v>1662</v>
      </c>
      <c r="N2518">
        <v>4.55</v>
      </c>
      <c r="O2518">
        <v>10000</v>
      </c>
      <c r="P2518" t="inlineStr">
        <is>
          <t>67d2878dba9cf80001ce0518</t>
        </is>
      </c>
      <c r="Q2518" t="inlineStr">
        <is>
          <t>🚫重复</t>
        </is>
      </c>
      <c r="R2518" t="inlineStr">
        <is>
          <t>14周</t>
        </is>
      </c>
      <c r="S2518" t="inlineStr">
        <is>
          <t>2.87</t>
        </is>
      </c>
      <c r="T2518" t="inlineStr">
        <is>
          <t>服饰穿搭</t>
        </is>
      </c>
      <c r="U2518" t="inlineStr">
        <is>
          <t>女装</t>
        </is>
      </c>
      <c r="V2518" s="3">
        <v>46112.78107638889</v>
      </c>
      <c r="W2518" t="inlineStr">
        <is>
          <t>2026-Q1</t>
        </is>
      </c>
    </row>
    <row r="2519" ht="25.5" customHeight="1">
      <c r="A2519" t="inlineStr">
        <is>
          <t>好飘逸的感觉~莱赛尔天丝飘带设计长袖口袋气质衬衫女</t>
        </is>
      </c>
      <c r="B2519" t="inlineStr">
        <is>
          <t>recvdWIhrwpfns.jpg</t>
        </is>
      </c>
      <c r="C2519" s="2" t="str">
        <f>=HYPERLINK("https://xhslink.com/m/5RiOqeN2rE6", "https://xhslink.com/m/5RiOqeN2rE6")</f>
        <v>https://xhslink.com/m/5RiOqeN2rE6</v>
      </c>
      <c r="D2519"/>
      <c r="E2519">
        <v>301</v>
      </c>
      <c r="F2519">
        <v>79</v>
      </c>
      <c r="G2519"/>
      <c r="H2519">
        <v>100</v>
      </c>
      <c r="I2519" t="inlineStr">
        <is>
          <t>衬衫</t>
        </is>
      </c>
      <c r="J2519" t="inlineStr">
        <is>
          <t>0.33</t>
        </is>
      </c>
      <c r="K2519"/>
      <c r="L2519" t="inlineStr">
        <is>
          <t>小红书范爷的店</t>
        </is>
      </c>
      <c r="M2519">
        <v>286000</v>
      </c>
      <c r="N2519">
        <v>4.55</v>
      </c>
      <c r="O2519">
        <v>3276000</v>
      </c>
      <c r="P2519" t="inlineStr">
        <is>
          <t>69ae7f2bbefcbd00011fae19</t>
        </is>
      </c>
      <c r="Q2519" t="inlineStr">
        <is>
          <t>🚫重复</t>
        </is>
      </c>
      <c r="R2519" t="inlineStr">
        <is>
          <t>14周</t>
        </is>
      </c>
      <c r="S2519" t="inlineStr">
        <is>
          <t>0.00</t>
        </is>
      </c>
      <c r="T2519" t="inlineStr">
        <is>
          <t>服饰穿搭</t>
        </is>
      </c>
      <c r="U2519" t="inlineStr">
        <is>
          <t>女装</t>
        </is>
      </c>
      <c r="V2519" s="3">
        <v>46112.78107638889</v>
      </c>
      <c r="W2519" t="inlineStr">
        <is>
          <t>2026-Q1</t>
        </is>
      </c>
    </row>
    <row r="2520" ht="25.5" customHeight="1">
      <c r="A2520" t="inlineStr">
        <is>
          <t>【露丝同款】便携无线直发梳负离子不伤发卷直两用</t>
        </is>
      </c>
      <c r="B2520" t="inlineStr">
        <is>
          <t>recvdWIhrwtRQo.jpg</t>
        </is>
      </c>
      <c r="C2520" s="2" t="str">
        <f>=HYPERLINK("https://xhslink.com/m/76RzKbfMfMQ", "https://xhslink.com/m/76RzKbfMfMQ")</f>
        <v>https://xhslink.com/m/76RzKbfMfMQ</v>
      </c>
      <c r="D2520"/>
      <c r="E2520">
        <v>5032</v>
      </c>
      <c r="F2520">
        <v>119</v>
      </c>
      <c r="G2520">
        <v>79.9</v>
      </c>
      <c r="H2520">
        <v>100</v>
      </c>
      <c r="I2520" t="inlineStr">
        <is>
          <t>无限直发梳</t>
        </is>
      </c>
      <c r="J2520" t="inlineStr">
        <is>
          <t>0.02</t>
        </is>
      </c>
      <c r="K2520" t="inlineStr">
        <is>
          <t>🔥低粉爆款</t>
        </is>
      </c>
      <c r="L2520" t="inlineStr">
        <is>
          <t>媛媛艾米莉的店</t>
        </is>
      </c>
      <c r="M2520">
        <v>266</v>
      </c>
      <c r="N2520">
        <v>4.46</v>
      </c>
      <c r="O2520">
        <v>6077</v>
      </c>
      <c r="P2520" t="inlineStr">
        <is>
          <t>689055669e83740001cf2607</t>
        </is>
      </c>
      <c r="Q2520"/>
      <c r="R2520" t="inlineStr">
        <is>
          <t>14周</t>
        </is>
      </c>
      <c r="S2520" t="inlineStr">
        <is>
          <t>18.92</t>
        </is>
      </c>
      <c r="T2520" t="inlineStr">
        <is>
          <t>美妆个护</t>
        </is>
      </c>
      <c r="U2520" t="inlineStr">
        <is>
          <t>个人护理</t>
        </is>
      </c>
      <c r="V2520" s="3">
        <v>46112.78107638889</v>
      </c>
      <c r="W2520" t="inlineStr">
        <is>
          <t>2026-Q1</t>
        </is>
      </c>
    </row>
    <row r="2521" ht="25.5" customHeight="1">
      <c r="A2521" t="inlineStr">
        <is>
          <t>LANDTREE良萃 · 杏仁酸磨皮精华改善闭口粉刺痘痘温和刷酸不刺激泛醇杏仁酸扁桃酸</t>
        </is>
      </c>
      <c r="B2521" t="inlineStr">
        <is>
          <t>recvdWIhrwctwg.jpg</t>
        </is>
      </c>
      <c r="C2521" s="2" t="str">
        <f>=HYPERLINK("https://xhslink.com/m/tlgDQbpNZS", "https://xhslink.com/m/tlgDQbpNZS")</f>
        <v>https://xhslink.com/m/tlgDQbpNZS</v>
      </c>
      <c r="D2521"/>
      <c r="E2521">
        <v>136000</v>
      </c>
      <c r="F2521">
        <v>39</v>
      </c>
      <c r="G2521">
        <v>9.9</v>
      </c>
      <c r="H2521">
        <v>100</v>
      </c>
      <c r="I2521" t="inlineStr">
        <is>
          <t>祛痘</t>
        </is>
      </c>
      <c r="J2521" t="inlineStr">
        <is>
          <t>0.00</t>
        </is>
      </c>
      <c r="K2521"/>
      <c r="L2521" t="inlineStr">
        <is>
          <t>良萃LANDTREE旗舰店</t>
        </is>
      </c>
      <c r="M2521">
        <v>318000</v>
      </c>
      <c r="N2521">
        <v>4.66</v>
      </c>
      <c r="O2521">
        <v>1899000</v>
      </c>
      <c r="P2521" t="inlineStr">
        <is>
          <t>66c5afc3169ddd000170b4e3</t>
        </is>
      </c>
      <c r="Q2521" t="inlineStr">
        <is>
          <t>🚫重复</t>
        </is>
      </c>
      <c r="R2521" t="inlineStr">
        <is>
          <t>14周</t>
        </is>
      </c>
      <c r="S2521" t="inlineStr">
        <is>
          <t>0.43</t>
        </is>
      </c>
      <c r="T2521" t="inlineStr">
        <is>
          <t>美妆个护</t>
        </is>
      </c>
      <c r="U2521" t="inlineStr">
        <is>
          <t>护肤彩妆</t>
        </is>
      </c>
      <c r="V2521" s="3">
        <v>46112.78107638889</v>
      </c>
      <c r="W2521" t="inlineStr">
        <is>
          <t>2026-Q1</t>
        </is>
      </c>
    </row>
    <row r="2522" ht="25.5" customHeight="1">
      <c r="A2522" t="inlineStr">
        <is>
          <t>桃羽菲 · 中药祛痘膏去痘印祛痘闭口粉刺痤疮祛痘印控油修复男女青春痘成人</t>
        </is>
      </c>
      <c r="B2522" t="inlineStr">
        <is>
          <t>recvdWIhrwRaxv.jpg</t>
        </is>
      </c>
      <c r="C2522" s="2" t="str">
        <f>=HYPERLINK("https://xhslink.com/m/3ApIdPRvARc", "https://xhslink.com/m/3ApIdPRvARc")</f>
        <v>https://xhslink.com/m/3ApIdPRvARc</v>
      </c>
      <c r="D2522"/>
      <c r="E2522">
        <v>60000</v>
      </c>
      <c r="F2522">
        <v>46.8</v>
      </c>
      <c r="G2522">
        <v>35.8</v>
      </c>
      <c r="H2522">
        <v>100</v>
      </c>
      <c r="I2522" t="inlineStr">
        <is>
          <t>祛痘</t>
        </is>
      </c>
      <c r="J2522" t="inlineStr">
        <is>
          <t>0.00</t>
        </is>
      </c>
      <c r="K2522" t="inlineStr">
        <is>
          <t>🔥低粉爆款</t>
        </is>
      </c>
      <c r="L2522" t="inlineStr">
        <is>
          <t>祖传专业祛痘的店</t>
        </is>
      </c>
      <c r="M2522">
        <v>6118</v>
      </c>
      <c r="N2522">
        <v>4.54</v>
      </c>
      <c r="O2522">
        <v>119000</v>
      </c>
      <c r="P2522" t="inlineStr">
        <is>
          <t>67b55803fb9622000160f99c</t>
        </is>
      </c>
      <c r="Q2522"/>
      <c r="R2522" t="inlineStr">
        <is>
          <t>14周</t>
        </is>
      </c>
      <c r="S2522" t="inlineStr">
        <is>
          <t>9.81</t>
        </is>
      </c>
      <c r="T2522" t="inlineStr">
        <is>
          <t>美妆个护</t>
        </is>
      </c>
      <c r="U2522" t="inlineStr">
        <is>
          <t>个人护理</t>
        </is>
      </c>
      <c r="V2522" s="3">
        <v>46112.78107638889</v>
      </c>
      <c r="W2522" t="inlineStr">
        <is>
          <t>2026-Q1</t>
        </is>
      </c>
    </row>
    <row r="2523" ht="25.5" customHeight="1">
      <c r="A2523" t="inlineStr">
        <is>
          <t>岑艾堂 · 【限时特惠·可扫防伪】日本京都药业背粒消喷雾背痘消喷剂</t>
        </is>
      </c>
      <c r="B2523" t="inlineStr">
        <is>
          <t>recvdWIhrwxp9C.jpg</t>
        </is>
      </c>
      <c r="C2523" s="2" t="str">
        <f>=HYPERLINK("https://xhslink.com/m/1AZoRaazbtV", "https://xhslink.com/m/1AZoRaazbtV")</f>
        <v>https://xhslink.com/m/1AZoRaazbtV</v>
      </c>
      <c r="D2523"/>
      <c r="E2523">
        <v>42000</v>
      </c>
      <c r="F2523">
        <v>44.9</v>
      </c>
      <c r="G2523">
        <v>19.9</v>
      </c>
      <c r="H2523">
        <v>100</v>
      </c>
      <c r="I2523" t="inlineStr">
        <is>
          <t>祛痘</t>
        </is>
      </c>
      <c r="J2523" t="inlineStr">
        <is>
          <t>0.00</t>
        </is>
      </c>
      <c r="K2523" t="inlineStr">
        <is>
          <t>🔥低粉爆款</t>
        </is>
      </c>
      <c r="L2523" t="inlineStr">
        <is>
          <t>蒋发发的店</t>
        </is>
      </c>
      <c r="M2523">
        <v>877</v>
      </c>
      <c r="N2523">
        <v>4.48</v>
      </c>
      <c r="O2523">
        <v>43000</v>
      </c>
      <c r="P2523" t="inlineStr">
        <is>
          <t>65fb119e70fc9b00011a5da8</t>
        </is>
      </c>
      <c r="Q2523" t="inlineStr">
        <is>
          <t>🚫重复</t>
        </is>
      </c>
      <c r="R2523" t="inlineStr">
        <is>
          <t>14周</t>
        </is>
      </c>
      <c r="S2523" t="inlineStr">
        <is>
          <t>47.89</t>
        </is>
      </c>
      <c r="T2523" t="inlineStr">
        <is>
          <t>美妆个护</t>
        </is>
      </c>
      <c r="U2523" t="inlineStr">
        <is>
          <t>个人护理</t>
        </is>
      </c>
      <c r="V2523" s="3">
        <v>46112.78107638889</v>
      </c>
      <c r="W2523" t="inlineStr">
        <is>
          <t>2026-Q1</t>
        </is>
      </c>
    </row>
    <row r="2524" ht="25.5" customHeight="1">
      <c r="A2524" t="inlineStr">
        <is>
          <t>岑艾堂 · 【限时特惠】日本京都药业背粒消喷雾前胸痘后背痘红疙</t>
        </is>
      </c>
      <c r="B2524" t="inlineStr">
        <is>
          <t>recvdWIhrwTCNa.jpg</t>
        </is>
      </c>
      <c r="C2524" s="2" t="str">
        <f>=HYPERLINK("https://xhslink.com/m/7nMbgvdoVc1", "https://xhslink.com/m/7nMbgvdoVc1")</f>
        <v>https://xhslink.com/m/7nMbgvdoVc1</v>
      </c>
      <c r="D2524"/>
      <c r="E2524">
        <v>20000</v>
      </c>
      <c r="F2524">
        <v>39.9</v>
      </c>
      <c r="G2524">
        <v>19.9</v>
      </c>
      <c r="H2524">
        <v>100</v>
      </c>
      <c r="I2524" t="inlineStr">
        <is>
          <t>祛痘</t>
        </is>
      </c>
      <c r="J2524" t="inlineStr">
        <is>
          <t>0.01</t>
        </is>
      </c>
      <c r="K2524" t="inlineStr">
        <is>
          <t>🔥低粉爆款</t>
        </is>
      </c>
      <c r="L2524" t="inlineStr">
        <is>
          <t>妮妮baby严选好物的店</t>
        </is>
      </c>
      <c r="M2524">
        <v>44</v>
      </c>
      <c r="N2524">
        <v>4.68</v>
      </c>
      <c r="O2524">
        <v>20000</v>
      </c>
      <c r="P2524" t="inlineStr">
        <is>
          <t>67d3de9f2f87160016d738c0</t>
        </is>
      </c>
      <c r="Q2524" t="inlineStr">
        <is>
          <t>🚫重复</t>
        </is>
      </c>
      <c r="R2524" t="inlineStr">
        <is>
          <t>14周</t>
        </is>
      </c>
      <c r="S2524" t="inlineStr">
        <is>
          <t>454.55</t>
        </is>
      </c>
      <c r="T2524" t="inlineStr">
        <is>
          <t>美妆个护</t>
        </is>
      </c>
      <c r="U2524" t="inlineStr">
        <is>
          <t>个人护理</t>
        </is>
      </c>
      <c r="V2524" s="3">
        <v>46112.78107638889</v>
      </c>
      <c r="W2524" t="inlineStr">
        <is>
          <t>2026-Q1</t>
        </is>
      </c>
    </row>
    <row r="2525" ht="25.5" customHeight="1">
      <c r="A2525" t="inlineStr">
        <is>
          <t>御宛博艾 · 【限时特惠】去除背上长痘痘后背祛痘背粒消背部除螨前胸美背喷雾</t>
        </is>
      </c>
      <c r="B2525" t="inlineStr">
        <is>
          <t>recvdWIhrwqUXE.jpg</t>
        </is>
      </c>
      <c r="C2525" s="2" t="str">
        <f>=HYPERLINK("https://xhslink.com/m/7CWKCO2hdmm", "https://xhslink.com/m/7CWKCO2hdmm")</f>
        <v>https://xhslink.com/m/7CWKCO2hdmm</v>
      </c>
      <c r="D2525"/>
      <c r="E2525">
        <v>11000</v>
      </c>
      <c r="F2525">
        <v>31.5</v>
      </c>
      <c r="G2525">
        <v>19.5</v>
      </c>
      <c r="H2525">
        <v>100</v>
      </c>
      <c r="I2525" t="inlineStr">
        <is>
          <t>祛痘</t>
        </is>
      </c>
      <c r="J2525" t="inlineStr">
        <is>
          <t>0.01</t>
        </is>
      </c>
      <c r="K2525" t="inlineStr">
        <is>
          <t>🔥低粉爆款</t>
        </is>
      </c>
      <c r="L2525" t="inlineStr">
        <is>
          <t>优选美护的店</t>
        </is>
      </c>
      <c r="M2525">
        <v>71</v>
      </c>
      <c r="N2525">
        <v>4.65</v>
      </c>
      <c r="O2525">
        <v>14000</v>
      </c>
      <c r="P2525" t="inlineStr">
        <is>
          <t>6819f8297ccb230001c257ae</t>
        </is>
      </c>
      <c r="Q2525" t="inlineStr">
        <is>
          <t>🚫重复</t>
        </is>
      </c>
      <c r="R2525" t="inlineStr">
        <is>
          <t>14周</t>
        </is>
      </c>
      <c r="S2525" t="inlineStr">
        <is>
          <t>154.93</t>
        </is>
      </c>
      <c r="T2525" t="inlineStr">
        <is>
          <t>美妆个护</t>
        </is>
      </c>
      <c r="U2525" t="inlineStr">
        <is>
          <t>个人护理</t>
        </is>
      </c>
      <c r="V2525" s="3">
        <v>46112.78107638889</v>
      </c>
      <c r="W2525" t="inlineStr">
        <is>
          <t>2026-Q1</t>
        </is>
      </c>
    </row>
    <row r="2526" ht="25.5" customHeight="1">
      <c r="A2526" t="inlineStr">
        <is>
          <t>岑艾堂 · 【限时特惠·可扫防伪】日本京都药业背粒消喷雾背痘消喷剂</t>
        </is>
      </c>
      <c r="B2526" t="inlineStr">
        <is>
          <t>recvdWIhrwQpYV.jpg</t>
        </is>
      </c>
      <c r="C2526" s="2" t="str">
        <f>=HYPERLINK("https://xhslink.com/m/AVmzPZjw9aW", "https://xhslink.com/m/AVmzPZjw9aW")</f>
        <v>https://xhslink.com/m/AVmzPZjw9aW</v>
      </c>
      <c r="D2526"/>
      <c r="E2526">
        <v>42000</v>
      </c>
      <c r="F2526">
        <v>74.9</v>
      </c>
      <c r="G2526">
        <v>49.9</v>
      </c>
      <c r="H2526">
        <v>100</v>
      </c>
      <c r="I2526" t="inlineStr">
        <is>
          <t>祛痘</t>
        </is>
      </c>
      <c r="J2526" t="inlineStr">
        <is>
          <t>0.00</t>
        </is>
      </c>
      <c r="K2526" t="inlineStr">
        <is>
          <t>🔥低粉爆款</t>
        </is>
      </c>
      <c r="L2526" t="inlineStr">
        <is>
          <t>蒋发发的店</t>
        </is>
      </c>
      <c r="M2526">
        <v>877</v>
      </c>
      <c r="N2526">
        <v>4.48</v>
      </c>
      <c r="O2526">
        <v>43000</v>
      </c>
      <c r="P2526" t="inlineStr">
        <is>
          <t>65fb119e70fc9b00011a5db1</t>
        </is>
      </c>
      <c r="Q2526" t="inlineStr">
        <is>
          <t>🚫重复</t>
        </is>
      </c>
      <c r="R2526" t="inlineStr">
        <is>
          <t>14周</t>
        </is>
      </c>
      <c r="S2526" t="inlineStr">
        <is>
          <t>47.89</t>
        </is>
      </c>
      <c r="T2526" t="inlineStr">
        <is>
          <t>美妆个护</t>
        </is>
      </c>
      <c r="U2526" t="inlineStr">
        <is>
          <t>个人护理</t>
        </is>
      </c>
      <c r="V2526" s="3">
        <v>46112.78107638889</v>
      </c>
      <c r="W2526" t="inlineStr">
        <is>
          <t>2026-Q1</t>
        </is>
      </c>
    </row>
    <row r="2527" ht="25.5" customHeight="1">
      <c r="A2527" t="inlineStr">
        <is>
          <t>鲜一 · 377美白祛痘印精华液 去面部红黑痘印美白去黄补水单品/组合装</t>
        </is>
      </c>
      <c r="B2527" t="inlineStr">
        <is>
          <t>recvdWIhrwvaXU.jpg</t>
        </is>
      </c>
      <c r="C2527" s="2" t="str">
        <f>=HYPERLINK("https://xhslink.com/m/1OlzodI2dyK", "https://xhslink.com/m/1OlzodI2dyK")</f>
        <v>https://xhslink.com/m/1OlzodI2dyK</v>
      </c>
      <c r="D2527"/>
      <c r="E2527">
        <v>15000</v>
      </c>
      <c r="F2527">
        <v>187</v>
      </c>
      <c r="G2527">
        <v>157</v>
      </c>
      <c r="H2527">
        <v>100</v>
      </c>
      <c r="I2527" t="inlineStr">
        <is>
          <t>祛痘</t>
        </is>
      </c>
      <c r="J2527" t="inlineStr">
        <is>
          <t>0.01</t>
        </is>
      </c>
      <c r="K2527"/>
      <c r="L2527" t="inlineStr">
        <is>
          <t>鲜一旗舰店</t>
        </is>
      </c>
      <c r="M2527">
        <v>65000</v>
      </c>
      <c r="N2527">
        <v>4.59</v>
      </c>
      <c r="O2527">
        <v>169000</v>
      </c>
      <c r="P2527" t="inlineStr">
        <is>
          <t>68760f02e58d0700016cdc65</t>
        </is>
      </c>
      <c r="Q2527" t="inlineStr">
        <is>
          <t>🚫重复</t>
        </is>
      </c>
      <c r="R2527" t="inlineStr">
        <is>
          <t>14周</t>
        </is>
      </c>
      <c r="S2527" t="inlineStr">
        <is>
          <t>0.23</t>
        </is>
      </c>
      <c r="T2527" t="inlineStr">
        <is>
          <t>美妆个护</t>
        </is>
      </c>
      <c r="U2527" t="inlineStr">
        <is>
          <t>护肤彩妆</t>
        </is>
      </c>
      <c r="V2527" s="3">
        <v>46112.78107638889</v>
      </c>
      <c r="W2527" t="inlineStr">
        <is>
          <t>2026-Q1</t>
        </is>
      </c>
    </row>
    <row r="2528" ht="25.5" customHeight="1">
      <c r="A2528" t="inlineStr">
        <is>
          <t>布芙芙 · FUFU【粉漾星光】猫眼波点小香美甲氛围感穿戴短甲可脱卸A001</t>
        </is>
      </c>
      <c r="B2528" t="inlineStr">
        <is>
          <t>recvdWIhrwyD1U.jpg</t>
        </is>
      </c>
      <c r="C2528" s="2" t="str">
        <f>=HYPERLINK("https://xhslink.com/m/2ycbX0og29v", "https://xhslink.com/m/2ycbX0og29v")</f>
        <v>https://xhslink.com/m/2ycbX0og29v</v>
      </c>
      <c r="D2528"/>
      <c r="E2528">
        <v>29000</v>
      </c>
      <c r="F2528">
        <v>26.99</v>
      </c>
      <c r="G2528">
        <v>23.99</v>
      </c>
      <c r="H2528">
        <v>100</v>
      </c>
      <c r="I2528" t="inlineStr">
        <is>
          <t>美甲美睫</t>
        </is>
      </c>
      <c r="J2528" t="inlineStr">
        <is>
          <t>0.00</t>
        </is>
      </c>
      <c r="K2528"/>
      <c r="L2528" t="inlineStr">
        <is>
          <t>FuFu穿戴甲的店</t>
        </is>
      </c>
      <c r="M2528">
        <v>65000</v>
      </c>
      <c r="N2528">
        <v>4.27</v>
      </c>
      <c r="O2528">
        <v>127000</v>
      </c>
      <c r="P2528" t="inlineStr">
        <is>
          <t>669f700d4895030001805549</t>
        </is>
      </c>
      <c r="Q2528" t="inlineStr">
        <is>
          <t>🚫重复</t>
        </is>
      </c>
      <c r="R2528" t="inlineStr">
        <is>
          <t>14周</t>
        </is>
      </c>
      <c r="S2528" t="inlineStr">
        <is>
          <t>0.45</t>
        </is>
      </c>
      <c r="T2528" t="inlineStr">
        <is>
          <t>美妆个护</t>
        </is>
      </c>
      <c r="U2528" t="inlineStr">
        <is>
          <t>护肤彩妆</t>
        </is>
      </c>
      <c r="V2528" s="3">
        <v>46112.78107638889</v>
      </c>
      <c r="W2528" t="inlineStr">
        <is>
          <t>2026-Q1</t>
        </is>
      </c>
    </row>
    <row r="2529" ht="25.5" customHeight="1">
      <c r="A2529" t="inlineStr">
        <is>
          <t>艻茉 · 【H01~H155】12free水性可撕拉Lelmol指甲油免烤快干持久健康无味</t>
        </is>
      </c>
      <c r="B2529" t="inlineStr">
        <is>
          <t>recvdWIhrwxkWd.jpg</t>
        </is>
      </c>
      <c r="C2529" s="2" t="str">
        <f>=HYPERLINK("https://xhslink.com/m/2AfunGBsjYI", "https://xhslink.com/m/2AfunGBsjYI")</f>
        <v>https://xhslink.com/m/2AfunGBsjYI</v>
      </c>
      <c r="D2529"/>
      <c r="E2529">
        <v>20000</v>
      </c>
      <c r="F2529">
        <v>26.8</v>
      </c>
      <c r="G2529"/>
      <c r="H2529">
        <v>100</v>
      </c>
      <c r="I2529" t="inlineStr">
        <is>
          <t>美甲美睫</t>
        </is>
      </c>
      <c r="J2529" t="inlineStr">
        <is>
          <t>0.01</t>
        </is>
      </c>
      <c r="K2529"/>
      <c r="L2529" t="inlineStr">
        <is>
          <t>艻茉旗舰店</t>
        </is>
      </c>
      <c r="M2529">
        <v>16000</v>
      </c>
      <c r="N2529">
        <v>4.63</v>
      </c>
      <c r="O2529">
        <v>108000</v>
      </c>
      <c r="P2529" t="inlineStr">
        <is>
          <t>658aeccd4207d3000170959f</t>
        </is>
      </c>
      <c r="Q2529"/>
      <c r="R2529" t="inlineStr">
        <is>
          <t>14周</t>
        </is>
      </c>
      <c r="S2529" t="inlineStr">
        <is>
          <t>1.25</t>
        </is>
      </c>
      <c r="T2529" t="inlineStr">
        <is>
          <t>美妆个护</t>
        </is>
      </c>
      <c r="U2529" t="inlineStr">
        <is>
          <t>护肤彩妆</t>
        </is>
      </c>
      <c r="V2529" s="3">
        <v>46112.78107638889</v>
      </c>
      <c r="W2529" t="inlineStr">
        <is>
          <t>2026-Q1</t>
        </is>
      </c>
    </row>
    <row r="2530" ht="25.5" customHeight="1">
      <c r="A2530" t="inlineStr">
        <is>
          <t>思慕翎 · 虞美人高光猫眼胶2026爆款网红瓷白显白玻璃珠猫眼美甲店专用</t>
        </is>
      </c>
      <c r="B2530" t="inlineStr">
        <is>
          <t>recvdWIhrwlKmr.jpg</t>
        </is>
      </c>
      <c r="C2530" s="2" t="str">
        <f>=HYPERLINK("https://xhslink.com/m/9CPf6rMcuke", "https://xhslink.com/m/9CPf6rMcuke")</f>
        <v>https://xhslink.com/m/9CPf6rMcuke</v>
      </c>
      <c r="D2530"/>
      <c r="E2530">
        <v>2245</v>
      </c>
      <c r="F2530">
        <v>19.8</v>
      </c>
      <c r="G2530">
        <v>16.83</v>
      </c>
      <c r="H2530">
        <v>100</v>
      </c>
      <c r="I2530" t="inlineStr">
        <is>
          <t>美甲美睫</t>
        </is>
      </c>
      <c r="J2530" t="inlineStr">
        <is>
          <t>0.04</t>
        </is>
      </c>
      <c r="K2530"/>
      <c r="L2530" t="inlineStr">
        <is>
          <t>思慕翎美甲的店</t>
        </is>
      </c>
      <c r="M2530">
        <v>17000</v>
      </c>
      <c r="N2530">
        <v>4.79</v>
      </c>
      <c r="O2530">
        <v>15000</v>
      </c>
      <c r="P2530" t="inlineStr">
        <is>
          <t>6871b4d10e13d500015ba566</t>
        </is>
      </c>
      <c r="Q2530"/>
      <c r="R2530" t="inlineStr">
        <is>
          <t>14周</t>
        </is>
      </c>
      <c r="S2530" t="inlineStr">
        <is>
          <t>0.13</t>
        </is>
      </c>
      <c r="T2530" t="inlineStr">
        <is>
          <t>美妆个护</t>
        </is>
      </c>
      <c r="U2530" t="inlineStr">
        <is>
          <t>护肤彩妆</t>
        </is>
      </c>
      <c r="V2530" s="3">
        <v>46112.78107638889</v>
      </c>
      <c r="W2530" t="inlineStr">
        <is>
          <t>2026-Q1</t>
        </is>
      </c>
    </row>
    <row r="2531" ht="25.5" customHeight="1">
      <c r="A2531" t="inlineStr">
        <is>
          <t>TAYE她叶 · 美甲贴纸爱心雪花贴纸甲油胶拍拍胶法式蝴蝶美甲贴纸</t>
        </is>
      </c>
      <c r="B2531" t="inlineStr">
        <is>
          <t>recvdWIhrwePVw.jpg</t>
        </is>
      </c>
      <c r="C2531" s="2" t="str">
        <f>=HYPERLINK("https://xhslink.com/m/4PZ9wqDbgCz", "https://xhslink.com/m/4PZ9wqDbgCz")</f>
        <v>https://xhslink.com/m/4PZ9wqDbgCz</v>
      </c>
      <c r="D2531"/>
      <c r="E2531">
        <v>14000</v>
      </c>
      <c r="F2531">
        <v>9.9</v>
      </c>
      <c r="G2531">
        <v>5.98</v>
      </c>
      <c r="H2531">
        <v>100</v>
      </c>
      <c r="I2531" t="inlineStr">
        <is>
          <t>美甲美睫</t>
        </is>
      </c>
      <c r="J2531" t="inlineStr">
        <is>
          <t>0.01</t>
        </is>
      </c>
      <c r="K2531"/>
      <c r="L2531" t="inlineStr">
        <is>
          <t>TAYE她叶旗舰店</t>
        </is>
      </c>
      <c r="M2531">
        <v>169000</v>
      </c>
      <c r="N2531">
        <v>4.58</v>
      </c>
      <c r="O2531">
        <v>287000</v>
      </c>
      <c r="P2531" t="inlineStr">
        <is>
          <t>68cd10f0bf5d360001fb957f</t>
        </is>
      </c>
      <c r="Q2531"/>
      <c r="R2531" t="inlineStr">
        <is>
          <t>14周</t>
        </is>
      </c>
      <c r="S2531" t="inlineStr">
        <is>
          <t>0.08</t>
        </is>
      </c>
      <c r="T2531" t="inlineStr">
        <is>
          <t>美妆个护</t>
        </is>
      </c>
      <c r="U2531" t="inlineStr">
        <is>
          <t>护肤彩妆</t>
        </is>
      </c>
      <c r="V2531" s="3">
        <v>46112.78107638889</v>
      </c>
      <c r="W2531" t="inlineStr">
        <is>
          <t>2026-Q1</t>
        </is>
      </c>
    </row>
    <row r="2532" ht="25.5" customHeight="1">
      <c r="A2532" t="inlineStr">
        <is>
          <t>FAROY · 瘦长直带辅助线全贴半贴浅贴甲片自带塑型美甲免打磨超薄无痕显瘦</t>
        </is>
      </c>
      <c r="B2532" t="inlineStr">
        <is>
          <t>recvdWIhrwjZnW.jpg</t>
        </is>
      </c>
      <c r="C2532" s="2" t="str">
        <f>=HYPERLINK("https://xhslink.com/m/AFe1Mb0jV9U", "https://xhslink.com/m/AFe1Mb0jV9U")</f>
        <v>https://xhslink.com/m/AFe1Mb0jV9U</v>
      </c>
      <c r="D2532"/>
      <c r="E2532">
        <v>28000</v>
      </c>
      <c r="F2532">
        <v>26.8</v>
      </c>
      <c r="G2532">
        <v>16.8</v>
      </c>
      <c r="H2532">
        <v>100</v>
      </c>
      <c r="I2532" t="inlineStr">
        <is>
          <t>美甲美睫</t>
        </is>
      </c>
      <c r="J2532" t="inlineStr">
        <is>
          <t>0.00</t>
        </is>
      </c>
      <c r="K2532"/>
      <c r="L2532" t="inlineStr">
        <is>
          <t>FAROY美妆旗舰店</t>
        </is>
      </c>
      <c r="M2532">
        <v>13000</v>
      </c>
      <c r="N2532">
        <v>4.58</v>
      </c>
      <c r="O2532">
        <v>287000</v>
      </c>
      <c r="P2532" t="inlineStr">
        <is>
          <t>681afaf73366f10001a147d4</t>
        </is>
      </c>
      <c r="Q2532" t="inlineStr">
        <is>
          <t>🚫重复</t>
        </is>
      </c>
      <c r="R2532" t="inlineStr">
        <is>
          <t>14周</t>
        </is>
      </c>
      <c r="S2532" t="inlineStr">
        <is>
          <t>2.15</t>
        </is>
      </c>
      <c r="T2532" t="inlineStr">
        <is>
          <t>美妆个护</t>
        </is>
      </c>
      <c r="U2532" t="inlineStr">
        <is>
          <t>护肤彩妆</t>
        </is>
      </c>
      <c r="V2532" s="3">
        <v>46112.78107638889</v>
      </c>
      <c r="W2532" t="inlineStr">
        <is>
          <t>2026-Q1</t>
        </is>
      </c>
    </row>
    <row r="2533" ht="25.5" customHeight="1">
      <c r="A2533" t="inlineStr">
        <is>
          <t>Miss Candy · 【4瓶89】健康免烤速干指甲油可撕拉7ml2026春夏美甲网红爆款猫眼</t>
        </is>
      </c>
      <c r="B2533" t="inlineStr">
        <is>
          <t>recvdWIhrwLzWr.jpg</t>
        </is>
      </c>
      <c r="C2533" s="2" t="str">
        <f>=HYPERLINK("https://xhslink.com/m/1yDciGGIzS0", "https://xhslink.com/m/1yDciGGIzS0")</f>
        <v>https://xhslink.com/m/1yDciGGIzS0</v>
      </c>
      <c r="D2533"/>
      <c r="E2533">
        <v>114000</v>
      </c>
      <c r="F2533">
        <v>176</v>
      </c>
      <c r="G2533">
        <v>89</v>
      </c>
      <c r="H2533">
        <v>100</v>
      </c>
      <c r="I2533" t="inlineStr">
        <is>
          <t>美甲美睫</t>
        </is>
      </c>
      <c r="J2533" t="inlineStr">
        <is>
          <t>0.00</t>
        </is>
      </c>
      <c r="K2533"/>
      <c r="L2533" t="inlineStr">
        <is>
          <t>MissCandy旗舰店</t>
        </is>
      </c>
      <c r="M2533">
        <v>245000</v>
      </c>
      <c r="N2533">
        <v>4.77</v>
      </c>
      <c r="O2533">
        <v>284000</v>
      </c>
      <c r="P2533" t="inlineStr">
        <is>
          <t>695a64f4110a7f0001109d29</t>
        </is>
      </c>
      <c r="Q2533"/>
      <c r="R2533" t="inlineStr">
        <is>
          <t>14周</t>
        </is>
      </c>
      <c r="S2533" t="inlineStr">
        <is>
          <t>0.47</t>
        </is>
      </c>
      <c r="T2533" t="inlineStr">
        <is>
          <t>美妆个护</t>
        </is>
      </c>
      <c r="U2533" t="inlineStr">
        <is>
          <t>护肤彩妆</t>
        </is>
      </c>
      <c r="V2533" s="3">
        <v>46112.78107638889</v>
      </c>
      <c r="W2533" t="inlineStr">
        <is>
          <t>2026-Q1</t>
        </is>
      </c>
    </row>
    <row r="2534" ht="25.5" customHeight="1">
      <c r="A2534" t="inlineStr">
        <is>
          <t>布芙芙 · FUFU【粉漾星光】猫眼波点小香美甲氛围感穿戴短甲可脱卸A001</t>
        </is>
      </c>
      <c r="B2534" t="inlineStr">
        <is>
          <t>recvdWIhrwLOfX.jpg</t>
        </is>
      </c>
      <c r="C2534" s="2" t="str">
        <f>=HYPERLINK("https://xhslink.com/m/AK2RNGJVwx3", "https://xhslink.com/m/AK2RNGJVwx3")</f>
        <v>https://xhslink.com/m/AK2RNGJVwx3</v>
      </c>
      <c r="D2534"/>
      <c r="E2534">
        <v>29000</v>
      </c>
      <c r="F2534">
        <v>22.99</v>
      </c>
      <c r="G2534">
        <v>19.99</v>
      </c>
      <c r="H2534">
        <v>100</v>
      </c>
      <c r="I2534" t="inlineStr">
        <is>
          <t>美甲美睫</t>
        </is>
      </c>
      <c r="J2534" t="inlineStr">
        <is>
          <t>0.00</t>
        </is>
      </c>
      <c r="K2534"/>
      <c r="L2534" t="inlineStr">
        <is>
          <t>FuFu穿戴甲的店</t>
        </is>
      </c>
      <c r="M2534">
        <v>65000</v>
      </c>
      <c r="N2534">
        <v>4.27</v>
      </c>
      <c r="O2534">
        <v>127000</v>
      </c>
      <c r="P2534" t="inlineStr">
        <is>
          <t>66c2bb87af9c6a000143941e</t>
        </is>
      </c>
      <c r="Q2534" t="inlineStr">
        <is>
          <t>🚫重复</t>
        </is>
      </c>
      <c r="R2534" t="inlineStr">
        <is>
          <t>14周</t>
        </is>
      </c>
      <c r="S2534" t="inlineStr">
        <is>
          <t>0.45</t>
        </is>
      </c>
      <c r="T2534" t="inlineStr">
        <is>
          <t>美妆个护</t>
        </is>
      </c>
      <c r="U2534" t="inlineStr">
        <is>
          <t>护肤彩妆</t>
        </is>
      </c>
      <c r="V2534" s="3">
        <v>46112.78107638889</v>
      </c>
      <c r="W2534" t="inlineStr">
        <is>
          <t>2026-Q1</t>
        </is>
      </c>
    </row>
    <row r="2535" ht="25.5" customHeight="1">
      <c r="A2535" t="inlineStr">
        <is>
          <t>禾一斯 · 新品显白冰晶果冻玻璃珠猫眼冰透珠光爆闪美甲罐装甲油胶</t>
        </is>
      </c>
      <c r="B2535" t="inlineStr">
        <is>
          <t>recvdWIhrwZqW1.jpg</t>
        </is>
      </c>
      <c r="C2535" s="2" t="str">
        <f>=HYPERLINK("https://xhslink.com/m/6kTzyKrkZ7K", "https://xhslink.com/m/6kTzyKrkZ7K")</f>
        <v>https://xhslink.com/m/6kTzyKrkZ7K</v>
      </c>
      <c r="D2535"/>
      <c r="E2535">
        <v>14000</v>
      </c>
      <c r="F2535">
        <v>28</v>
      </c>
      <c r="G2535">
        <v>24.08</v>
      </c>
      <c r="H2535">
        <v>100</v>
      </c>
      <c r="I2535" t="inlineStr">
        <is>
          <t>美甲美睫</t>
        </is>
      </c>
      <c r="J2535" t="inlineStr">
        <is>
          <t>0.01</t>
        </is>
      </c>
      <c r="K2535"/>
      <c r="L2535" t="inlineStr">
        <is>
          <t>禾一斯美甲旗舰店</t>
        </is>
      </c>
      <c r="M2535">
        <v>7760</v>
      </c>
      <c r="N2535">
        <v>4.81</v>
      </c>
      <c r="O2535">
        <v>148000</v>
      </c>
      <c r="P2535" t="inlineStr">
        <is>
          <t>6804c0a715a11800153481e9</t>
        </is>
      </c>
      <c r="Q2535" t="inlineStr">
        <is>
          <t>🚫重复</t>
        </is>
      </c>
      <c r="R2535" t="inlineStr">
        <is>
          <t>14周</t>
        </is>
      </c>
      <c r="S2535" t="inlineStr">
        <is>
          <t>1.80</t>
        </is>
      </c>
      <c r="T2535" t="inlineStr">
        <is>
          <t>美妆个护</t>
        </is>
      </c>
      <c r="U2535" t="inlineStr">
        <is>
          <t>护肤彩妆</t>
        </is>
      </c>
      <c r="V2535" s="3">
        <v>46112.78107638889</v>
      </c>
      <c r="W2535" t="inlineStr">
        <is>
          <t>2026-Q1</t>
        </is>
      </c>
    </row>
    <row r="2536" ht="25.5" customHeight="1">
      <c r="A2536" t="inlineStr">
        <is>
          <t>Dannycoll 丹妮蔻 · 水光猫眼甲油胶推荐无底色白开水白精灵猫眼美甲胶不发灰小灯泡</t>
        </is>
      </c>
      <c r="B2536" t="inlineStr">
        <is>
          <t>recvdWIhrwmljh.jpg</t>
        </is>
      </c>
      <c r="C2536" s="2" t="str">
        <f>=HYPERLINK("https://xhslink.com/m/9zXLMgQBo02", "https://xhslink.com/m/9zXLMgQBo02")</f>
        <v>https://xhslink.com/m/9zXLMgQBo02</v>
      </c>
      <c r="D2536"/>
      <c r="E2536">
        <v>4247</v>
      </c>
      <c r="F2536">
        <v>50.4</v>
      </c>
      <c r="G2536">
        <v>42.84</v>
      </c>
      <c r="H2536">
        <v>100</v>
      </c>
      <c r="I2536" t="inlineStr">
        <is>
          <t>美甲美睫</t>
        </is>
      </c>
      <c r="J2536" t="inlineStr">
        <is>
          <t>0.02</t>
        </is>
      </c>
      <c r="K2536"/>
      <c r="L2536" t="inlineStr">
        <is>
          <t>丹妮蔻DANNY COLL旗舰店</t>
        </is>
      </c>
      <c r="M2536">
        <v>26000</v>
      </c>
      <c r="N2536">
        <v>4.57</v>
      </c>
      <c r="O2536">
        <v>244000</v>
      </c>
      <c r="P2536" t="inlineStr">
        <is>
          <t>6953989c7cad4e0001e02c35</t>
        </is>
      </c>
      <c r="Q2536" t="inlineStr">
        <is>
          <t>🚫重复</t>
        </is>
      </c>
      <c r="R2536" t="inlineStr">
        <is>
          <t>14周</t>
        </is>
      </c>
      <c r="S2536" t="inlineStr">
        <is>
          <t>0.16</t>
        </is>
      </c>
      <c r="T2536" t="inlineStr">
        <is>
          <t>美妆个护</t>
        </is>
      </c>
      <c r="U2536" t="inlineStr">
        <is>
          <t>护肤彩妆</t>
        </is>
      </c>
      <c r="V2536" s="3">
        <v>46112.78107638889</v>
      </c>
      <c r="W2536" t="inlineStr">
        <is>
          <t>2026-Q1</t>
        </is>
      </c>
    </row>
    <row r="2537" ht="25.5" customHeight="1">
      <c r="A2537" t="inlineStr">
        <is>
          <t>原纱锦纶凉感防晒衣防紫外线夏季舒适透气百搭宽松遮阳户外防晒服</t>
        </is>
      </c>
      <c r="B2537" t="inlineStr">
        <is>
          <t>recve0Cd8q8Kex.jpg</t>
        </is>
      </c>
      <c r="C2537" s="2" t="str">
        <f>=HYPERLINK("https://xhslink.com/m/4OnZ1DveRaK", "https://xhslink.com/m/4OnZ1DveRaK")</f>
        <v>https://xhslink.com/m/4OnZ1DveRaK</v>
      </c>
      <c r="D2537"/>
      <c r="E2537">
        <v>141000</v>
      </c>
      <c r="F2537">
        <v>59.9</v>
      </c>
      <c r="G2537"/>
      <c r="H2537">
        <v>100</v>
      </c>
      <c r="I2537" t="inlineStr">
        <is>
          <t>穿搭</t>
        </is>
      </c>
      <c r="J2537" t="inlineStr">
        <is>
          <t>0.00</t>
        </is>
      </c>
      <c r="K2537" t="inlineStr">
        <is>
          <t>🔥低粉爆款</t>
        </is>
      </c>
      <c r="L2537" t="inlineStr">
        <is>
          <t>与织的店</t>
        </is>
      </c>
      <c r="M2537">
        <v>7996</v>
      </c>
      <c r="N2537">
        <v>4.65</v>
      </c>
      <c r="O2537">
        <v>182000</v>
      </c>
      <c r="P2537" t="inlineStr">
        <is>
          <t>67d8f49bbb9b9d0001a31327</t>
        </is>
      </c>
      <c r="Q2537" t="inlineStr">
        <is>
          <t>🚫重复</t>
        </is>
      </c>
      <c r="R2537" t="inlineStr">
        <is>
          <t>14周</t>
        </is>
      </c>
      <c r="S2537" t="inlineStr">
        <is>
          <t>17.63</t>
        </is>
      </c>
      <c r="T2537" t="inlineStr">
        <is>
          <t>服饰穿搭</t>
        </is>
      </c>
      <c r="U2537" t="inlineStr">
        <is>
          <t>女装</t>
        </is>
      </c>
      <c r="V2537" s="3">
        <v>46112.78107638889</v>
      </c>
      <c r="W2537" t="inlineStr">
        <is>
          <t>2026-Q1</t>
        </is>
      </c>
    </row>
    <row r="2538" ht="25.5" customHeight="1">
      <c r="A2538" t="inlineStr">
        <is>
          <t>运动背心螺纹带胸垫瑜伽上衣透气健身服</t>
        </is>
      </c>
      <c r="B2538" t="inlineStr">
        <is>
          <t>recve0Cd8qfOjT.jpg</t>
        </is>
      </c>
      <c r="C2538" s="2" t="str">
        <f>=HYPERLINK("https://xhslink.com/m/7gJn8Emb0nd", "https://xhslink.com/m/7gJn8Emb0nd")</f>
        <v>https://xhslink.com/m/7gJn8Emb0nd</v>
      </c>
      <c r="D2538"/>
      <c r="E2538">
        <v>11000</v>
      </c>
      <c r="F2538">
        <v>89</v>
      </c>
      <c r="G2538"/>
      <c r="H2538">
        <v>100</v>
      </c>
      <c r="I2538" t="inlineStr">
        <is>
          <t>穿搭</t>
        </is>
      </c>
      <c r="J2538" t="inlineStr">
        <is>
          <t>0.01</t>
        </is>
      </c>
      <c r="K2538" t="inlineStr">
        <is>
          <t>🔥低粉爆款</t>
        </is>
      </c>
      <c r="L2538" t="inlineStr">
        <is>
          <t>小橙子YO的店</t>
        </is>
      </c>
      <c r="M2538">
        <v>1867</v>
      </c>
      <c r="N2538">
        <v>4.47</v>
      </c>
      <c r="O2538">
        <v>20000</v>
      </c>
      <c r="P2538" t="inlineStr">
        <is>
          <t>669a852486b87f000158a684</t>
        </is>
      </c>
      <c r="Q2538" t="inlineStr">
        <is>
          <t>🚫重复</t>
        </is>
      </c>
      <c r="R2538" t="inlineStr">
        <is>
          <t>14周</t>
        </is>
      </c>
      <c r="S2538" t="inlineStr">
        <is>
          <t>5.89</t>
        </is>
      </c>
      <c r="T2538" t="inlineStr">
        <is>
          <t>运动潮玩</t>
        </is>
      </c>
      <c r="U2538" t="inlineStr">
        <is>
          <t>运动户外装备</t>
        </is>
      </c>
      <c r="V2538" s="3">
        <v>46112.78107638889</v>
      </c>
      <c r="W2538" t="inlineStr">
        <is>
          <t>2026-Q1</t>
        </is>
      </c>
    </row>
    <row r="2539" ht="25.5" customHeight="1">
      <c r="A2539" t="inlineStr">
        <is>
          <t>【虞UU】入秋百搭神T！新款男女明线宽松显瘦户外速干长袖打底</t>
        </is>
      </c>
      <c r="B2539" t="inlineStr">
        <is>
          <t>recve0Cd8qyIPm.jpg</t>
        </is>
      </c>
      <c r="C2539" s="2" t="str">
        <f>=HYPERLINK("https://xhslink.com/m/hu7nGliLiW", "https://xhslink.com/m/hu7nGliLiW")</f>
        <v>https://xhslink.com/m/hu7nGliLiW</v>
      </c>
      <c r="D2539"/>
      <c r="E2539">
        <v>2030</v>
      </c>
      <c r="F2539">
        <v>49.9</v>
      </c>
      <c r="G2539"/>
      <c r="H2539">
        <v>100</v>
      </c>
      <c r="I2539" t="inlineStr">
        <is>
          <t>穿搭</t>
        </is>
      </c>
      <c r="J2539" t="inlineStr">
        <is>
          <t>0.05</t>
        </is>
      </c>
      <c r="K2539"/>
      <c r="L2539" t="inlineStr">
        <is>
          <t>虞优的U的店</t>
        </is>
      </c>
      <c r="M2539">
        <v>11000</v>
      </c>
      <c r="N2539">
        <v>4.46</v>
      </c>
      <c r="O2539">
        <v>101000</v>
      </c>
      <c r="P2539" t="inlineStr">
        <is>
          <t>68b338759a16410001666927</t>
        </is>
      </c>
      <c r="Q2539" t="inlineStr">
        <is>
          <t>🚫重复</t>
        </is>
      </c>
      <c r="R2539" t="inlineStr">
        <is>
          <t>14周</t>
        </is>
      </c>
      <c r="S2539" t="inlineStr">
        <is>
          <t>0.18</t>
        </is>
      </c>
      <c r="T2539" t="inlineStr">
        <is>
          <t>服饰穿搭</t>
        </is>
      </c>
      <c r="U2539" t="inlineStr">
        <is>
          <t>女装</t>
        </is>
      </c>
      <c r="V2539" s="3">
        <v>46112.78107638889</v>
      </c>
      <c r="W2539" t="inlineStr">
        <is>
          <t>2026-Q1</t>
        </is>
      </c>
    </row>
    <row r="2540" ht="25.5" customHeight="1">
      <c r="A2540" t="inlineStr">
        <is>
          <t>23宽松透气直筒垂感运动裤女高腰显瘦普拉提跑步训练瑜伽健身长裤</t>
        </is>
      </c>
      <c r="B2540" t="inlineStr">
        <is>
          <t>recve0Cd8qDCuh.jpg</t>
        </is>
      </c>
      <c r="C2540" s="2" t="str">
        <f>=HYPERLINK("https://xhslink.com/m/A2jxt8yTQP4", "https://xhslink.com/m/A2jxt8yTQP4")</f>
        <v>https://xhslink.com/m/A2jxt8yTQP4</v>
      </c>
      <c r="D2540"/>
      <c r="E2540">
        <v>19000</v>
      </c>
      <c r="F2540">
        <v>59.99</v>
      </c>
      <c r="G2540"/>
      <c r="H2540">
        <v>100</v>
      </c>
      <c r="I2540" t="inlineStr">
        <is>
          <t>穿搭</t>
        </is>
      </c>
      <c r="J2540" t="inlineStr">
        <is>
          <t>0.01</t>
        </is>
      </c>
      <c r="K2540"/>
      <c r="L2540" t="inlineStr">
        <is>
          <t>瑜伽少女Yoga的店</t>
        </is>
      </c>
      <c r="M2540">
        <v>9988</v>
      </c>
      <c r="N2540">
        <v>4.71</v>
      </c>
      <c r="O2540">
        <v>236000</v>
      </c>
      <c r="P2540" t="inlineStr">
        <is>
          <t>68ccc8fdf9d8290001108a92</t>
        </is>
      </c>
      <c r="Q2540" t="inlineStr">
        <is>
          <t>🚫重复</t>
        </is>
      </c>
      <c r="R2540" t="inlineStr">
        <is>
          <t>14周</t>
        </is>
      </c>
      <c r="S2540" t="inlineStr">
        <is>
          <t>1.90</t>
        </is>
      </c>
      <c r="T2540" t="inlineStr">
        <is>
          <t>运动潮玩</t>
        </is>
      </c>
      <c r="U2540" t="inlineStr">
        <is>
          <t>运动户外装备</t>
        </is>
      </c>
      <c r="V2540" s="3">
        <v>46112.78107638889</v>
      </c>
      <c r="W2540" t="inlineStr">
        <is>
          <t>2026-Q1</t>
        </is>
      </c>
    </row>
    <row r="2541" ht="25.5" customHeight="1">
      <c r="A2541" t="inlineStr">
        <is>
          <t>纯色翻领衬衫女春秋季宽松百搭长袖衬衣设计感大口袋简约别致上衣</t>
        </is>
      </c>
      <c r="B2541" t="inlineStr">
        <is>
          <t>recve0Cd8qo5go.jpg</t>
        </is>
      </c>
      <c r="C2541" s="2" t="str">
        <f>=HYPERLINK("https://xhslink.com/m/5axoYdfEE8x", "https://xhslink.com/m/5axoYdfEE8x")</f>
        <v>https://xhslink.com/m/5axoYdfEE8x</v>
      </c>
      <c r="D2541"/>
      <c r="E2541">
        <v>4271</v>
      </c>
      <c r="F2541">
        <v>80</v>
      </c>
      <c r="G2541">
        <v>77</v>
      </c>
      <c r="H2541">
        <v>100</v>
      </c>
      <c r="I2541" t="inlineStr">
        <is>
          <t>穿搭</t>
        </is>
      </c>
      <c r="J2541" t="inlineStr">
        <is>
          <t>0.02</t>
        </is>
      </c>
      <c r="K2541" t="inlineStr">
        <is>
          <t>🔥低粉爆款</t>
        </is>
      </c>
      <c r="L2541" t="inlineStr">
        <is>
          <t>有咖靓的店</t>
        </is>
      </c>
      <c r="M2541">
        <v>524</v>
      </c>
      <c r="N2541">
        <v>4.68</v>
      </c>
      <c r="O2541">
        <v>8307</v>
      </c>
      <c r="P2541" t="inlineStr">
        <is>
          <t>680675fe92ada40001218150</t>
        </is>
      </c>
      <c r="Q2541" t="inlineStr">
        <is>
          <t>🚫重复</t>
        </is>
      </c>
      <c r="R2541" t="inlineStr">
        <is>
          <t>14周</t>
        </is>
      </c>
      <c r="S2541" t="inlineStr">
        <is>
          <t>8.15</t>
        </is>
      </c>
      <c r="T2541" t="inlineStr">
        <is>
          <t>服饰穿搭</t>
        </is>
      </c>
      <c r="U2541" t="inlineStr">
        <is>
          <t>女装</t>
        </is>
      </c>
      <c r="V2541" s="3">
        <v>46112.78107638889</v>
      </c>
      <c r="W2541" t="inlineStr">
        <is>
          <t>2026-Q1</t>
        </is>
      </c>
    </row>
    <row r="2542" ht="25.5" customHeight="1">
      <c r="A2542" t="inlineStr">
        <is>
          <t>[正肩老钱感]春季咖色衬衣长袖上衣背心+垂感杏色西裤风衣套装</t>
        </is>
      </c>
      <c r="B2542" t="inlineStr">
        <is>
          <t>recve0Cd8q4E3T.jpg</t>
        </is>
      </c>
      <c r="C2542" s="2" t="str">
        <f>=HYPERLINK("https://xhslink.com/m/4WrXMWquHoY", "https://xhslink.com/m/4WrXMWquHoY")</f>
        <v>https://xhslink.com/m/4WrXMWquHoY</v>
      </c>
      <c r="D2542"/>
      <c r="E2542">
        <v>1636</v>
      </c>
      <c r="F2542">
        <v>34.9</v>
      </c>
      <c r="G2542"/>
      <c r="H2542">
        <v>100</v>
      </c>
      <c r="I2542" t="inlineStr">
        <is>
          <t>穿搭</t>
        </is>
      </c>
      <c r="J2542" t="inlineStr">
        <is>
          <t>0.06</t>
        </is>
      </c>
      <c r="K2542"/>
      <c r="L2542" t="inlineStr">
        <is>
          <t>可樂很快乐(春夏款上新中）的店</t>
        </is>
      </c>
      <c r="M2542">
        <v>1024000</v>
      </c>
      <c r="N2542">
        <v>4.57</v>
      </c>
      <c r="O2542">
        <v>1006000</v>
      </c>
      <c r="P2542" t="inlineStr">
        <is>
          <t>68c257de2754170001f90ea5</t>
        </is>
      </c>
      <c r="Q2542"/>
      <c r="R2542" t="inlineStr">
        <is>
          <t>14周</t>
        </is>
      </c>
      <c r="S2542" t="inlineStr">
        <is>
          <t>0.00</t>
        </is>
      </c>
      <c r="T2542" t="inlineStr">
        <is>
          <t>服饰穿搭</t>
        </is>
      </c>
      <c r="U2542" t="inlineStr">
        <is>
          <t>女装</t>
        </is>
      </c>
      <c r="V2542" s="3">
        <v>46112.78107638889</v>
      </c>
      <c r="W2542" t="inlineStr">
        <is>
          <t>2026-Q1</t>
        </is>
      </c>
    </row>
    <row r="2543" ht="25.5" customHeight="1">
      <c r="A2543" t="inlineStr">
        <is>
          <t>高级墨松绿2024新款复古墨镜女款大脸显小防紫外线UV400太阳镜082</t>
        </is>
      </c>
      <c r="B2543" t="inlineStr">
        <is>
          <t>recve0Cd8qToev.jpg</t>
        </is>
      </c>
      <c r="C2543" s="2" t="str">
        <f>=HYPERLINK("https://xhslink.com/m/4d8EYaXQfwW", "https://xhslink.com/m/4d8EYaXQfwW")</f>
        <v>https://xhslink.com/m/4d8EYaXQfwW</v>
      </c>
      <c r="D2543"/>
      <c r="E2543">
        <v>4478</v>
      </c>
      <c r="F2543">
        <v>39.9</v>
      </c>
      <c r="G2543">
        <v>37.9</v>
      </c>
      <c r="H2543">
        <v>100</v>
      </c>
      <c r="I2543" t="inlineStr">
        <is>
          <t>穿搭</t>
        </is>
      </c>
      <c r="J2543" t="inlineStr">
        <is>
          <t>0.02</t>
        </is>
      </c>
      <c r="K2543" t="inlineStr">
        <is>
          <t>🔥低粉爆款</t>
        </is>
      </c>
      <c r="L2543" t="inlineStr">
        <is>
          <t>蓝陌眼镜的店</t>
        </is>
      </c>
      <c r="M2543">
        <v>1164</v>
      </c>
      <c r="N2543">
        <v>4.61</v>
      </c>
      <c r="O2543">
        <v>21000</v>
      </c>
      <c r="P2543" t="inlineStr">
        <is>
          <t>663ef3699f9a9700017feff5</t>
        </is>
      </c>
      <c r="Q2543" t="inlineStr">
        <is>
          <t>🚫重复</t>
        </is>
      </c>
      <c r="R2543" t="inlineStr">
        <is>
          <t>14周</t>
        </is>
      </c>
      <c r="S2543" t="inlineStr">
        <is>
          <t>3.85</t>
        </is>
      </c>
      <c r="T2543" t="inlineStr">
        <is>
          <t>服饰穿搭</t>
        </is>
      </c>
      <c r="U2543" t="inlineStr">
        <is>
          <t>配饰</t>
        </is>
      </c>
      <c r="V2543" s="3">
        <v>46112.78107638889</v>
      </c>
      <c r="W2543" t="inlineStr">
        <is>
          <t>2026-Q1</t>
        </is>
      </c>
    </row>
    <row r="2544" ht="25.5" customHeight="1">
      <c r="A2544" t="inlineStr">
        <is>
          <t>木漏日杂货｜手作发圈 方巾大肠发圈 满49包邮</t>
        </is>
      </c>
      <c r="B2544" t="inlineStr">
        <is>
          <t>recve0Cd8q23Jp.jpg</t>
        </is>
      </c>
      <c r="C2544" s="2" t="str">
        <f>=HYPERLINK("https://xhslink.com/m/xqjM8aOAbJ", "https://xhslink.com/m/xqjM8aOAbJ")</f>
        <v>https://xhslink.com/m/xqjM8aOAbJ</v>
      </c>
      <c r="D2544"/>
      <c r="E2544">
        <v>6932</v>
      </c>
      <c r="F2544">
        <v>30</v>
      </c>
      <c r="G2544"/>
      <c r="H2544">
        <v>100</v>
      </c>
      <c r="I2544" t="inlineStr">
        <is>
          <t>穿搭</t>
        </is>
      </c>
      <c r="J2544" t="inlineStr">
        <is>
          <t>0.01</t>
        </is>
      </c>
      <c r="K2544"/>
      <c r="L2544" t="inlineStr">
        <is>
          <t>木漏日杂货Komorebi Lab的店</t>
        </is>
      </c>
      <c r="M2544">
        <v>3851</v>
      </c>
      <c r="N2544">
        <v>4.6</v>
      </c>
      <c r="O2544">
        <v>10000</v>
      </c>
      <c r="P2544" t="inlineStr">
        <is>
          <t>696262e0aae294000129ed18</t>
        </is>
      </c>
      <c r="Q2544"/>
      <c r="R2544" t="inlineStr">
        <is>
          <t>14周</t>
        </is>
      </c>
      <c r="S2544" t="inlineStr">
        <is>
          <t>1.80</t>
        </is>
      </c>
      <c r="T2544" t="inlineStr">
        <is>
          <t>服饰穿搭</t>
        </is>
      </c>
      <c r="U2544" t="inlineStr">
        <is>
          <t>配饰</t>
        </is>
      </c>
      <c r="V2544" s="3">
        <v>46112.78107638889</v>
      </c>
      <c r="W2544" t="inlineStr">
        <is>
          <t>2026-Q1</t>
        </is>
      </c>
    </row>
    <row r="2545" ht="25.5" customHeight="1">
      <c r="A2545" t="inlineStr">
        <is>
          <t>Sue silk22/30姆米100%桑蚕丝真丝发圈大肠发圈头绳护发伴手礼</t>
        </is>
      </c>
      <c r="B2545" t="inlineStr">
        <is>
          <t>recve0Cd8qxgo1.jpg</t>
        </is>
      </c>
      <c r="C2545" s="2" t="str">
        <f>=HYPERLINK("https://xhslink.com/m/3QYHSaGwP4r", "https://xhslink.com/m/3QYHSaGwP4r")</f>
        <v>https://xhslink.com/m/3QYHSaGwP4r</v>
      </c>
      <c r="D2545"/>
      <c r="E2545">
        <v>74000</v>
      </c>
      <c r="F2545">
        <v>19.9</v>
      </c>
      <c r="G2545"/>
      <c r="H2545">
        <v>100</v>
      </c>
      <c r="I2545" t="inlineStr">
        <is>
          <t>穿搭</t>
        </is>
      </c>
      <c r="J2545" t="inlineStr">
        <is>
          <t>0.00</t>
        </is>
      </c>
      <c r="K2545" t="inlineStr">
        <is>
          <t>🔥低粉爆款</t>
        </is>
      </c>
      <c r="L2545" t="inlineStr">
        <is>
          <t>Sue Silk的店</t>
        </is>
      </c>
      <c r="M2545">
        <v>10000</v>
      </c>
      <c r="N2545">
        <v>4.64</v>
      </c>
      <c r="O2545">
        <v>138000</v>
      </c>
      <c r="P2545" t="inlineStr">
        <is>
          <t>6404201e5039f7000195e94f</t>
        </is>
      </c>
      <c r="Q2545" t="inlineStr">
        <is>
          <t>🚫重复</t>
        </is>
      </c>
      <c r="R2545" t="inlineStr">
        <is>
          <t>14周</t>
        </is>
      </c>
      <c r="S2545" t="inlineStr">
        <is>
          <t>7.40</t>
        </is>
      </c>
      <c r="T2545" t="inlineStr">
        <is>
          <t>美妆个护</t>
        </is>
      </c>
      <c r="U2545" t="inlineStr">
        <is>
          <t>个人护理</t>
        </is>
      </c>
      <c r="V2545" s="3">
        <v>46112.78107638889</v>
      </c>
      <c r="W2545" t="inlineStr">
        <is>
          <t>2026-Q1</t>
        </is>
      </c>
    </row>
    <row r="2546" ht="25.5" customHeight="1">
      <c r="A2546" t="inlineStr">
        <is>
          <t>千鸟格ins韩版防晒帽网红出游uv防紫外线遮阳帽大檐渔夫帽子女夏</t>
        </is>
      </c>
      <c r="B2546" t="inlineStr">
        <is>
          <t>recve0Cd8qIH66.jpg</t>
        </is>
      </c>
      <c r="C2546" s="2" t="str">
        <f>=HYPERLINK("https://xhslink.com/m/7s5YRWrYGwT", "https://xhslink.com/m/7s5YRWrYGwT")</f>
        <v>https://xhslink.com/m/7s5YRWrYGwT</v>
      </c>
      <c r="D2546"/>
      <c r="E2546">
        <v>25000</v>
      </c>
      <c r="F2546">
        <v>29.98</v>
      </c>
      <c r="G2546"/>
      <c r="H2546">
        <v>100</v>
      </c>
      <c r="I2546" t="inlineStr">
        <is>
          <t>穿搭</t>
        </is>
      </c>
      <c r="J2546" t="inlineStr">
        <is>
          <t>0.00</t>
        </is>
      </c>
      <c r="K2546"/>
      <c r="L2546" t="inlineStr">
        <is>
          <t>UN酱的店</t>
        </is>
      </c>
      <c r="M2546">
        <v>18000</v>
      </c>
      <c r="N2546">
        <v>4.47</v>
      </c>
      <c r="O2546">
        <v>213000</v>
      </c>
      <c r="P2546" t="inlineStr">
        <is>
          <t>6603d6aaf8b8cd00018ec383</t>
        </is>
      </c>
      <c r="Q2546" t="inlineStr">
        <is>
          <t>🚫重复</t>
        </is>
      </c>
      <c r="R2546" t="inlineStr">
        <is>
          <t>14周</t>
        </is>
      </c>
      <c r="S2546" t="inlineStr">
        <is>
          <t>1.39</t>
        </is>
      </c>
      <c r="T2546" t="inlineStr">
        <is>
          <t>服饰穿搭</t>
        </is>
      </c>
      <c r="U2546" t="inlineStr">
        <is>
          <t>配饰</t>
        </is>
      </c>
      <c r="V2546" s="3">
        <v>46112.78107638889</v>
      </c>
      <c r="W2546" t="inlineStr">
        <is>
          <t>2026-Q1</t>
        </is>
      </c>
    </row>
    <row r="2547" ht="25.5" customHeight="1">
      <c r="A2547" t="inlineStr">
        <is>
          <t>大容量手工编织包包女ins森系文艺复古镂空托特包慵懒休闲单肩包</t>
        </is>
      </c>
      <c r="B2547" t="inlineStr">
        <is>
          <t>recve0Cd8qPBDr.jpg</t>
        </is>
      </c>
      <c r="C2547" s="2" t="str">
        <f>=HYPERLINK("https://xhslink.com/m/15Sr8swDsmx", "https://xhslink.com/m/15Sr8swDsmx")</f>
        <v>https://xhslink.com/m/15Sr8swDsmx</v>
      </c>
      <c r="D2547"/>
      <c r="E2547">
        <v>14000</v>
      </c>
      <c r="F2547">
        <v>36.99</v>
      </c>
      <c r="G2547">
        <v>33.99</v>
      </c>
      <c r="H2547">
        <v>100</v>
      </c>
      <c r="I2547" t="inlineStr">
        <is>
          <t>穿搭</t>
        </is>
      </c>
      <c r="J2547" t="inlineStr">
        <is>
          <t>0.01</t>
        </is>
      </c>
      <c r="K2547" t="inlineStr">
        <is>
          <t>🔥低粉爆款</t>
        </is>
      </c>
      <c r="L2547" t="inlineStr">
        <is>
          <t>花財叭的店</t>
        </is>
      </c>
      <c r="M2547">
        <v>829</v>
      </c>
      <c r="N2547">
        <v>4.57</v>
      </c>
      <c r="O2547">
        <v>22000</v>
      </c>
      <c r="P2547" t="inlineStr">
        <is>
          <t>683951662b69e80001327bd8</t>
        </is>
      </c>
      <c r="Q2547"/>
      <c r="R2547" t="inlineStr">
        <is>
          <t>14周</t>
        </is>
      </c>
      <c r="S2547" t="inlineStr">
        <is>
          <t>16.89</t>
        </is>
      </c>
      <c r="T2547" t="inlineStr">
        <is>
          <t>服饰穿搭</t>
        </is>
      </c>
      <c r="U2547" t="inlineStr">
        <is>
          <t>鞋靴箱包</t>
        </is>
      </c>
      <c r="V2547" s="3">
        <v>46112.78107638889</v>
      </c>
      <c r="W2547" t="inlineStr">
        <is>
          <t>2026-Q1</t>
        </is>
      </c>
    </row>
    <row r="2548" ht="25.5" customHeight="1">
      <c r="A2548" t="inlineStr">
        <is>
          <t>万向轮出差登机包大容量旅行包可扩容购物袋行李包折叠学生衣服包</t>
        </is>
      </c>
      <c r="B2548" t="inlineStr">
        <is>
          <t>recve0Cd8qxQWe.jpg</t>
        </is>
      </c>
      <c r="C2548" s="2" t="str">
        <f>=HYPERLINK("https://xhslink.com/m/6Joij4uGpYI", "https://xhslink.com/m/6Joij4uGpYI")</f>
        <v>https://xhslink.com/m/6Joij4uGpYI</v>
      </c>
      <c r="D2548"/>
      <c r="E2548">
        <v>20000</v>
      </c>
      <c r="F2548">
        <v>37.9</v>
      </c>
      <c r="G2548"/>
      <c r="H2548">
        <v>100</v>
      </c>
      <c r="I2548" t="inlineStr">
        <is>
          <t>穿搭</t>
        </is>
      </c>
      <c r="J2548" t="inlineStr">
        <is>
          <t>0.01</t>
        </is>
      </c>
      <c r="K2548" t="inlineStr">
        <is>
          <t>🔥低粉爆款</t>
        </is>
      </c>
      <c r="L2548" t="inlineStr">
        <is>
          <t>途乐旅游箱包店的店</t>
        </is>
      </c>
      <c r="M2548">
        <v>1043</v>
      </c>
      <c r="N2548">
        <v>4.71</v>
      </c>
      <c r="O2548">
        <v>22000</v>
      </c>
      <c r="P2548" t="inlineStr">
        <is>
          <t>65e5233f88bacf0001e76b34</t>
        </is>
      </c>
      <c r="Q2548" t="inlineStr">
        <is>
          <t>🚫重复</t>
        </is>
      </c>
      <c r="R2548" t="inlineStr">
        <is>
          <t>14周</t>
        </is>
      </c>
      <c r="S2548" t="inlineStr">
        <is>
          <t>19.18</t>
        </is>
      </c>
      <c r="T2548" t="inlineStr">
        <is>
          <t>运动潮玩</t>
        </is>
      </c>
      <c r="U2548" t="inlineStr">
        <is>
          <t>旅行出行</t>
        </is>
      </c>
      <c r="V2548" s="3">
        <v>46112.78107638889</v>
      </c>
      <c r="W2548" t="inlineStr">
        <is>
          <t>2026-Q1</t>
        </is>
      </c>
    </row>
    <row r="2549" ht="25.5" customHeight="1">
      <c r="A2549" t="inlineStr">
        <is>
          <t>轻盈版跑步运动无痕防晒帽全脸遮阳帽显脸小夏季骑行空顶太阳帽子</t>
        </is>
      </c>
      <c r="B2549" t="inlineStr">
        <is>
          <t>recve0Cd8qShhu.jpg</t>
        </is>
      </c>
      <c r="C2549" s="2" t="str">
        <f>=HYPERLINK("https://xhslink.com/m/8MyJ02P3dxD", "https://xhslink.com/m/8MyJ02P3dxD")</f>
        <v>https://xhslink.com/m/8MyJ02P3dxD</v>
      </c>
      <c r="D2549"/>
      <c r="E2549">
        <v>39000</v>
      </c>
      <c r="F2549">
        <v>39.9</v>
      </c>
      <c r="G2549"/>
      <c r="H2549">
        <v>100</v>
      </c>
      <c r="I2549" t="inlineStr">
        <is>
          <t>穿搭</t>
        </is>
      </c>
      <c r="J2549" t="inlineStr">
        <is>
          <t>0.00</t>
        </is>
      </c>
      <c r="K2549"/>
      <c r="L2549" t="inlineStr">
        <is>
          <t>多肉脸橙子的店</t>
        </is>
      </c>
      <c r="M2549">
        <v>82000</v>
      </c>
      <c r="N2549">
        <v>4.48</v>
      </c>
      <c r="O2549">
        <v>1276000</v>
      </c>
      <c r="P2549" t="inlineStr">
        <is>
          <t>67079ecf30fccd0001cff8cf</t>
        </is>
      </c>
      <c r="Q2549" t="inlineStr">
        <is>
          <t>🚫重复</t>
        </is>
      </c>
      <c r="R2549" t="inlineStr">
        <is>
          <t>14周</t>
        </is>
      </c>
      <c r="S2549" t="inlineStr">
        <is>
          <t>0.48</t>
        </is>
      </c>
      <c r="T2549" t="inlineStr">
        <is>
          <t>运动潮玩</t>
        </is>
      </c>
      <c r="U2549" t="inlineStr">
        <is>
          <t>运动户外装备</t>
        </is>
      </c>
      <c r="V2549" s="3">
        <v>46112.78107638889</v>
      </c>
      <c r="W2549" t="inlineStr">
        <is>
          <t>2026-Q1</t>
        </is>
      </c>
    </row>
    <row r="2550" ht="25.5" customHeight="1">
      <c r="A2550" t="inlineStr">
        <is>
          <t>【橙子家】大头围55-64字母棒球帽女显脸小宽帽檐秋冬韩版鸭舌帽</t>
        </is>
      </c>
      <c r="B2550" t="inlineStr">
        <is>
          <t>recve0Cd8qCe6y.jpg</t>
        </is>
      </c>
      <c r="C2550" s="2" t="str">
        <f>=HYPERLINK("https://xhslink.com/m/8qWuD2swIvU", "https://xhslink.com/m/8qWuD2swIvU")</f>
        <v>https://xhslink.com/m/8qWuD2swIvU</v>
      </c>
      <c r="D2550"/>
      <c r="E2550">
        <v>84000</v>
      </c>
      <c r="F2550">
        <v>36</v>
      </c>
      <c r="G2550"/>
      <c r="H2550">
        <v>100</v>
      </c>
      <c r="I2550" t="inlineStr">
        <is>
          <t>穿搭</t>
        </is>
      </c>
      <c r="J2550" t="inlineStr">
        <is>
          <t>0.00</t>
        </is>
      </c>
      <c r="K2550"/>
      <c r="L2550" t="inlineStr">
        <is>
          <t>多肉脸橙子的店</t>
        </is>
      </c>
      <c r="M2550">
        <v>82000</v>
      </c>
      <c r="N2550">
        <v>4.48</v>
      </c>
      <c r="O2550">
        <v>1276000</v>
      </c>
      <c r="P2550" t="inlineStr">
        <is>
          <t>6614f47b96376d00017f7da3</t>
        </is>
      </c>
      <c r="Q2550" t="inlineStr">
        <is>
          <t>🚫重复</t>
        </is>
      </c>
      <c r="R2550" t="inlineStr">
        <is>
          <t>14周</t>
        </is>
      </c>
      <c r="S2550" t="inlineStr">
        <is>
          <t>1.02</t>
        </is>
      </c>
      <c r="T2550" t="inlineStr">
        <is>
          <t>服饰穿搭</t>
        </is>
      </c>
      <c r="U2550" t="inlineStr">
        <is>
          <t>女装</t>
        </is>
      </c>
      <c r="V2550" s="3">
        <v>46112.78107638889</v>
      </c>
      <c r="W2550" t="inlineStr">
        <is>
          <t>2026-Q1</t>
        </is>
      </c>
    </row>
    <row r="2551" ht="25.5" customHeight="1">
      <c r="A2551" t="inlineStr">
        <is>
          <t>软顶有型～简约百搭棒球帽子（布鲁克林鸭舌帽）</t>
        </is>
      </c>
      <c r="B2551" t="inlineStr">
        <is>
          <t>recve0Cd8qvvHE.jpg</t>
        </is>
      </c>
      <c r="C2551" s="2" t="str">
        <f>=HYPERLINK("https://xhslink.com/m/58aIoqDrMR5", "https://xhslink.com/m/58aIoqDrMR5")</f>
        <v>https://xhslink.com/m/58aIoqDrMR5</v>
      </c>
      <c r="D2551"/>
      <c r="E2551">
        <v>10000</v>
      </c>
      <c r="F2551">
        <v>39.9</v>
      </c>
      <c r="G2551"/>
      <c r="H2551">
        <v>100</v>
      </c>
      <c r="I2551" t="inlineStr">
        <is>
          <t>穿搭</t>
        </is>
      </c>
      <c r="J2551" t="inlineStr">
        <is>
          <t>0.01</t>
        </is>
      </c>
      <c r="K2551"/>
      <c r="L2551" t="inlineStr">
        <is>
          <t>卷卷小强的店</t>
        </is>
      </c>
      <c r="M2551">
        <v>19000</v>
      </c>
      <c r="N2551">
        <v>4.64</v>
      </c>
      <c r="O2551">
        <v>198000</v>
      </c>
      <c r="P2551" t="inlineStr">
        <is>
          <t>65e352903f330b0001e885f9</t>
        </is>
      </c>
      <c r="Q2551" t="inlineStr">
        <is>
          <t>🚫重复</t>
        </is>
      </c>
      <c r="R2551" t="inlineStr">
        <is>
          <t>14周</t>
        </is>
      </c>
      <c r="S2551" t="inlineStr">
        <is>
          <t>0.53</t>
        </is>
      </c>
      <c r="T2551" t="inlineStr">
        <is>
          <t>服饰穿搭</t>
        </is>
      </c>
      <c r="U2551" t="inlineStr">
        <is>
          <t>配饰</t>
        </is>
      </c>
      <c r="V2551" s="3">
        <v>46112.78107638889</v>
      </c>
      <c r="W2551" t="inlineStr">
        <is>
          <t>2026-Q1</t>
        </is>
      </c>
    </row>
    <row r="2552" ht="25.5" customHeight="1">
      <c r="A2552" t="inlineStr">
        <is>
          <t>大容量双肩包女户外背包初高中大学生书包百搭旅行包15寸电脑背包</t>
        </is>
      </c>
      <c r="B2552" t="inlineStr">
        <is>
          <t>recve0Cd8qiR4n.jpg</t>
        </is>
      </c>
      <c r="C2552" s="2" t="str">
        <f>=HYPERLINK("https://xhslink.com/m/23Gkxwv4Zv3", "https://xhslink.com/m/23Gkxwv4Zv3")</f>
        <v>https://xhslink.com/m/23Gkxwv4Zv3</v>
      </c>
      <c r="D2552"/>
      <c r="E2552">
        <v>7491</v>
      </c>
      <c r="F2552">
        <v>59.9</v>
      </c>
      <c r="G2552"/>
      <c r="H2552">
        <v>100</v>
      </c>
      <c r="I2552" t="inlineStr">
        <is>
          <t>穿搭</t>
        </is>
      </c>
      <c r="J2552" t="inlineStr">
        <is>
          <t>0.01</t>
        </is>
      </c>
      <c r="K2552"/>
      <c r="L2552" t="inlineStr">
        <is>
          <t>慢客箱包的店</t>
        </is>
      </c>
      <c r="M2552">
        <v>2889</v>
      </c>
      <c r="N2552">
        <v>4.79</v>
      </c>
      <c r="O2552">
        <v>76000</v>
      </c>
      <c r="P2552" t="inlineStr">
        <is>
          <t>68fdc72a3f37a900010545ea</t>
        </is>
      </c>
      <c r="Q2552" t="inlineStr">
        <is>
          <t>🚫重复</t>
        </is>
      </c>
      <c r="R2552" t="inlineStr">
        <is>
          <t>14周</t>
        </is>
      </c>
      <c r="S2552" t="inlineStr">
        <is>
          <t>2.59</t>
        </is>
      </c>
      <c r="T2552" t="inlineStr">
        <is>
          <t>服饰穿搭</t>
        </is>
      </c>
      <c r="U2552" t="inlineStr">
        <is>
          <t>鞋靴箱包</t>
        </is>
      </c>
      <c r="V2552" s="3">
        <v>46112.78107638889</v>
      </c>
      <c r="W2552" t="inlineStr">
        <is>
          <t>2026-Q1</t>
        </is>
      </c>
    </row>
    <row r="2553" ht="25.5" customHeight="1">
      <c r="A2553" t="inlineStr">
        <is>
          <t>黑色前进帽美式复古大头围帽子秋冬季麂皮绒加深贝雷帽女款鸭舌帽</t>
        </is>
      </c>
      <c r="B2553" t="inlineStr">
        <is>
          <t>recve0Cd8qtOhu.jpg</t>
        </is>
      </c>
      <c r="C2553" s="2" t="str">
        <f>=HYPERLINK("https://xhslink.com/m/4HLRrbRZ8yi", "https://xhslink.com/m/4HLRrbRZ8yi")</f>
        <v>https://xhslink.com/m/4HLRrbRZ8yi</v>
      </c>
      <c r="D2553"/>
      <c r="E2553">
        <v>29000</v>
      </c>
      <c r="F2553">
        <v>38</v>
      </c>
      <c r="G2553"/>
      <c r="H2553">
        <v>100</v>
      </c>
      <c r="I2553" t="inlineStr">
        <is>
          <t>穿搭</t>
        </is>
      </c>
      <c r="J2553" t="inlineStr">
        <is>
          <t>0.00</t>
        </is>
      </c>
      <c r="K2553"/>
      <c r="L2553" t="inlineStr">
        <is>
          <t>大大轻奢配饰的店</t>
        </is>
      </c>
      <c r="M2553">
        <v>22000</v>
      </c>
      <c r="N2553">
        <v>4.77</v>
      </c>
      <c r="O2553">
        <v>274000</v>
      </c>
      <c r="P2553" t="inlineStr">
        <is>
          <t>66b33239d238bc0001f4641a</t>
        </is>
      </c>
      <c r="Q2553" t="inlineStr">
        <is>
          <t>🚫重复</t>
        </is>
      </c>
      <c r="R2553" t="inlineStr">
        <is>
          <t>14周</t>
        </is>
      </c>
      <c r="S2553" t="inlineStr">
        <is>
          <t>1.32</t>
        </is>
      </c>
      <c r="T2553" t="inlineStr">
        <is>
          <t>服饰穿搭</t>
        </is>
      </c>
      <c r="U2553" t="inlineStr">
        <is>
          <t>配饰</t>
        </is>
      </c>
      <c r="V2553" s="3">
        <v>46112.78107638889</v>
      </c>
      <c r="W2553" t="inlineStr">
        <is>
          <t>2026-Q1</t>
        </is>
      </c>
    </row>
    <row r="2554" ht="25.5" customHeight="1">
      <c r="A2554" t="inlineStr">
        <is>
          <t>MOMO家早春新款韩国小众潮复古刺绣字母鸭舌帽子女显脸小棒球帽男</t>
        </is>
      </c>
      <c r="B2554" t="inlineStr">
        <is>
          <t>recve0Cd8qWzdh.jpg</t>
        </is>
      </c>
      <c r="C2554" s="2" t="str">
        <f>=HYPERLINK("https://xhslink.com/m/6uogDUSx81n", "https://xhslink.com/m/6uogDUSx81n")</f>
        <v>https://xhslink.com/m/6uogDUSx81n</v>
      </c>
      <c r="D2554"/>
      <c r="E2554">
        <v>1990</v>
      </c>
      <c r="F2554">
        <v>39.8</v>
      </c>
      <c r="G2554">
        <v>37.8</v>
      </c>
      <c r="H2554">
        <v>100</v>
      </c>
      <c r="I2554" t="inlineStr">
        <is>
          <t>穿搭</t>
        </is>
      </c>
      <c r="J2554" t="inlineStr">
        <is>
          <t>0.05</t>
        </is>
      </c>
      <c r="K2554"/>
      <c r="L2554" t="inlineStr">
        <is>
          <t>MOMO家的店</t>
        </is>
      </c>
      <c r="M2554">
        <v>13000</v>
      </c>
      <c r="N2554">
        <v>4.69</v>
      </c>
      <c r="O2554">
        <v>88000</v>
      </c>
      <c r="P2554" t="inlineStr">
        <is>
          <t>6970dee9f5bc340001cd4491</t>
        </is>
      </c>
      <c r="Q2554"/>
      <c r="R2554" t="inlineStr">
        <is>
          <t>14周</t>
        </is>
      </c>
      <c r="S2554" t="inlineStr">
        <is>
          <t>0.15</t>
        </is>
      </c>
      <c r="T2554" t="inlineStr">
        <is>
          <t>服饰穿搭</t>
        </is>
      </c>
      <c r="U2554" t="inlineStr">
        <is>
          <t>配饰</t>
        </is>
      </c>
      <c r="V2554" s="3">
        <v>46112.78107638889</v>
      </c>
      <c r="W2554" t="inlineStr">
        <is>
          <t>2026-Q1</t>
        </is>
      </c>
    </row>
    <row r="2555" ht="25.5" customHeight="1">
      <c r="A2555" t="inlineStr">
        <is>
          <t>GUTOJOURNEY · 硬纸草镂空棉麻织带草编帽女夏季出游旅行防紫外线平顶草帽遮阳帽</t>
        </is>
      </c>
      <c r="B2555" t="inlineStr">
        <is>
          <t>recve0Cd8qozx1.jpg</t>
        </is>
      </c>
      <c r="C2555" s="2" t="str">
        <f>=HYPERLINK("https://xhslink.com/m/4ARCCzTvJKf", "https://xhslink.com/m/4ARCCzTvJKf")</f>
        <v>https://xhslink.com/m/4ARCCzTvJKf</v>
      </c>
      <c r="D2555"/>
      <c r="E2555">
        <v>53000</v>
      </c>
      <c r="F2555">
        <v>39.9</v>
      </c>
      <c r="G2555"/>
      <c r="H2555">
        <v>100</v>
      </c>
      <c r="I2555" t="inlineStr">
        <is>
          <t>穿搭</t>
        </is>
      </c>
      <c r="J2555" t="inlineStr">
        <is>
          <t>0.00</t>
        </is>
      </c>
      <c r="K2555" t="inlineStr">
        <is>
          <t>🔥低粉爆款</t>
        </is>
      </c>
      <c r="L2555" t="inlineStr">
        <is>
          <t>Adadaada的店</t>
        </is>
      </c>
      <c r="M2555">
        <v>17000</v>
      </c>
      <c r="N2555">
        <v>4.61</v>
      </c>
      <c r="O2555">
        <v>94000</v>
      </c>
      <c r="P2555" t="inlineStr">
        <is>
          <t>66791df6646d15000156768a</t>
        </is>
      </c>
      <c r="Q2555"/>
      <c r="R2555" t="inlineStr">
        <is>
          <t>14周</t>
        </is>
      </c>
      <c r="S2555" t="inlineStr">
        <is>
          <t>3.12</t>
        </is>
      </c>
      <c r="T2555" t="inlineStr">
        <is>
          <t>运动潮玩</t>
        </is>
      </c>
      <c r="U2555" t="inlineStr">
        <is>
          <t>旅行出行</t>
        </is>
      </c>
      <c r="V2555" s="3">
        <v>46112.78107638889</v>
      </c>
      <c r="W2555" t="inlineStr">
        <is>
          <t>2026-Q1</t>
        </is>
      </c>
    </row>
    <row r="2556" ht="25.5" customHeight="1">
      <c r="A2556" t="inlineStr">
        <is>
          <t>【正版 出版社直发】儿童好奇心大百科书 思考世界的孩子 科普书</t>
        </is>
      </c>
      <c r="B2556" t="inlineStr">
        <is>
          <t>recve0Cd8qNi9q.jpg</t>
        </is>
      </c>
      <c r="C2556" s="2" t="str">
        <f>=HYPERLINK("https://xhslink.com/m/2M3QSQ9rKKf", "https://xhslink.com/m/2M3QSQ9rKKf")</f>
        <v>https://xhslink.com/m/2M3QSQ9rKKf</v>
      </c>
      <c r="D2556"/>
      <c r="E2556">
        <v>64000</v>
      </c>
      <c r="F2556">
        <v>29.8</v>
      </c>
      <c r="G2556"/>
      <c r="H2556">
        <v>100</v>
      </c>
      <c r="I2556" t="inlineStr">
        <is>
          <t>亲子</t>
        </is>
      </c>
      <c r="J2556" t="inlineStr">
        <is>
          <t>0.00</t>
        </is>
      </c>
      <c r="K2556"/>
      <c r="L2556" t="inlineStr">
        <is>
          <t>小宇的书屋的店</t>
        </is>
      </c>
      <c r="M2556">
        <v>52000</v>
      </c>
      <c r="N2556">
        <v>4.58</v>
      </c>
      <c r="O2556">
        <v>477000</v>
      </c>
      <c r="P2556" t="inlineStr">
        <is>
          <t>670893508b7cdc000158fb21</t>
        </is>
      </c>
      <c r="Q2556" t="inlineStr">
        <is>
          <t>🚫重复</t>
        </is>
      </c>
      <c r="R2556" t="inlineStr">
        <is>
          <t>14周</t>
        </is>
      </c>
      <c r="S2556" t="inlineStr">
        <is>
          <t>1.23</t>
        </is>
      </c>
      <c r="T2556" t="inlineStr">
        <is>
          <t>母婴亲子</t>
        </is>
      </c>
      <c r="U2556" t="inlineStr">
        <is>
          <t>童装童鞋</t>
        </is>
      </c>
      <c r="V2556" s="3">
        <v>46112.78107638889</v>
      </c>
      <c r="W2556" t="inlineStr">
        <is>
          <t>2026-Q1</t>
        </is>
      </c>
    </row>
    <row r="2557" ht="25.5" customHeight="1">
      <c r="A2557" t="inlineStr">
        <is>
          <t>马卡龙色磁吸支架磨砂华为mate80/70/60pro手机壳Pura80/70/60pro</t>
        </is>
      </c>
      <c r="B2557" t="inlineStr">
        <is>
          <t>recve0Cd8qUfp8.jpg</t>
        </is>
      </c>
      <c r="C2557" s="2" t="str">
        <f>=HYPERLINK("https://xhslink.com/m/11KJpe0eOqO", "https://xhslink.com/m/11KJpe0eOqO")</f>
        <v>https://xhslink.com/m/11KJpe0eOqO</v>
      </c>
      <c r="D2557"/>
      <c r="E2557">
        <v>17000</v>
      </c>
      <c r="F2557">
        <v>25.8</v>
      </c>
      <c r="G2557"/>
      <c r="H2557">
        <v>100</v>
      </c>
      <c r="I2557" t="inlineStr">
        <is>
          <t>数码</t>
        </is>
      </c>
      <c r="J2557" t="inlineStr">
        <is>
          <t>0.01</t>
        </is>
      </c>
      <c r="K2557"/>
      <c r="L2557" t="inlineStr">
        <is>
          <t>kaixin Case的店</t>
        </is>
      </c>
      <c r="M2557">
        <v>11000</v>
      </c>
      <c r="N2557">
        <v>4.22</v>
      </c>
      <c r="O2557">
        <v>71000</v>
      </c>
      <c r="P2557" t="inlineStr">
        <is>
          <t>6609238a5c3c5a00015deb7d</t>
        </is>
      </c>
      <c r="Q2557" t="inlineStr">
        <is>
          <t>🚫重复</t>
        </is>
      </c>
      <c r="R2557" t="inlineStr">
        <is>
          <t>14周</t>
        </is>
      </c>
      <c r="S2557" t="inlineStr">
        <is>
          <t>1.55</t>
        </is>
      </c>
      <c r="T2557" t="inlineStr">
        <is>
          <t>数码家电</t>
        </is>
      </c>
      <c r="U2557" t="inlineStr">
        <is>
          <t>数码配件</t>
        </is>
      </c>
      <c r="V2557" s="3">
        <v>46112.78107638889</v>
      </c>
      <c r="W2557" t="inlineStr">
        <is>
          <t>2026-Q1</t>
        </is>
      </c>
    </row>
    <row r="2558" ht="25.5" customHeight="1">
      <c r="A2558" t="inlineStr">
        <is>
          <t>蜜桃条纹双拼收腹高腰透气收腹塑形无痕提臀瑜伽裤短裤夏季显瘦</t>
        </is>
      </c>
      <c r="B2558" t="inlineStr">
        <is>
          <t>recve0Cd8qal2Y.jpg</t>
        </is>
      </c>
      <c r="C2558" s="2" t="str">
        <f>=HYPERLINK("https://xhslink.com/m/9OQ6k4rfpxv", "https://xhslink.com/m/9OQ6k4rfpxv")</f>
        <v>https://xhslink.com/m/9OQ6k4rfpxv</v>
      </c>
      <c r="D2558"/>
      <c r="E2558">
        <v>17000</v>
      </c>
      <c r="F2558">
        <v>29.8</v>
      </c>
      <c r="G2558"/>
      <c r="H2558">
        <v>100</v>
      </c>
      <c r="I2558" t="inlineStr">
        <is>
          <t>运动</t>
        </is>
      </c>
      <c r="J2558" t="inlineStr">
        <is>
          <t>0.01</t>
        </is>
      </c>
      <c r="K2558" t="inlineStr">
        <is>
          <t>🔥低粉爆款</t>
        </is>
      </c>
      <c r="L2558" t="inlineStr">
        <is>
          <t>亦可安然的店</t>
        </is>
      </c>
      <c r="M2558">
        <v>503</v>
      </c>
      <c r="N2558">
        <v>4.61</v>
      </c>
      <c r="O2558">
        <v>19000</v>
      </c>
      <c r="P2558" t="inlineStr">
        <is>
          <t>6849d0d70da50d0001c5b564</t>
        </is>
      </c>
      <c r="Q2558" t="inlineStr">
        <is>
          <t>🚫重复</t>
        </is>
      </c>
      <c r="R2558" t="inlineStr">
        <is>
          <t>14周</t>
        </is>
      </c>
      <c r="S2558" t="inlineStr">
        <is>
          <t>33.80</t>
        </is>
      </c>
      <c r="T2558" t="inlineStr">
        <is>
          <t>服饰穿搭</t>
        </is>
      </c>
      <c r="U2558" t="inlineStr">
        <is>
          <t>女装</t>
        </is>
      </c>
      <c r="V2558" s="3">
        <v>46112.78107638889</v>
      </c>
      <c r="W2558" t="inlineStr">
        <is>
          <t>2026-Q1</t>
        </is>
      </c>
    </row>
    <row r="2559" ht="25.5" customHeight="1">
      <c r="A2559" t="inlineStr">
        <is>
          <t>糖五朵 · 【漫画腰冰感防晒衣】原纱透气户外防紫外线口袋防晒服修身短外套</t>
        </is>
      </c>
      <c r="B2559" t="inlineStr">
        <is>
          <t>recve0Cd8qPvPy.jpg</t>
        </is>
      </c>
      <c r="C2559" s="2" t="str">
        <f>=HYPERLINK("https://xhslink.com/m/5fPVQAt7e1j", "https://xhslink.com/m/5fPVQAt7e1j")</f>
        <v>https://xhslink.com/m/5fPVQAt7e1j</v>
      </c>
      <c r="D2559"/>
      <c r="E2559">
        <v>47000</v>
      </c>
      <c r="F2559">
        <v>69.9</v>
      </c>
      <c r="G2559">
        <v>49.8</v>
      </c>
      <c r="H2559">
        <v>100</v>
      </c>
      <c r="I2559" t="inlineStr">
        <is>
          <t>外套</t>
        </is>
      </c>
      <c r="J2559" t="inlineStr">
        <is>
          <t>0.00</t>
        </is>
      </c>
      <c r="K2559"/>
      <c r="L2559" t="inlineStr">
        <is>
          <t>糖五朵的店</t>
        </is>
      </c>
      <c r="M2559">
        <v>822000</v>
      </c>
      <c r="N2559">
        <v>4.52</v>
      </c>
      <c r="O2559">
        <v>1206000</v>
      </c>
      <c r="P2559" t="inlineStr">
        <is>
          <t>67dc450d21ffb30001254232</t>
        </is>
      </c>
      <c r="Q2559" t="inlineStr">
        <is>
          <t>🚫重复</t>
        </is>
      </c>
      <c r="R2559" t="inlineStr">
        <is>
          <t>14周</t>
        </is>
      </c>
      <c r="S2559" t="inlineStr">
        <is>
          <t>0.06</t>
        </is>
      </c>
      <c r="T2559" t="inlineStr">
        <is>
          <t>服饰穿搭</t>
        </is>
      </c>
      <c r="U2559" t="inlineStr">
        <is>
          <t>女装</t>
        </is>
      </c>
      <c r="V2559" s="3">
        <v>46112.78107638889</v>
      </c>
      <c r="W2559" t="inlineStr">
        <is>
          <t>2026-Q1</t>
        </is>
      </c>
    </row>
    <row r="2560" ht="25.5" customHeight="1">
      <c r="A2560" t="inlineStr">
        <is>
          <t>黑色西装外套女小个子2026春秋短款高级微胖韩版休闲显瘦西服新11</t>
        </is>
      </c>
      <c r="B2560" t="inlineStr">
        <is>
          <t>recve0Cd8q9yL5.jpg</t>
        </is>
      </c>
      <c r="C2560" s="2" t="str">
        <f>=HYPERLINK("https://xhslink.com/m/L2kyMoOoTL", "https://xhslink.com/m/L2kyMoOoTL")</f>
        <v>https://xhslink.com/m/L2kyMoOoTL</v>
      </c>
      <c r="D2560"/>
      <c r="E2560">
        <v>20000</v>
      </c>
      <c r="F2560">
        <v>188</v>
      </c>
      <c r="G2560">
        <v>148</v>
      </c>
      <c r="H2560">
        <v>100</v>
      </c>
      <c r="I2560" t="inlineStr">
        <is>
          <t>外套</t>
        </is>
      </c>
      <c r="J2560" t="inlineStr">
        <is>
          <t>0.01</t>
        </is>
      </c>
      <c r="K2560"/>
      <c r="L2560" t="inlineStr">
        <is>
          <t>琉璃衣橱 的店</t>
        </is>
      </c>
      <c r="M2560">
        <v>8408</v>
      </c>
      <c r="N2560">
        <v>4.5</v>
      </c>
      <c r="O2560">
        <v>80000</v>
      </c>
      <c r="P2560" t="inlineStr">
        <is>
          <t>64d60a5defcfb300016592c0</t>
        </is>
      </c>
      <c r="Q2560"/>
      <c r="R2560" t="inlineStr">
        <is>
          <t>14周</t>
        </is>
      </c>
      <c r="S2560" t="inlineStr">
        <is>
          <t>2.38</t>
        </is>
      </c>
      <c r="T2560" t="inlineStr">
        <is>
          <t>服饰穿搭</t>
        </is>
      </c>
      <c r="U2560" t="inlineStr">
        <is>
          <t>女装</t>
        </is>
      </c>
      <c r="V2560" s="3">
        <v>46112.78107638889</v>
      </c>
      <c r="W2560" t="inlineStr">
        <is>
          <t>2026-Q1</t>
        </is>
      </c>
    </row>
    <row r="2561" ht="25.5" customHeight="1">
      <c r="A2561" t="inlineStr">
        <is>
          <t>【2026升级版拍这里】修身冲锋衣女款防风穿搭运动外套收腰显瘦上</t>
        </is>
      </c>
      <c r="B2561" t="inlineStr">
        <is>
          <t>recve0Cd8qv0SZ.jpg</t>
        </is>
      </c>
      <c r="C2561" s="2" t="str">
        <f>=HYPERLINK("https://xhslink.com/m/1Y3buvubJy0", "https://xhslink.com/m/1Y3buvubJy0")</f>
        <v>https://xhslink.com/m/1Y3buvubJy0</v>
      </c>
      <c r="D2561"/>
      <c r="E2561">
        <v>4295</v>
      </c>
      <c r="F2561">
        <v>219.9</v>
      </c>
      <c r="G2561">
        <v>169.9</v>
      </c>
      <c r="H2561">
        <v>100</v>
      </c>
      <c r="I2561" t="inlineStr">
        <is>
          <t>外套</t>
        </is>
      </c>
      <c r="J2561" t="inlineStr">
        <is>
          <t>0.02</t>
        </is>
      </c>
      <c r="K2561"/>
      <c r="L2561" t="inlineStr">
        <is>
          <t>梨妞妞服饰的店</t>
        </is>
      </c>
      <c r="M2561">
        <v>5146</v>
      </c>
      <c r="N2561">
        <v>4.49</v>
      </c>
      <c r="O2561">
        <v>142000</v>
      </c>
      <c r="P2561" t="inlineStr">
        <is>
          <t>68dde8db002e7e0001eb4af8</t>
        </is>
      </c>
      <c r="Q2561"/>
      <c r="R2561" t="inlineStr">
        <is>
          <t>14周</t>
        </is>
      </c>
      <c r="S2561" t="inlineStr">
        <is>
          <t>0.83</t>
        </is>
      </c>
      <c r="T2561" t="inlineStr">
        <is>
          <t>服饰穿搭</t>
        </is>
      </c>
      <c r="U2561" t="inlineStr">
        <is>
          <t>女装</t>
        </is>
      </c>
      <c r="V2561" s="3">
        <v>46112.78107638889</v>
      </c>
      <c r="W2561" t="inlineStr">
        <is>
          <t>2026-Q1</t>
        </is>
      </c>
    </row>
    <row r="2562" ht="25.5" customHeight="1">
      <c r="A2562" t="inlineStr">
        <is>
          <t>大码女装苎麻休闲西装外套女2025春夏新款薄款小个子棉麻西服上衣</t>
        </is>
      </c>
      <c r="B2562" t="inlineStr">
        <is>
          <t>recve0Cd8qs9lB.jpg</t>
        </is>
      </c>
      <c r="C2562" s="2" t="str">
        <f>=HYPERLINK("https://xhslink.com/m/AeDmkHO7dMK", "https://xhslink.com/m/AeDmkHO7dMK")</f>
        <v>https://xhslink.com/m/AeDmkHO7dMK</v>
      </c>
      <c r="D2562"/>
      <c r="E2562">
        <v>1173</v>
      </c>
      <c r="F2562">
        <v>89</v>
      </c>
      <c r="G2562"/>
      <c r="H2562">
        <v>100</v>
      </c>
      <c r="I2562" t="inlineStr">
        <is>
          <t>外套</t>
        </is>
      </c>
      <c r="J2562" t="inlineStr">
        <is>
          <t>0.09</t>
        </is>
      </c>
      <c r="K2562"/>
      <c r="L2562" t="inlineStr">
        <is>
          <t>孜索文艺复古女装的店</t>
        </is>
      </c>
      <c r="M2562">
        <v>3092</v>
      </c>
      <c r="N2562">
        <v>4.4</v>
      </c>
      <c r="O2562">
        <v>16000</v>
      </c>
      <c r="P2562" t="inlineStr">
        <is>
          <t>662b5fd76ffc3c000196d9cc</t>
        </is>
      </c>
      <c r="Q2562"/>
      <c r="R2562" t="inlineStr">
        <is>
          <t>14周</t>
        </is>
      </c>
      <c r="S2562" t="inlineStr">
        <is>
          <t>0.38</t>
        </is>
      </c>
      <c r="T2562" t="inlineStr">
        <is>
          <t>服饰穿搭</t>
        </is>
      </c>
      <c r="U2562" t="inlineStr">
        <is>
          <t>女装</t>
        </is>
      </c>
      <c r="V2562" s="3">
        <v>46112.78107638889</v>
      </c>
      <c r="W2562" t="inlineStr">
        <is>
          <t>2026-Q1</t>
        </is>
      </c>
    </row>
    <row r="2563" ht="25.5" customHeight="1">
      <c r="A2563" t="inlineStr">
        <is>
          <t>JULY FAIRY · 烟汀傍晚~小个子麂皮绒外套女秋季宽松短款显瘦</t>
        </is>
      </c>
      <c r="B2563" t="inlineStr">
        <is>
          <t>recve0Cd8qFf9z.jpg</t>
        </is>
      </c>
      <c r="C2563" s="2" t="str">
        <f>=HYPERLINK("https://xhslink.com/m/9Br7pkc7Kho", "https://xhslink.com/m/9Br7pkc7Kho")</f>
        <v>https://xhslink.com/m/9Br7pkc7Kho</v>
      </c>
      <c r="D2563"/>
      <c r="E2563">
        <v>6769</v>
      </c>
      <c r="F2563">
        <v>338.88</v>
      </c>
      <c r="G2563"/>
      <c r="H2563">
        <v>100</v>
      </c>
      <c r="I2563" t="inlineStr">
        <is>
          <t>外套</t>
        </is>
      </c>
      <c r="J2563" t="inlineStr">
        <is>
          <t>0.01</t>
        </is>
      </c>
      <c r="K2563"/>
      <c r="L2563" t="inlineStr">
        <is>
          <t>JULY FAIRY女装旗舰店</t>
        </is>
      </c>
      <c r="M2563">
        <v>3756</v>
      </c>
      <c r="N2563">
        <v>4.63</v>
      </c>
      <c r="O2563">
        <v>99000</v>
      </c>
      <c r="P2563" t="inlineStr">
        <is>
          <t>66e7f36f280d74000159849f</t>
        </is>
      </c>
      <c r="Q2563"/>
      <c r="R2563" t="inlineStr">
        <is>
          <t>14周</t>
        </is>
      </c>
      <c r="S2563" t="inlineStr">
        <is>
          <t>1.80</t>
        </is>
      </c>
      <c r="T2563" t="inlineStr">
        <is>
          <t>服饰穿搭</t>
        </is>
      </c>
      <c r="U2563" t="inlineStr">
        <is>
          <t>女装</t>
        </is>
      </c>
      <c r="V2563" s="3">
        <v>46112.78107638889</v>
      </c>
      <c r="W2563" t="inlineStr">
        <is>
          <t>2026-Q1</t>
        </is>
      </c>
    </row>
    <row r="2564" ht="25.5" customHeight="1">
      <c r="A2564" t="inlineStr">
        <is>
          <t>【2026年新款树皮纹工艺】泡泡袖短款外套春秋慵懒风针织开衫宽松</t>
        </is>
      </c>
      <c r="B2564" t="inlineStr">
        <is>
          <t>recve0Cd8qlf7p.jpg</t>
        </is>
      </c>
      <c r="C2564" s="2" t="str">
        <f>=HYPERLINK("https://xhslink.com/m/3ukbrHVDoJr", "https://xhslink.com/m/3ukbrHVDoJr")</f>
        <v>https://xhslink.com/m/3ukbrHVDoJr</v>
      </c>
      <c r="D2564"/>
      <c r="E2564">
        <v>2867</v>
      </c>
      <c r="F2564">
        <v>139.9</v>
      </c>
      <c r="G2564">
        <v>64.9</v>
      </c>
      <c r="H2564">
        <v>100</v>
      </c>
      <c r="I2564" t="inlineStr">
        <is>
          <t>外套</t>
        </is>
      </c>
      <c r="J2564" t="inlineStr">
        <is>
          <t>0.03</t>
        </is>
      </c>
      <c r="K2564" t="inlineStr">
        <is>
          <t>🔥低粉爆款</t>
        </is>
      </c>
      <c r="L2564" t="inlineStr">
        <is>
          <t>祝你鱼块🍥的店</t>
        </is>
      </c>
      <c r="M2564">
        <v>871</v>
      </c>
      <c r="N2564">
        <v>4.59</v>
      </c>
      <c r="O2564">
        <v>10000</v>
      </c>
      <c r="P2564" t="inlineStr">
        <is>
          <t>67bacc1029b9f700019db458</t>
        </is>
      </c>
      <c r="Q2564" t="inlineStr">
        <is>
          <t>🚫重复</t>
        </is>
      </c>
      <c r="R2564" t="inlineStr">
        <is>
          <t>14周</t>
        </is>
      </c>
      <c r="S2564" t="inlineStr">
        <is>
          <t>3.29</t>
        </is>
      </c>
      <c r="T2564" t="inlineStr">
        <is>
          <t>服饰穿搭</t>
        </is>
      </c>
      <c r="U2564" t="inlineStr">
        <is>
          <t>女装</t>
        </is>
      </c>
      <c r="V2564" s="3">
        <v>46112.78107638889</v>
      </c>
      <c r="W2564" t="inlineStr">
        <is>
          <t>2026-Q1</t>
        </is>
      </c>
    </row>
    <row r="2565" ht="25.5" customHeight="1">
      <c r="A2565" t="inlineStr">
        <is>
          <t>『韩系掐腰麂皮绒外套』韩系贵女上衣/开春显瘦小风衣/微胖休闲外</t>
        </is>
      </c>
      <c r="B2565" t="inlineStr">
        <is>
          <t>recve0Cd8q0Lxx.jpg</t>
        </is>
      </c>
      <c r="C2565" s="2" t="str">
        <f>=HYPERLINK("https://xhslink.com/m/eDDzzOJxCD", "https://xhslink.com/m/eDDzzOJxCD")</f>
        <v>https://xhslink.com/m/eDDzzOJxCD</v>
      </c>
      <c r="D2565"/>
      <c r="E2565">
        <v>2543</v>
      </c>
      <c r="F2565">
        <v>238</v>
      </c>
      <c r="G2565"/>
      <c r="H2565">
        <v>100</v>
      </c>
      <c r="I2565" t="inlineStr">
        <is>
          <t>外套</t>
        </is>
      </c>
      <c r="J2565" t="inlineStr">
        <is>
          <t>0.04</t>
        </is>
      </c>
      <c r="K2565"/>
      <c r="L2565" t="inlineStr">
        <is>
          <t>158的微胖佳崽的店</t>
        </is>
      </c>
      <c r="M2565">
        <v>114000</v>
      </c>
      <c r="N2565">
        <v>4.41</v>
      </c>
      <c r="O2565">
        <v>258000</v>
      </c>
      <c r="P2565" t="inlineStr">
        <is>
          <t>699855da87daa000017f9000</t>
        </is>
      </c>
      <c r="Q2565" t="inlineStr">
        <is>
          <t>🚫重复</t>
        </is>
      </c>
      <c r="R2565" t="inlineStr">
        <is>
          <t>14周</t>
        </is>
      </c>
      <c r="S2565" t="inlineStr">
        <is>
          <t>0.02</t>
        </is>
      </c>
      <c r="T2565" t="inlineStr">
        <is>
          <t>服饰穿搭</t>
        </is>
      </c>
      <c r="U2565" t="inlineStr">
        <is>
          <t>女装</t>
        </is>
      </c>
      <c r="V2565" s="3">
        <v>46112.78107638889</v>
      </c>
      <c r="W2565" t="inlineStr">
        <is>
          <t>2026-Q1</t>
        </is>
      </c>
    </row>
    <row r="2566" ht="25.5" customHeight="1">
      <c r="A2566" t="inlineStr">
        <is>
          <t>北欧中古感水洗牛仔肌理翻立领撞色廓形感飞行员夹克外套女</t>
        </is>
      </c>
      <c r="B2566" t="inlineStr">
        <is>
          <t>recve0Cd8q5st6.jpg</t>
        </is>
      </c>
      <c r="C2566" s="2" t="str">
        <f>=HYPERLINK("https://xhslink.com/m/43PXqawGOgJ", "https://xhslink.com/m/43PXqawGOgJ")</f>
        <v>https://xhslink.com/m/43PXqawGOgJ</v>
      </c>
      <c r="D2566"/>
      <c r="E2566">
        <v>431</v>
      </c>
      <c r="F2566">
        <v>148</v>
      </c>
      <c r="G2566">
        <v>143</v>
      </c>
      <c r="H2566">
        <v>100</v>
      </c>
      <c r="I2566" t="inlineStr">
        <is>
          <t>外套</t>
        </is>
      </c>
      <c r="J2566" t="inlineStr">
        <is>
          <t>0.23</t>
        </is>
      </c>
      <c r="K2566"/>
      <c r="L2566" t="inlineStr">
        <is>
          <t>玖柒服装的店</t>
        </is>
      </c>
      <c r="M2566">
        <v>9752</v>
      </c>
      <c r="N2566">
        <v>4.47</v>
      </c>
      <c r="O2566">
        <v>41000</v>
      </c>
      <c r="P2566" t="inlineStr">
        <is>
          <t>6913bae399127600159303e1</t>
        </is>
      </c>
      <c r="Q2566"/>
      <c r="R2566" t="inlineStr">
        <is>
          <t>14周</t>
        </is>
      </c>
      <c r="S2566" t="inlineStr">
        <is>
          <t>0.04</t>
        </is>
      </c>
      <c r="T2566" t="inlineStr">
        <is>
          <t>服饰穿搭</t>
        </is>
      </c>
      <c r="U2566" t="inlineStr">
        <is>
          <t>女装</t>
        </is>
      </c>
      <c r="V2566" s="3">
        <v>46112.78107638889</v>
      </c>
      <c r="W2566" t="inlineStr">
        <is>
          <t>2026-Q1</t>
        </is>
      </c>
    </row>
    <row r="2567" ht="25.5" customHeight="1">
      <c r="A2567" t="inlineStr">
        <is>
          <t>【升级版】泥巴派纯脂巧克力黑巧脏脏饼干夹心代餐饱腹</t>
        </is>
      </c>
      <c r="B2567" t="inlineStr">
        <is>
          <t>recve0Cd8qXznf.jpg</t>
        </is>
      </c>
      <c r="C2567" s="2" t="str">
        <f>=HYPERLINK("https://xhslink.com/m/79fqIJUsVKE", "https://xhslink.com/m/79fqIJUsVKE")</f>
        <v>https://xhslink.com/m/79fqIJUsVKE</v>
      </c>
      <c r="D2567"/>
      <c r="E2567">
        <v>24000</v>
      </c>
      <c r="F2567">
        <v>44.9</v>
      </c>
      <c r="G2567">
        <v>29.9</v>
      </c>
      <c r="H2567">
        <v>100</v>
      </c>
      <c r="I2567" t="inlineStr">
        <is>
          <t>零食</t>
        </is>
      </c>
      <c r="J2567" t="inlineStr">
        <is>
          <t>0.00</t>
        </is>
      </c>
      <c r="K2567"/>
      <c r="L2567" t="inlineStr">
        <is>
          <t>椰闪闪YESS的店</t>
        </is>
      </c>
      <c r="M2567">
        <v>8616</v>
      </c>
      <c r="N2567">
        <v>4.64</v>
      </c>
      <c r="O2567">
        <v>78000</v>
      </c>
      <c r="P2567" t="inlineStr">
        <is>
          <t>691364b9d1a4c500013f18a4</t>
        </is>
      </c>
      <c r="Q2567"/>
      <c r="R2567" t="inlineStr">
        <is>
          <t>14周</t>
        </is>
      </c>
      <c r="S2567" t="inlineStr">
        <is>
          <t>2.79</t>
        </is>
      </c>
      <c r="T2567" t="inlineStr">
        <is>
          <t>美食滋补</t>
        </is>
      </c>
      <c r="U2567" t="inlineStr">
        <is>
          <t>休闲零食</t>
        </is>
      </c>
      <c r="V2567" s="3">
        <v>46112.78107638889</v>
      </c>
      <c r="W2567" t="inlineStr">
        <is>
          <t>2026-Q1</t>
        </is>
      </c>
    </row>
    <row r="2568" ht="25.5" customHeight="1">
      <c r="A2568" t="inlineStr">
        <is>
          <t>SELIKE｛小步舞曲｝曼塔人造珍珠·小众设计四叶草手链</t>
        </is>
      </c>
      <c r="B2568" t="inlineStr">
        <is>
          <t>recve60dL6y1kc.jpg</t>
        </is>
      </c>
      <c r="C2568" s="2" t="str">
        <f>=HYPERLINK("https://xhslink.com/m/AIUI1ePrLBa", "https://xhslink.com/m/AIUI1ePrLBa")</f>
        <v>https://xhslink.com/m/AIUI1ePrLBa</v>
      </c>
      <c r="D2568"/>
      <c r="E2568">
        <v>2492</v>
      </c>
      <c r="F2568">
        <v>35.9</v>
      </c>
      <c r="G2568"/>
      <c r="H2568">
        <v>100</v>
      </c>
      <c r="I2568" t="inlineStr">
        <is>
          <t>饰品</t>
        </is>
      </c>
      <c r="J2568" t="inlineStr">
        <is>
          <t>0.04</t>
        </is>
      </c>
      <c r="K2568"/>
      <c r="L2568" t="inlineStr">
        <is>
          <t>Selike塞尔纪的店</t>
        </is>
      </c>
      <c r="M2568">
        <v>282000</v>
      </c>
      <c r="N2568">
        <v>4.26</v>
      </c>
      <c r="O2568">
        <v>144000</v>
      </c>
      <c r="P2568" t="inlineStr">
        <is>
          <t>68837d1b4485460001b4919c</t>
        </is>
      </c>
      <c r="Q2568"/>
      <c r="R2568" t="inlineStr">
        <is>
          <t>14周</t>
        </is>
      </c>
      <c r="S2568" t="inlineStr">
        <is>
          <t>0.01</t>
        </is>
      </c>
      <c r="T2568" t="inlineStr">
        <is>
          <t>服饰穿搭</t>
        </is>
      </c>
      <c r="U2568" t="inlineStr">
        <is>
          <t>配饰</t>
        </is>
      </c>
      <c r="V2568" s="3">
        <v>46112.78107638889</v>
      </c>
      <c r="W2568" t="inlineStr">
        <is>
          <t>2026-Q1</t>
        </is>
      </c>
    </row>
    <row r="2569" ht="25.5" customHeight="1">
      <c r="A2569" t="inlineStr">
        <is>
          <t>山尺 · 和田玉耳钉白玉玉石花朵耳饰纯银新中式国风日常通勤搭配旗袍耳环</t>
        </is>
      </c>
      <c r="B2569" t="inlineStr">
        <is>
          <t>recve60dL6plgy.jpg</t>
        </is>
      </c>
      <c r="C2569" s="2" t="str">
        <f>=HYPERLINK("https://xhslink.com/m/50UJ6QVFr3M", "https://xhslink.com/m/50UJ6QVFr3M")</f>
        <v>https://xhslink.com/m/50UJ6QVFr3M</v>
      </c>
      <c r="D2569"/>
      <c r="E2569">
        <v>861</v>
      </c>
      <c r="F2569">
        <v>188</v>
      </c>
      <c r="G2569">
        <v>165.44</v>
      </c>
      <c r="H2569">
        <v>100</v>
      </c>
      <c r="I2569" t="inlineStr">
        <is>
          <t>饰品</t>
        </is>
      </c>
      <c r="J2569" t="inlineStr">
        <is>
          <t>0.12</t>
        </is>
      </c>
      <c r="K2569"/>
      <c r="L2569" t="inlineStr">
        <is>
          <t>山尺手作的店</t>
        </is>
      </c>
      <c r="M2569">
        <v>94000</v>
      </c>
      <c r="N2569">
        <v>4.56</v>
      </c>
      <c r="O2569">
        <v>156000</v>
      </c>
      <c r="P2569" t="inlineStr">
        <is>
          <t>62455eb364a0e50001a2edfa</t>
        </is>
      </c>
      <c r="Q2569"/>
      <c r="R2569" t="inlineStr">
        <is>
          <t>14周</t>
        </is>
      </c>
      <c r="S2569" t="inlineStr">
        <is>
          <t>0.01</t>
        </is>
      </c>
      <c r="T2569" t="inlineStr">
        <is>
          <t>服饰穿搭</t>
        </is>
      </c>
      <c r="U2569" t="inlineStr">
        <is>
          <t>女装</t>
        </is>
      </c>
      <c r="V2569" s="3">
        <v>46112.78107638889</v>
      </c>
      <c r="W2569" t="inlineStr">
        <is>
          <t>2026-Q1</t>
        </is>
      </c>
    </row>
    <row r="2570" ht="25.5" customHeight="1">
      <c r="A2570" t="inlineStr">
        <is>
          <t>CR气泡方糖 |天然深海母贝珠项链新婚伴手礼生日礼物送闺蜜女友</t>
        </is>
      </c>
      <c r="B2570" t="inlineStr">
        <is>
          <t>recve60dL6WhGN.jpg</t>
        </is>
      </c>
      <c r="C2570" s="2" t="str">
        <f>=HYPERLINK("https://xhslink.com/m/2dqj60QLvUH", "https://xhslink.com/m/2dqj60QLvUH")</f>
        <v>https://xhslink.com/m/2dqj60QLvUH</v>
      </c>
      <c r="D2570"/>
      <c r="E2570">
        <v>1096</v>
      </c>
      <c r="F2570">
        <v>338</v>
      </c>
      <c r="G2570">
        <v>148</v>
      </c>
      <c r="H2570">
        <v>100</v>
      </c>
      <c r="I2570" t="inlineStr">
        <is>
          <t>饰品</t>
        </is>
      </c>
      <c r="J2570" t="inlineStr">
        <is>
          <t>0.09</t>
        </is>
      </c>
      <c r="K2570"/>
      <c r="L2570" t="inlineStr">
        <is>
          <t>Clear Realm的店</t>
        </is>
      </c>
      <c r="M2570">
        <v>1758</v>
      </c>
      <c r="N2570">
        <v>4.48</v>
      </c>
      <c r="O2570">
        <v>1722</v>
      </c>
      <c r="P2570" t="inlineStr">
        <is>
          <t>690cef3d5c4f190001063334</t>
        </is>
      </c>
      <c r="Q2570" t="inlineStr">
        <is>
          <t>🚫重复</t>
        </is>
      </c>
      <c r="R2570" t="inlineStr">
        <is>
          <t>14周</t>
        </is>
      </c>
      <c r="S2570" t="inlineStr">
        <is>
          <t>0.62</t>
        </is>
      </c>
      <c r="T2570" t="inlineStr">
        <is>
          <t>服饰穿搭</t>
        </is>
      </c>
      <c r="U2570" t="inlineStr">
        <is>
          <t>配饰</t>
        </is>
      </c>
      <c r="V2570" s="3">
        <v>46112.78107638889</v>
      </c>
      <c r="W2570" t="inlineStr">
        <is>
          <t>2026-Q1</t>
        </is>
      </c>
    </row>
    <row r="2571" ht="25.5" customHeight="1">
      <c r="A2571" t="inlineStr">
        <is>
          <t>山东新中式馒头纯手工花卷车轮卷紫米芋泥抹茶早餐</t>
        </is>
      </c>
      <c r="B2571" t="inlineStr">
        <is>
          <t>recve60dL6RKWX.jpg</t>
        </is>
      </c>
      <c r="C2571" s="2" t="str">
        <f>=HYPERLINK("https://xhslink.com/m/4HH1bGTJCH2", "https://xhslink.com/m/4HH1bGTJCH2")</f>
        <v>https://xhslink.com/m/4HH1bGTJCH2</v>
      </c>
      <c r="D2571"/>
      <c r="E2571">
        <v>10000</v>
      </c>
      <c r="F2571">
        <v>39.9</v>
      </c>
      <c r="G2571">
        <v>29.9</v>
      </c>
      <c r="H2571">
        <v>100</v>
      </c>
      <c r="I2571" t="inlineStr">
        <is>
          <t>食品</t>
        </is>
      </c>
      <c r="J2571" t="inlineStr">
        <is>
          <t>0.01</t>
        </is>
      </c>
      <c r="K2571" t="inlineStr">
        <is>
          <t>🔥低粉爆款</t>
        </is>
      </c>
      <c r="L2571" t="inlineStr">
        <is>
          <t>李小馒的店</t>
        </is>
      </c>
      <c r="M2571">
        <v>1355</v>
      </c>
      <c r="N2571">
        <v>4.57</v>
      </c>
      <c r="O2571">
        <v>14000</v>
      </c>
      <c r="P2571" t="inlineStr">
        <is>
          <t>68dcf0bb702da100016537bc</t>
        </is>
      </c>
      <c r="Q2571" t="inlineStr">
        <is>
          <t>🚫重复</t>
        </is>
      </c>
      <c r="R2571" t="inlineStr">
        <is>
          <t>14周</t>
        </is>
      </c>
      <c r="S2571" t="inlineStr">
        <is>
          <t>7.38</t>
        </is>
      </c>
      <c r="T2571" t="inlineStr">
        <is>
          <t>美食滋补</t>
        </is>
      </c>
      <c r="U2571" t="inlineStr">
        <is>
          <t>休闲零食</t>
        </is>
      </c>
      <c r="V2571" s="3">
        <v>46112.78107638889</v>
      </c>
      <c r="W2571" t="inlineStr">
        <is>
          <t>2026-Q1</t>
        </is>
      </c>
    </row>
    <row r="2572" ht="25.5" customHeight="1">
      <c r="A2572" t="inlineStr">
        <is>
          <t>锋味派 · 嵊州老面小笼包黑猪肉小笼包子速食早餐半成品早饭速冻面点包子</t>
        </is>
      </c>
      <c r="B2572" t="inlineStr">
        <is>
          <t>recve60dL6eWKJ.jpg</t>
        </is>
      </c>
      <c r="C2572" s="2" t="str">
        <f>=HYPERLINK("https://xhslink.com/m/73NQwNkFluc", "https://xhslink.com/m/73NQwNkFluc")</f>
        <v>https://xhslink.com/m/73NQwNkFluc</v>
      </c>
      <c r="D2572"/>
      <c r="E2572">
        <v>54000</v>
      </c>
      <c r="F2572">
        <v>119.9</v>
      </c>
      <c r="G2572">
        <v>86.9</v>
      </c>
      <c r="H2572">
        <v>100</v>
      </c>
      <c r="I2572" t="inlineStr">
        <is>
          <t>食品</t>
        </is>
      </c>
      <c r="J2572" t="inlineStr">
        <is>
          <t>0.00</t>
        </is>
      </c>
      <c r="K2572"/>
      <c r="L2572" t="inlineStr">
        <is>
          <t>锋味派旗舰店</t>
        </is>
      </c>
      <c r="M2572">
        <v>351000</v>
      </c>
      <c r="N2572">
        <v>4.78</v>
      </c>
      <c r="O2572">
        <v>546000</v>
      </c>
      <c r="P2572" t="inlineStr">
        <is>
          <t>6657092ffc13120001a82338</t>
        </is>
      </c>
      <c r="Q2572" t="inlineStr">
        <is>
          <t>🚫重复</t>
        </is>
      </c>
      <c r="R2572" t="inlineStr">
        <is>
          <t>14周</t>
        </is>
      </c>
      <c r="S2572" t="inlineStr">
        <is>
          <t>0.15</t>
        </is>
      </c>
      <c r="T2572" t="inlineStr">
        <is>
          <t>美食滋补</t>
        </is>
      </c>
      <c r="U2572" t="inlineStr">
        <is>
          <t>休闲零食</t>
        </is>
      </c>
      <c r="V2572" s="3">
        <v>46112.78107638889</v>
      </c>
      <c r="W2572" t="inlineStr">
        <is>
          <t>2026-Q1</t>
        </is>
      </c>
    </row>
    <row r="2573" ht="25.5" customHeight="1">
      <c r="A2573" t="inlineStr">
        <is>
          <t>山东新中式馒头纯手工花卷车轮卷紫米芋泥抹茶早餐</t>
        </is>
      </c>
      <c r="B2573" t="inlineStr">
        <is>
          <t>recve60dL6OCsW.jpg</t>
        </is>
      </c>
      <c r="C2573" s="2" t="str">
        <f>=HYPERLINK("https://xhslink.com/m/3BBlkpkYRAo", "https://xhslink.com/m/3BBlkpkYRAo")</f>
        <v>https://xhslink.com/m/3BBlkpkYRAo</v>
      </c>
      <c r="D2573"/>
      <c r="E2573">
        <v>10000</v>
      </c>
      <c r="F2573">
        <v>49.9</v>
      </c>
      <c r="G2573">
        <v>39.9</v>
      </c>
      <c r="H2573">
        <v>100</v>
      </c>
      <c r="I2573" t="inlineStr">
        <is>
          <t>食品</t>
        </is>
      </c>
      <c r="J2573" t="inlineStr">
        <is>
          <t>0.01</t>
        </is>
      </c>
      <c r="K2573" t="inlineStr">
        <is>
          <t>🔥低粉爆款</t>
        </is>
      </c>
      <c r="L2573" t="inlineStr">
        <is>
          <t>李小馒的店</t>
        </is>
      </c>
      <c r="M2573">
        <v>1355</v>
      </c>
      <c r="N2573">
        <v>4.57</v>
      </c>
      <c r="O2573">
        <v>14000</v>
      </c>
      <c r="P2573" t="inlineStr">
        <is>
          <t>68dcf0bb702da100016537bf</t>
        </is>
      </c>
      <c r="Q2573" t="inlineStr">
        <is>
          <t>🚫重复</t>
        </is>
      </c>
      <c r="R2573" t="inlineStr">
        <is>
          <t>14周</t>
        </is>
      </c>
      <c r="S2573" t="inlineStr">
        <is>
          <t>7.38</t>
        </is>
      </c>
      <c r="T2573" t="inlineStr">
        <is>
          <t>美食滋补</t>
        </is>
      </c>
      <c r="U2573" t="inlineStr">
        <is>
          <t>休闲零食</t>
        </is>
      </c>
      <c r="V2573" s="3">
        <v>46112.78107638889</v>
      </c>
      <c r="W2573" t="inlineStr">
        <is>
          <t>2026-Q1</t>
        </is>
      </c>
    </row>
    <row r="2574" ht="25.5" customHeight="1">
      <c r="A2574" t="inlineStr">
        <is>
          <t>Extreme|爆闪锆石十字架直针耳扣耳骨钉中性风高级感小众设计男女</t>
        </is>
      </c>
      <c r="B2574" t="inlineStr">
        <is>
          <t>recve60dL6V6IY.jpg</t>
        </is>
      </c>
      <c r="C2574" s="2" t="str">
        <f>=HYPERLINK("https://xhslink.com/m/dwR0j6StLf", "https://xhslink.com/m/dwR0j6StLf")</f>
        <v>https://xhslink.com/m/dwR0j6StLf</v>
      </c>
      <c r="D2574"/>
      <c r="E2574">
        <v>2901</v>
      </c>
      <c r="F2574">
        <v>72.8</v>
      </c>
      <c r="G2574">
        <v>22.8</v>
      </c>
      <c r="H2574">
        <v>100</v>
      </c>
      <c r="I2574" t="inlineStr">
        <is>
          <t>饰品</t>
        </is>
      </c>
      <c r="J2574" t="inlineStr">
        <is>
          <t>0.03</t>
        </is>
      </c>
      <c r="K2574"/>
      <c r="L2574" t="inlineStr">
        <is>
          <t>EXTREME的店</t>
        </is>
      </c>
      <c r="M2574">
        <v>11000</v>
      </c>
      <c r="N2574">
        <v>4.61</v>
      </c>
      <c r="O2574">
        <v>34000</v>
      </c>
      <c r="P2574" t="inlineStr">
        <is>
          <t>6954cc92b24921000139006a</t>
        </is>
      </c>
      <c r="Q2574"/>
      <c r="R2574" t="inlineStr">
        <is>
          <t>14周</t>
        </is>
      </c>
      <c r="S2574" t="inlineStr">
        <is>
          <t>0.26</t>
        </is>
      </c>
      <c r="T2574" t="inlineStr">
        <is>
          <t>服饰穿搭</t>
        </is>
      </c>
      <c r="U2574" t="inlineStr">
        <is>
          <t>配饰</t>
        </is>
      </c>
      <c r="V2574" s="3">
        <v>46112.78107638889</v>
      </c>
      <c r="W2574" t="inlineStr">
        <is>
          <t>2026-Q1</t>
        </is>
      </c>
    </row>
    <row r="2575" ht="25.5" customHeight="1">
      <c r="A2575" t="inlineStr">
        <is>
          <t>超软超可爱TvT 侧躺轻松熊肥宅大公仔 M码35cm/L码55厘米</t>
        </is>
      </c>
      <c r="B2575" t="inlineStr">
        <is>
          <t>recve60dL6gZb4.jpg</t>
        </is>
      </c>
      <c r="C2575" s="2" t="str">
        <f>=HYPERLINK("https://xhslink.com/m/6hdxJXSdoq7", "https://xhslink.com/m/6hdxJXSdoq7")</f>
        <v>https://xhslink.com/m/6hdxJXSdoq7</v>
      </c>
      <c r="D2575"/>
      <c r="E2575">
        <v>5994</v>
      </c>
      <c r="F2575">
        <v>68.9</v>
      </c>
      <c r="G2575">
        <v>65.9</v>
      </c>
      <c r="H2575">
        <v>100</v>
      </c>
      <c r="I2575" t="inlineStr">
        <is>
          <t>饰品</t>
        </is>
      </c>
      <c r="J2575" t="inlineStr">
        <is>
          <t>0.02</t>
        </is>
      </c>
      <c r="K2575"/>
      <c r="L2575" t="inlineStr">
        <is>
          <t>你这个麻瓜（瑕疵清仓）的店</t>
        </is>
      </c>
      <c r="M2575">
        <v>104000</v>
      </c>
      <c r="N2575">
        <v>4.54</v>
      </c>
      <c r="O2575">
        <v>341000</v>
      </c>
      <c r="P2575" t="inlineStr">
        <is>
          <t>68a461013304730001ba00d0</t>
        </is>
      </c>
      <c r="Q2575" t="inlineStr">
        <is>
          <t>🚫重复</t>
        </is>
      </c>
      <c r="R2575" t="inlineStr">
        <is>
          <t>14周</t>
        </is>
      </c>
      <c r="S2575" t="inlineStr">
        <is>
          <t>0.06</t>
        </is>
      </c>
      <c r="T2575" t="inlineStr">
        <is>
          <t>服饰穿搭</t>
        </is>
      </c>
      <c r="U2575" t="inlineStr">
        <is>
          <t>配饰</t>
        </is>
      </c>
      <c r="V2575" s="3">
        <v>46112.78107638889</v>
      </c>
      <c r="W2575" t="inlineStr">
        <is>
          <t>2026-Q1</t>
        </is>
      </c>
    </row>
    <row r="2576" ht="25.5" customHeight="1">
      <c r="A2576" t="inlineStr">
        <is>
          <t>正版蒙奇奇15cm包包挂件摆件送礼童年可爱换装毛绒公仔沃克蒙猴</t>
        </is>
      </c>
      <c r="B2576" t="inlineStr">
        <is>
          <t>recve60dL6eWnB.jpg</t>
        </is>
      </c>
      <c r="C2576" s="2" t="str">
        <f>=HYPERLINK("https://xhslink.com/m/6TcFnpfwxca", "https://xhslink.com/m/6TcFnpfwxca")</f>
        <v>https://xhslink.com/m/6TcFnpfwxca</v>
      </c>
      <c r="D2576"/>
      <c r="E2576">
        <v>1177</v>
      </c>
      <c r="F2576">
        <v>39.9</v>
      </c>
      <c r="G2576"/>
      <c r="H2576">
        <v>100</v>
      </c>
      <c r="I2576" t="inlineStr">
        <is>
          <t>饰品</t>
        </is>
      </c>
      <c r="J2576" t="inlineStr">
        <is>
          <t>0.08</t>
        </is>
      </c>
      <c r="K2576" t="inlineStr">
        <is>
          <t>🔥低粉爆款</t>
        </is>
      </c>
      <c r="L2576" t="inlineStr">
        <is>
          <t>很6小店的店</t>
        </is>
      </c>
      <c r="M2576">
        <v>346</v>
      </c>
      <c r="N2576">
        <v>4.51</v>
      </c>
      <c r="O2576">
        <v>1212</v>
      </c>
      <c r="P2576" t="inlineStr">
        <is>
          <t>68c6d415e8b4ad000152c4c1</t>
        </is>
      </c>
      <c r="Q2576"/>
      <c r="R2576" t="inlineStr">
        <is>
          <t>14周</t>
        </is>
      </c>
      <c r="S2576" t="inlineStr">
        <is>
          <t>3.40</t>
        </is>
      </c>
      <c r="T2576" t="inlineStr">
        <is>
          <t>服饰穿搭</t>
        </is>
      </c>
      <c r="U2576" t="inlineStr">
        <is>
          <t>鞋靴箱包</t>
        </is>
      </c>
      <c r="V2576" s="3">
        <v>46112.78107638889</v>
      </c>
      <c r="W2576" t="inlineStr">
        <is>
          <t>2026-Q1</t>
        </is>
      </c>
    </row>
    <row r="2577" ht="25.5" customHeight="1">
      <c r="A2577" t="inlineStr">
        <is>
          <t>RosyPosy · 柔设御守幸运挂件毛绒挂饰包包玩偶娃娃公仔女生生日礼物文创</t>
        </is>
      </c>
      <c r="B2577" t="inlineStr">
        <is>
          <t>recve60dL64nso.jpg</t>
        </is>
      </c>
      <c r="C2577" s="2" t="str">
        <f>=HYPERLINK("https://xhslink.com/m/AlpOMXDEzbO", "https://xhslink.com/m/AlpOMXDEzbO")</f>
        <v>https://xhslink.com/m/AlpOMXDEzbO</v>
      </c>
      <c r="D2577"/>
      <c r="E2577">
        <v>5813</v>
      </c>
      <c r="F2577">
        <v>21.8</v>
      </c>
      <c r="G2577">
        <v>19.18</v>
      </c>
      <c r="H2577">
        <v>100</v>
      </c>
      <c r="I2577" t="inlineStr">
        <is>
          <t>饰品</t>
        </is>
      </c>
      <c r="J2577" t="inlineStr">
        <is>
          <t>0.02</t>
        </is>
      </c>
      <c r="K2577"/>
      <c r="L2577" t="inlineStr">
        <is>
          <t>RosyPosy文具旗舰店</t>
        </is>
      </c>
      <c r="M2577">
        <v>302000</v>
      </c>
      <c r="N2577">
        <v>4.53</v>
      </c>
      <c r="O2577">
        <v>282000</v>
      </c>
      <c r="P2577" t="inlineStr">
        <is>
          <t>684be27e9d4a550001fd0a72</t>
        </is>
      </c>
      <c r="Q2577"/>
      <c r="R2577" t="inlineStr">
        <is>
          <t>14周</t>
        </is>
      </c>
      <c r="S2577" t="inlineStr">
        <is>
          <t>0.02</t>
        </is>
      </c>
      <c r="T2577" t="inlineStr">
        <is>
          <t>服饰穿搭</t>
        </is>
      </c>
      <c r="U2577" t="inlineStr">
        <is>
          <t>鞋靴箱包</t>
        </is>
      </c>
      <c r="V2577" s="3">
        <v>46112.78107638889</v>
      </c>
      <c r="W2577" t="inlineStr">
        <is>
          <t>2026-Q1</t>
        </is>
      </c>
    </row>
    <row r="2578" ht="25.5" customHeight="1">
      <c r="A2578" t="inlineStr">
        <is>
          <t>F1红牛赛车队周边维斯塔潘毛绒公仔卡通玩偶生日礼物</t>
        </is>
      </c>
      <c r="B2578" t="inlineStr">
        <is>
          <t>recve60dL6naJ0.jpg</t>
        </is>
      </c>
      <c r="C2578" s="2" t="str">
        <f>=HYPERLINK("https://xhslink.com/m/AtUZkiE5Psi", "https://xhslink.com/m/AtUZkiE5Psi")</f>
        <v>https://xhslink.com/m/AtUZkiE5Psi</v>
      </c>
      <c r="D2578"/>
      <c r="E2578">
        <v>1976</v>
      </c>
      <c r="F2578">
        <v>79</v>
      </c>
      <c r="G2578">
        <v>76</v>
      </c>
      <c r="H2578">
        <v>100</v>
      </c>
      <c r="I2578" t="inlineStr">
        <is>
          <t>饰品</t>
        </is>
      </c>
      <c r="J2578" t="inlineStr">
        <is>
          <t>0.05</t>
        </is>
      </c>
      <c r="K2578"/>
      <c r="L2578" t="inlineStr">
        <is>
          <t>围场猫咪的店</t>
        </is>
      </c>
      <c r="M2578">
        <v>1659</v>
      </c>
      <c r="N2578">
        <v>4.65</v>
      </c>
      <c r="O2578">
        <v>2586</v>
      </c>
      <c r="P2578" t="inlineStr">
        <is>
          <t>6965d9981a50a500016e8395</t>
        </is>
      </c>
      <c r="Q2578"/>
      <c r="R2578" t="inlineStr">
        <is>
          <t>14周</t>
        </is>
      </c>
      <c r="S2578" t="inlineStr">
        <is>
          <t>1.19</t>
        </is>
      </c>
      <c r="T2578" t="inlineStr">
        <is>
          <t>母婴亲子</t>
        </is>
      </c>
      <c r="U2578" t="inlineStr">
        <is>
          <t>玩具早教</t>
        </is>
      </c>
      <c r="V2578" s="3">
        <v>46112.78107638889</v>
      </c>
      <c r="W2578" t="inlineStr">
        <is>
          <t>2026-Q1</t>
        </is>
      </c>
    </row>
    <row r="2579" ht="25.5" customHeight="1">
      <c r="A2579" t="inlineStr">
        <is>
          <t>宇宙商店x音符布丁 联名系列挂件毛绒玩偶上班搭子可爱治愈系玩具</t>
        </is>
      </c>
      <c r="B2579" t="inlineStr">
        <is>
          <t>recve60dL646Lk.jpg</t>
        </is>
      </c>
      <c r="C2579" s="2" t="str">
        <f>=HYPERLINK("https://xhslink.com/m/9hNiRyIUZnq", "https://xhslink.com/m/9hNiRyIUZnq")</f>
        <v>https://xhslink.com/m/9hNiRyIUZnq</v>
      </c>
      <c r="D2579"/>
      <c r="E2579">
        <v>1953</v>
      </c>
      <c r="F2579">
        <v>68</v>
      </c>
      <c r="G2579">
        <v>65</v>
      </c>
      <c r="H2579">
        <v>100</v>
      </c>
      <c r="I2579" t="inlineStr">
        <is>
          <t>饰品</t>
        </is>
      </c>
      <c r="J2579" t="inlineStr">
        <is>
          <t>0.05</t>
        </is>
      </c>
      <c r="K2579"/>
      <c r="L2579" t="inlineStr">
        <is>
          <t>宇宙商店Uchuuu Store的店</t>
        </is>
      </c>
      <c r="M2579">
        <v>108000</v>
      </c>
      <c r="N2579">
        <v>4.62</v>
      </c>
      <c r="O2579">
        <v>86000</v>
      </c>
      <c r="P2579" t="inlineStr">
        <is>
          <t>69198a35611c010001e5d663</t>
        </is>
      </c>
      <c r="Q2579" t="inlineStr">
        <is>
          <t>🚫重复</t>
        </is>
      </c>
      <c r="R2579" t="inlineStr">
        <is>
          <t>14周</t>
        </is>
      </c>
      <c r="S2579" t="inlineStr">
        <is>
          <t>0.02</t>
        </is>
      </c>
      <c r="T2579" t="inlineStr">
        <is>
          <t>母婴亲子</t>
        </is>
      </c>
      <c r="U2579" t="inlineStr">
        <is>
          <t>玩具早教</t>
        </is>
      </c>
      <c r="V2579" s="3">
        <v>46112.78107638889</v>
      </c>
      <c r="W2579" t="inlineStr">
        <is>
          <t>2026-Q1</t>
        </is>
      </c>
    </row>
    <row r="2580" ht="25.5" customHeight="1">
      <c r="A2580" t="inlineStr">
        <is>
          <t>【预售】邪恶比格犬40厘米毛绒玩具公仔收藏送闺蜜生日礼物</t>
        </is>
      </c>
      <c r="B2580" t="inlineStr">
        <is>
          <t>recve60dL6ZGpZ.jpg</t>
        </is>
      </c>
      <c r="C2580" s="2" t="str">
        <f>=HYPERLINK("https://xhslink.com/m/8zlOOjENzdK", "https://xhslink.com/m/8zlOOjENzdK")</f>
        <v>https://xhslink.com/m/8zlOOjENzdK</v>
      </c>
      <c r="D2580"/>
      <c r="E2580">
        <v>419</v>
      </c>
      <c r="F2580">
        <v>60.9</v>
      </c>
      <c r="G2580">
        <v>52.9</v>
      </c>
      <c r="H2580">
        <v>100</v>
      </c>
      <c r="I2580" t="inlineStr">
        <is>
          <t>饰品</t>
        </is>
      </c>
      <c r="J2580" t="inlineStr">
        <is>
          <t>0.24</t>
        </is>
      </c>
      <c r="K2580"/>
      <c r="L2580" t="inlineStr">
        <is>
          <t>白柚白萌物社的店</t>
        </is>
      </c>
      <c r="M2580">
        <v>4103</v>
      </c>
      <c r="N2580">
        <v>4.54</v>
      </c>
      <c r="O2580">
        <v>9177</v>
      </c>
      <c r="P2580" t="inlineStr">
        <is>
          <t>698d56618dc4b300011a41ea</t>
        </is>
      </c>
      <c r="Q2580"/>
      <c r="R2580" t="inlineStr">
        <is>
          <t>14周</t>
        </is>
      </c>
      <c r="S2580" t="inlineStr">
        <is>
          <t>0.10</t>
        </is>
      </c>
      <c r="T2580" t="inlineStr">
        <is>
          <t>母婴亲子</t>
        </is>
      </c>
      <c r="U2580" t="inlineStr">
        <is>
          <t>玩具早教</t>
        </is>
      </c>
      <c r="V2580" s="3">
        <v>46112.78107638889</v>
      </c>
      <c r="W2580" t="inlineStr">
        <is>
          <t>2026-Q1</t>
        </is>
      </c>
    </row>
    <row r="2581" ht="25.5" customHeight="1">
      <c r="A2581" t="inlineStr">
        <is>
          <t>小苹果50g 厚奶油泥 硅胶捏捏 默认微瑕 无开箱不售后</t>
        </is>
      </c>
      <c r="B2581" t="inlineStr">
        <is>
          <t>recve60dL6xdqo.jpg</t>
        </is>
      </c>
      <c r="C2581" s="2" t="str">
        <f>=HYPERLINK("https://xhslink.com/m/6u3EfBQBonH", "https://xhslink.com/m/6u3EfBQBonH")</f>
        <v>https://xhslink.com/m/6u3EfBQBonH</v>
      </c>
      <c r="D2581"/>
      <c r="E2581">
        <v>11000</v>
      </c>
      <c r="F2581">
        <v>20.9</v>
      </c>
      <c r="G2581">
        <v>9.9</v>
      </c>
      <c r="H2581">
        <v>100</v>
      </c>
      <c r="I2581" t="inlineStr">
        <is>
          <t>饰品</t>
        </is>
      </c>
      <c r="J2581" t="inlineStr">
        <is>
          <t>0.01</t>
        </is>
      </c>
      <c r="K2581"/>
      <c r="L2581" t="inlineStr">
        <is>
          <t>小抒君的店</t>
        </is>
      </c>
      <c r="M2581">
        <v>18000</v>
      </c>
      <c r="N2581">
        <v>4.32</v>
      </c>
      <c r="O2581">
        <v>34000</v>
      </c>
      <c r="P2581" t="inlineStr">
        <is>
          <t>692b5577ccb9e0000122d167</t>
        </is>
      </c>
      <c r="Q2581" t="inlineStr">
        <is>
          <t>🚫重复</t>
        </is>
      </c>
      <c r="R2581" t="inlineStr">
        <is>
          <t>14周</t>
        </is>
      </c>
      <c r="S2581" t="inlineStr">
        <is>
          <t>0.61</t>
        </is>
      </c>
      <c r="T2581" t="inlineStr">
        <is>
          <t>服饰穿搭</t>
        </is>
      </c>
      <c r="U2581" t="inlineStr">
        <is>
          <t>配饰</t>
        </is>
      </c>
      <c r="V2581" s="3">
        <v>46112.78107638889</v>
      </c>
      <c r="W2581" t="inlineStr">
        <is>
          <t>2026-Q1</t>
        </is>
      </c>
    </row>
    <row r="2582" ht="25.5" customHeight="1">
      <c r="A2582" t="inlineStr">
        <is>
          <t>goldartist · 水洗破洞鸭舌帽女2026新款破边复古户外帽子男宽帽檐显脸小棒球帽</t>
        </is>
      </c>
      <c r="B2582" t="inlineStr">
        <is>
          <t>recve60dL6Q2vZ.jpg</t>
        </is>
      </c>
      <c r="C2582" s="2" t="str">
        <f>=HYPERLINK("https://xhslink.com/m/9bUNVvtLaam", "https://xhslink.com/m/9bUNVvtLaam")</f>
        <v>https://xhslink.com/m/9bUNVvtLaam</v>
      </c>
      <c r="D2582"/>
      <c r="E2582">
        <v>407</v>
      </c>
      <c r="F2582">
        <v>39</v>
      </c>
      <c r="G2582"/>
      <c r="H2582">
        <v>100</v>
      </c>
      <c r="I2582" t="inlineStr">
        <is>
          <t>运动</t>
        </is>
      </c>
      <c r="J2582" t="inlineStr">
        <is>
          <t>0.25</t>
        </is>
      </c>
      <c r="K2582"/>
      <c r="L2582" t="inlineStr">
        <is>
          <t>青筠坊小铺帽的店</t>
        </is>
      </c>
      <c r="M2582">
        <v>49000</v>
      </c>
      <c r="N2582">
        <v>4.55</v>
      </c>
      <c r="O2582">
        <v>401000</v>
      </c>
      <c r="P2582" t="inlineStr">
        <is>
          <t>6860a89ffe39ac0015056fda</t>
        </is>
      </c>
      <c r="Q2582"/>
      <c r="R2582" t="inlineStr">
        <is>
          <t>14周</t>
        </is>
      </c>
      <c r="S2582" t="inlineStr">
        <is>
          <t>0.01</t>
        </is>
      </c>
      <c r="T2582" t="inlineStr">
        <is>
          <t>服饰穿搭</t>
        </is>
      </c>
      <c r="U2582" t="inlineStr">
        <is>
          <t>配饰</t>
        </is>
      </c>
      <c r="V2582" s="3">
        <v>46112.78107638889</v>
      </c>
      <c r="W2582" t="inlineStr">
        <is>
          <t>2026-Q1</t>
        </is>
      </c>
    </row>
    <row r="2583" ht="25.5" customHeight="1">
      <c r="A2583" t="inlineStr">
        <is>
          <t>咔咔影 · 高清数码学生党ccd自拍双摄复古便携式小型入门级相机</t>
        </is>
      </c>
      <c r="B2583" t="inlineStr">
        <is>
          <t>recve60dL6NbZu.jpg</t>
        </is>
      </c>
      <c r="C2583" s="2" t="str">
        <f>=HYPERLINK("https://xhslink.com/m/zGIRFkuqtt", "https://xhslink.com/m/zGIRFkuqtt")</f>
        <v>https://xhslink.com/m/zGIRFkuqtt</v>
      </c>
      <c r="D2583"/>
      <c r="E2583">
        <v>2602</v>
      </c>
      <c r="F2583">
        <v>68</v>
      </c>
      <c r="G2583">
        <v>65</v>
      </c>
      <c r="H2583">
        <v>100</v>
      </c>
      <c r="I2583" t="inlineStr">
        <is>
          <t>数码</t>
        </is>
      </c>
      <c r="J2583" t="inlineStr">
        <is>
          <t>0.04</t>
        </is>
      </c>
      <c r="K2583"/>
      <c r="L2583" t="inlineStr">
        <is>
          <t>像素猫数码相机的店</t>
        </is>
      </c>
      <c r="M2583">
        <v>2194</v>
      </c>
      <c r="N2583">
        <v>4.54</v>
      </c>
      <c r="O2583">
        <v>4052</v>
      </c>
      <c r="P2583" t="inlineStr">
        <is>
          <t>6812417ecdf4840001be0102</t>
        </is>
      </c>
      <c r="Q2583"/>
      <c r="R2583" t="inlineStr">
        <is>
          <t>14周</t>
        </is>
      </c>
      <c r="S2583" t="inlineStr">
        <is>
          <t>1.19</t>
        </is>
      </c>
      <c r="T2583" t="inlineStr">
        <is>
          <t>数码家电</t>
        </is>
      </c>
      <c r="U2583" t="inlineStr">
        <is>
          <t>数码配件</t>
        </is>
      </c>
      <c r="V2583" s="3">
        <v>46112.78107638889</v>
      </c>
      <c r="W2583" t="inlineStr">
        <is>
          <t>2026-Q1</t>
        </is>
      </c>
    </row>
    <row r="2584" ht="25.5" customHeight="1">
      <c r="A2584" t="inlineStr">
        <is>
          <t>三星 · 原装入耳式S24耳机S25原装耳机正品S22typecC口akg耳机全新苹果</t>
        </is>
      </c>
      <c r="B2584" t="inlineStr">
        <is>
          <t>recve60dL6EGd1.jpg</t>
        </is>
      </c>
      <c r="C2584" s="2" t="str">
        <f>=HYPERLINK("https://xhslink.com/m/26QrSot3gRM", "https://xhslink.com/m/26QrSot3gRM")</f>
        <v>https://xhslink.com/m/26QrSot3gRM</v>
      </c>
      <c r="D2584"/>
      <c r="E2584">
        <v>1316</v>
      </c>
      <c r="F2584">
        <v>69</v>
      </c>
      <c r="G2584"/>
      <c r="H2584">
        <v>100</v>
      </c>
      <c r="I2584" t="inlineStr">
        <is>
          <t>数码</t>
        </is>
      </c>
      <c r="J2584" t="inlineStr">
        <is>
          <t>0.08</t>
        </is>
      </c>
      <c r="K2584"/>
      <c r="L2584" t="inlineStr">
        <is>
          <t>MM数码的店</t>
        </is>
      </c>
      <c r="M2584">
        <v>2415</v>
      </c>
      <c r="N2584">
        <v>4.57</v>
      </c>
      <c r="O2584">
        <v>1389</v>
      </c>
      <c r="P2584" t="inlineStr">
        <is>
          <t>6699270f0916240001ef903e</t>
        </is>
      </c>
      <c r="Q2584"/>
      <c r="R2584" t="inlineStr">
        <is>
          <t>14周</t>
        </is>
      </c>
      <c r="S2584" t="inlineStr">
        <is>
          <t>0.54</t>
        </is>
      </c>
      <c r="T2584" t="inlineStr">
        <is>
          <t>数码家电</t>
        </is>
      </c>
      <c r="U2584" t="inlineStr">
        <is>
          <t>数码配件</t>
        </is>
      </c>
      <c r="V2584" s="3">
        <v>46112.78107638889</v>
      </c>
      <c r="W2584" t="inlineStr">
        <is>
          <t>2026-Q1</t>
        </is>
      </c>
    </row>
    <row r="2585" ht="25.5" customHeight="1">
      <c r="A2585" t="inlineStr">
        <is>
          <t>【专属17轻奢】苹果17系列液态硅胶磁吸防摔软壳适用17promax/17p</t>
        </is>
      </c>
      <c r="B2585" t="inlineStr">
        <is>
          <t>recve60dL60cDl.jpg</t>
        </is>
      </c>
      <c r="C2585" s="2" t="str">
        <f>=HYPERLINK("https://xhslink.com/m/7Y22v49V21g", "https://xhslink.com/m/7Y22v49V21g")</f>
        <v>https://xhslink.com/m/7Y22v49V21g</v>
      </c>
      <c r="D2585"/>
      <c r="E2585">
        <v>9423</v>
      </c>
      <c r="F2585">
        <v>78</v>
      </c>
      <c r="G2585">
        <v>39.8</v>
      </c>
      <c r="H2585">
        <v>100</v>
      </c>
      <c r="I2585" t="inlineStr">
        <is>
          <t>手机壳</t>
        </is>
      </c>
      <c r="J2585" t="inlineStr">
        <is>
          <t>0.01</t>
        </is>
      </c>
      <c r="K2585" t="inlineStr">
        <is>
          <t>🔥低粉爆款</t>
        </is>
      </c>
      <c r="L2585" t="inlineStr">
        <is>
          <t>Stella berry的店</t>
        </is>
      </c>
      <c r="M2585">
        <v>436</v>
      </c>
      <c r="N2585">
        <v>4.47</v>
      </c>
      <c r="O2585">
        <v>17000</v>
      </c>
      <c r="P2585" t="inlineStr">
        <is>
          <t>6944430e23d3ce000196376d</t>
        </is>
      </c>
      <c r="Q2585"/>
      <c r="R2585" t="inlineStr">
        <is>
          <t>14周</t>
        </is>
      </c>
      <c r="S2585" t="inlineStr">
        <is>
          <t>21.61</t>
        </is>
      </c>
      <c r="T2585" t="inlineStr">
        <is>
          <t>数码家电</t>
        </is>
      </c>
      <c r="U2585" t="inlineStr">
        <is>
          <t>数码配件</t>
        </is>
      </c>
      <c r="V2585" s="3">
        <v>46112.78107638889</v>
      </c>
      <c r="W2585" t="inlineStr">
        <is>
          <t>2026-Q1</t>
        </is>
      </c>
    </row>
    <row r="2586" ht="25.5" customHeight="1">
      <c r="A2586" t="inlineStr">
        <is>
          <t>马卡龙色磁吸支架磨砂华为mate80/70/60pro手机壳Pura80/70/60pro</t>
        </is>
      </c>
      <c r="B2586" t="inlineStr">
        <is>
          <t>recve60dL6o2nB.jpg</t>
        </is>
      </c>
      <c r="C2586" s="2" t="str">
        <f>=HYPERLINK("https://xhslink.com/m/4DdvYEQrTkd", "https://xhslink.com/m/4DdvYEQrTkd")</f>
        <v>https://xhslink.com/m/4DdvYEQrTkd</v>
      </c>
      <c r="D2586"/>
      <c r="E2586">
        <v>17000</v>
      </c>
      <c r="F2586">
        <v>25.8</v>
      </c>
      <c r="G2586"/>
      <c r="H2586">
        <v>100</v>
      </c>
      <c r="I2586" t="inlineStr">
        <is>
          <t>手机壳</t>
        </is>
      </c>
      <c r="J2586" t="inlineStr">
        <is>
          <t>0.01</t>
        </is>
      </c>
      <c r="K2586"/>
      <c r="L2586" t="inlineStr">
        <is>
          <t>kaixin Case的店</t>
        </is>
      </c>
      <c r="M2586">
        <v>11000</v>
      </c>
      <c r="N2586">
        <v>4.22</v>
      </c>
      <c r="O2586">
        <v>71000</v>
      </c>
      <c r="P2586" t="inlineStr">
        <is>
          <t>6609238a5c3c5a00015deacb</t>
        </is>
      </c>
      <c r="Q2586" t="inlineStr">
        <is>
          <t>🚫重复</t>
        </is>
      </c>
      <c r="R2586" t="inlineStr">
        <is>
          <t>14周</t>
        </is>
      </c>
      <c r="S2586" t="inlineStr">
        <is>
          <t>1.55</t>
        </is>
      </c>
      <c r="T2586" t="inlineStr">
        <is>
          <t>数码家电</t>
        </is>
      </c>
      <c r="U2586" t="inlineStr">
        <is>
          <t>数码配件</t>
        </is>
      </c>
      <c r="V2586" s="3">
        <v>46112.78107638889</v>
      </c>
      <c r="W2586" t="inlineStr">
        <is>
          <t>2026-Q1</t>
        </is>
      </c>
    </row>
    <row r="2587" ht="25.5" customHeight="1">
      <c r="A2587" t="inlineStr">
        <is>
          <t>【限时特价】旅行通用便携手机支架出差折叠演唱会飞机高铁自媒体</t>
        </is>
      </c>
      <c r="B2587" t="inlineStr">
        <is>
          <t>recve60dL6ZNjN.jpg</t>
        </is>
      </c>
      <c r="C2587" s="2" t="str">
        <f>=HYPERLINK("https://xhslink.com/m/xrVKLzHW8U", "https://xhslink.com/m/xrVKLzHW8U")</f>
        <v>https://xhslink.com/m/xrVKLzHW8U</v>
      </c>
      <c r="D2587"/>
      <c r="E2587">
        <v>1327</v>
      </c>
      <c r="F2587">
        <v>39.9</v>
      </c>
      <c r="G2587">
        <v>17.9</v>
      </c>
      <c r="H2587">
        <v>100</v>
      </c>
      <c r="I2587" t="inlineStr">
        <is>
          <t>手机支架</t>
        </is>
      </c>
      <c r="J2587" t="inlineStr">
        <is>
          <t>0.08</t>
        </is>
      </c>
      <c r="K2587" t="inlineStr">
        <is>
          <t>🔥低粉爆款</t>
        </is>
      </c>
      <c r="L2587" t="inlineStr">
        <is>
          <t>晴天创品的店</t>
        </is>
      </c>
      <c r="M2587">
        <v>249</v>
      </c>
      <c r="N2587">
        <v>4.55</v>
      </c>
      <c r="O2587">
        <v>2590</v>
      </c>
      <c r="P2587" t="inlineStr">
        <is>
          <t>6937f269bf02330001ca710e</t>
        </is>
      </c>
      <c r="Q2587"/>
      <c r="R2587" t="inlineStr">
        <is>
          <t>14周</t>
        </is>
      </c>
      <c r="S2587" t="inlineStr">
        <is>
          <t>5.33</t>
        </is>
      </c>
      <c r="T2587" t="inlineStr">
        <is>
          <t>数码家电</t>
        </is>
      </c>
      <c r="U2587" t="inlineStr">
        <is>
          <t>数码配件</t>
        </is>
      </c>
      <c r="V2587" s="3">
        <v>46112.78107638889</v>
      </c>
      <c r="W2587" t="inlineStr">
        <is>
          <t>2026-Q1</t>
        </is>
      </c>
    </row>
    <row r="2588" ht="25.5" customHeight="1">
      <c r="A2588" t="inlineStr">
        <is>
          <t>儿童好奇心大百科/青岛/3-12岁</t>
        </is>
      </c>
      <c r="B2588" t="inlineStr">
        <is>
          <t>recve60dL6IMHH.jpg</t>
        </is>
      </c>
      <c r="C2588" s="2" t="str">
        <f>=HYPERLINK("https://xhslink.com/m/1gb8nov2XUf", "https://xhslink.com/m/1gb8nov2XUf")</f>
        <v>https://xhslink.com/m/1gb8nov2XUf</v>
      </c>
      <c r="D2588"/>
      <c r="E2588">
        <v>6667</v>
      </c>
      <c r="F2588">
        <v>29.8</v>
      </c>
      <c r="G2588"/>
      <c r="H2588">
        <v>100</v>
      </c>
      <c r="I2588" t="inlineStr">
        <is>
          <t>绘本</t>
        </is>
      </c>
      <c r="J2588" t="inlineStr">
        <is>
          <t>0.01</t>
        </is>
      </c>
      <c r="K2588" t="inlineStr">
        <is>
          <t>🔥低粉爆款</t>
        </is>
      </c>
      <c r="L2588" t="inlineStr">
        <is>
          <t>安然的书屋的店</t>
        </is>
      </c>
      <c r="M2588">
        <v>1977</v>
      </c>
      <c r="N2588">
        <v>4.63</v>
      </c>
      <c r="O2588">
        <v>39000</v>
      </c>
      <c r="P2588" t="inlineStr">
        <is>
          <t>65e158feaaca280001500c24</t>
        </is>
      </c>
      <c r="Q2588" t="inlineStr">
        <is>
          <t>🚫重复</t>
        </is>
      </c>
      <c r="R2588" t="inlineStr">
        <is>
          <t>14周</t>
        </is>
      </c>
      <c r="S2588" t="inlineStr">
        <is>
          <t>3.37</t>
        </is>
      </c>
      <c r="T2588" t="inlineStr">
        <is>
          <t>母婴亲子</t>
        </is>
      </c>
      <c r="U2588" t="inlineStr">
        <is>
          <t>童装童鞋</t>
        </is>
      </c>
      <c r="V2588" s="3">
        <v>46112.78107638889</v>
      </c>
      <c r="W2588" t="inlineStr">
        <is>
          <t>2026-Q1</t>
        </is>
      </c>
    </row>
    <row r="2589" ht="25.5" customHeight="1">
      <c r="A2589" t="inlineStr">
        <is>
          <t>淡裸粉色~复古鱼嘴凉鞋小低跟+u型扣设计</t>
        </is>
      </c>
      <c r="B2589" t="inlineStr">
        <is>
          <t>recvecknZItzx6.jpg</t>
        </is>
      </c>
      <c r="C2589" s="2" t="str">
        <f>=HYPERLINK("https://xhslink.com/m/1n6mIqv7msU", "https://xhslink.com/m/1n6mIqv7msU")</f>
        <v>https://xhslink.com/m/1n6mIqv7msU</v>
      </c>
      <c r="D2589"/>
      <c r="E2589">
        <v>1266</v>
      </c>
      <c r="F2589">
        <v>149</v>
      </c>
      <c r="G2589"/>
      <c r="H2589">
        <v>100</v>
      </c>
      <c r="I2589" t="inlineStr">
        <is>
          <t>凉鞋</t>
        </is>
      </c>
      <c r="J2589" t="inlineStr">
        <is>
          <t>0.08</t>
        </is>
      </c>
      <c r="K2589"/>
      <c r="L2589" t="inlineStr">
        <is>
          <t>不会穿高跟鞋的小怡~的店</t>
        </is>
      </c>
      <c r="M2589">
        <v>21000</v>
      </c>
      <c r="N2589">
        <v>4.31</v>
      </c>
      <c r="O2589">
        <v>11000</v>
      </c>
      <c r="P2589" t="inlineStr">
        <is>
          <t>6892e4f086c0df00016a1ed1</t>
        </is>
      </c>
      <c r="Q2589"/>
      <c r="R2589" t="inlineStr">
        <is>
          <t>14周</t>
        </is>
      </c>
      <c r="S2589" t="inlineStr">
        <is>
          <t>0.06</t>
        </is>
      </c>
      <c r="T2589" t="inlineStr">
        <is>
          <t>服饰穿搭</t>
        </is>
      </c>
      <c r="U2589" t="inlineStr">
        <is>
          <t>鞋靴箱包</t>
        </is>
      </c>
      <c r="V2589" s="3">
        <v>46112.78107638889</v>
      </c>
      <c r="W2589" t="inlineStr">
        <is>
          <t>2026-Q1</t>
        </is>
      </c>
    </row>
    <row r="2590" ht="25.5" customHeight="1">
      <c r="A2590" t="inlineStr">
        <is>
          <t>宝宝袜子彩色精梳棉舒适儿童中筒袜 无骨透气多巴胺系列中筒袜A类</t>
        </is>
      </c>
      <c r="B2590" t="inlineStr">
        <is>
          <t>recveckoIED9Yb.jpg</t>
        </is>
      </c>
      <c r="C2590" s="2" t="str">
        <f>=HYPERLINK("https://xhslink.com/m/17vqaoGuYZ3", "https://xhslink.com/m/17vqaoGuYZ3")</f>
        <v>https://xhslink.com/m/17vqaoGuYZ3</v>
      </c>
      <c r="D2590"/>
      <c r="E2590">
        <v>24000</v>
      </c>
      <c r="F2590">
        <v>28.9</v>
      </c>
      <c r="G2590"/>
      <c r="H2590">
        <v>100</v>
      </c>
      <c r="I2590" t="inlineStr">
        <is>
          <t>童袜</t>
        </is>
      </c>
      <c r="J2590" t="inlineStr">
        <is>
          <t>0.00</t>
        </is>
      </c>
      <c r="K2590" t="inlineStr">
        <is>
          <t>🔥低粉爆款</t>
        </is>
      </c>
      <c r="L2590" t="inlineStr">
        <is>
          <t>多多嘟的店</t>
        </is>
      </c>
      <c r="M2590">
        <v>2229</v>
      </c>
      <c r="N2590">
        <v>4.53</v>
      </c>
      <c r="O2590">
        <v>68000</v>
      </c>
      <c r="P2590" t="inlineStr">
        <is>
          <t>68a34f977313330001cf8718</t>
        </is>
      </c>
      <c r="Q2590"/>
      <c r="R2590" t="inlineStr">
        <is>
          <t>14周</t>
        </is>
      </c>
      <c r="S2590" t="inlineStr">
        <is>
          <t>10.77</t>
        </is>
      </c>
      <c r="T2590" t="inlineStr">
        <is>
          <t>母婴亲子</t>
        </is>
      </c>
      <c r="U2590" t="inlineStr">
        <is>
          <t>童装童鞋</t>
        </is>
      </c>
      <c r="V2590" s="3">
        <v>46112.78107638889</v>
      </c>
      <c r="W2590" t="inlineStr">
        <is>
          <t>2026-Q1</t>
        </is>
      </c>
    </row>
    <row r="2591" ht="25.5" customHeight="1">
      <c r="A2591" t="inlineStr">
        <is>
          <t>不想失业原创熊猫卷卷挂件红眼镜古早味可爱包包挂饰钥匙扣</t>
        </is>
      </c>
      <c r="B2591" t="inlineStr">
        <is>
          <t>recveckoIEdzek.jpg</t>
        </is>
      </c>
      <c r="C2591" s="2" t="str">
        <f>=HYPERLINK("https://xhslink.com/m/3MpSR05gFU2", "https://xhslink.com/m/3MpSR05gFU2")</f>
        <v>https://xhslink.com/m/3MpSR05gFU2</v>
      </c>
      <c r="D2591"/>
      <c r="E2591">
        <v>11000</v>
      </c>
      <c r="F2591">
        <v>28.8</v>
      </c>
      <c r="G2591"/>
      <c r="H2591">
        <v>100</v>
      </c>
      <c r="I2591" t="inlineStr">
        <is>
          <t>挂件</t>
        </is>
      </c>
      <c r="J2591" t="inlineStr">
        <is>
          <t>0.01</t>
        </is>
      </c>
      <c r="K2591"/>
      <c r="L2591" t="inlineStr">
        <is>
          <t>不想失业的店</t>
        </is>
      </c>
      <c r="M2591">
        <v>96000</v>
      </c>
      <c r="N2591">
        <v>4.65</v>
      </c>
      <c r="O2591">
        <v>175000</v>
      </c>
      <c r="P2591" t="inlineStr">
        <is>
          <t>68049b9b1374670001c81f95</t>
        </is>
      </c>
      <c r="Q2591" t="inlineStr">
        <is>
          <t>🚫重复</t>
        </is>
      </c>
      <c r="R2591" t="inlineStr">
        <is>
          <t>14周</t>
        </is>
      </c>
      <c r="S2591" t="inlineStr">
        <is>
          <t>0.11</t>
        </is>
      </c>
      <c r="T2591" t="inlineStr">
        <is>
          <t>服饰穿搭</t>
        </is>
      </c>
      <c r="U2591" t="inlineStr">
        <is>
          <t>鞋靴箱包</t>
        </is>
      </c>
      <c r="V2591" s="3">
        <v>46112.78107638889</v>
      </c>
      <c r="W2591" t="inlineStr">
        <is>
          <t>2026-Q1</t>
        </is>
      </c>
    </row>
    <row r="2592" ht="25.5" customHeight="1">
      <c r="A2592" t="inlineStr">
        <is>
          <t>必吃榜！半斤/约30包潮汕特产办公室零食核桃木烤蜜猪肉脯</t>
        </is>
      </c>
      <c r="B2592" t="inlineStr">
        <is>
          <t>recveckoIEgjd3.jpg</t>
        </is>
      </c>
      <c r="C2592" s="2" t="str">
        <f>=HYPERLINK("https://xhslink.com/m/5RD3dxzr1a4", "https://xhslink.com/m/5RD3dxzr1a4")</f>
        <v>https://xhslink.com/m/5RD3dxzr1a4</v>
      </c>
      <c r="D2592"/>
      <c r="E2592">
        <v>376000</v>
      </c>
      <c r="F2592">
        <v>70</v>
      </c>
      <c r="G2592">
        <v>32.8</v>
      </c>
      <c r="H2592">
        <v>100</v>
      </c>
      <c r="I2592" t="inlineStr">
        <is>
          <t>零食</t>
        </is>
      </c>
      <c r="J2592" t="inlineStr">
        <is>
          <t>0.00</t>
        </is>
      </c>
      <c r="K2592" t="inlineStr">
        <is>
          <t>🔥低粉爆款</t>
        </is>
      </c>
      <c r="L2592" t="inlineStr">
        <is>
          <t>喜成福运核桃木烤猪肉脯的店</t>
        </is>
      </c>
      <c r="M2592">
        <v>18000</v>
      </c>
      <c r="N2592">
        <v>4.49</v>
      </c>
      <c r="O2592">
        <v>412000</v>
      </c>
      <c r="P2592" t="inlineStr">
        <is>
          <t>6522c25841d7570001b2b443</t>
        </is>
      </c>
      <c r="Q2592" t="inlineStr">
        <is>
          <t>🚫重复</t>
        </is>
      </c>
      <c r="R2592" t="inlineStr">
        <is>
          <t>14周</t>
        </is>
      </c>
      <c r="S2592" t="inlineStr">
        <is>
          <t>20.89</t>
        </is>
      </c>
      <c r="T2592" t="inlineStr">
        <is>
          <t>美食滋补</t>
        </is>
      </c>
      <c r="U2592" t="inlineStr">
        <is>
          <t>休闲零食</t>
        </is>
      </c>
      <c r="V2592" s="3">
        <v>46112.78107638889</v>
      </c>
      <c r="W2592" t="inlineStr">
        <is>
          <t>2026-Q1</t>
        </is>
      </c>
    </row>
    <row r="2593" ht="25.5" customHeight="1">
      <c r="A2593" t="inlineStr">
        <is>
          <t>【延边广播电视台专属】韩式风味鱼饼片 美味可口的袋装美食</t>
        </is>
      </c>
      <c r="B2593" t="inlineStr">
        <is>
          <t>recveckoIEwQiK.jpg</t>
        </is>
      </c>
      <c r="C2593" s="2" t="str">
        <f>=HYPERLINK("https://xhslink.com/m/8U5XzQ8vZrh", "https://xhslink.com/m/8U5XzQ8vZrh")</f>
        <v>https://xhslink.com/m/8U5XzQ8vZrh</v>
      </c>
      <c r="D2593"/>
      <c r="E2593">
        <v>2183</v>
      </c>
      <c r="F2593">
        <v>23.9</v>
      </c>
      <c r="G2593"/>
      <c r="H2593">
        <v>100</v>
      </c>
      <c r="I2593" t="inlineStr">
        <is>
          <t>零食</t>
        </is>
      </c>
      <c r="J2593" t="inlineStr">
        <is>
          <t>0.05</t>
        </is>
      </c>
      <c r="K2593" t="inlineStr">
        <is>
          <t>🔥低粉爆款</t>
        </is>
      </c>
      <c r="L2593" t="inlineStr">
        <is>
          <t>延甄优选的店</t>
        </is>
      </c>
      <c r="M2593">
        <v>417</v>
      </c>
      <c r="N2593">
        <v>4.59</v>
      </c>
      <c r="O2593">
        <v>123000</v>
      </c>
      <c r="P2593" t="inlineStr">
        <is>
          <t>695df38d79e41000157e6adf</t>
        </is>
      </c>
      <c r="Q2593" t="inlineStr">
        <is>
          <t>🚫重复</t>
        </is>
      </c>
      <c r="R2593" t="inlineStr">
        <is>
          <t>14周</t>
        </is>
      </c>
      <c r="S2593" t="inlineStr">
        <is>
          <t>5.24</t>
        </is>
      </c>
      <c r="T2593" t="inlineStr">
        <is>
          <t>数码家电</t>
        </is>
      </c>
      <c r="U2593" t="inlineStr">
        <is>
          <t>大家电</t>
        </is>
      </c>
      <c r="V2593" s="3">
        <v>46112.78107638889</v>
      </c>
      <c r="W2593" t="inlineStr">
        <is>
          <t>2026-Q1</t>
        </is>
      </c>
    </row>
    <row r="2594" ht="25.5" customHeight="1">
      <c r="A2594" t="inlineStr">
        <is>
          <t>【顺丰/JD】七色小番茄水果盲盒青甜2号小番茄圣女果现摘现发</t>
        </is>
      </c>
      <c r="B2594" t="inlineStr">
        <is>
          <t>recveckoIEjPig.jpg</t>
        </is>
      </c>
      <c r="C2594" s="2" t="str">
        <f>=HYPERLINK("https://xhslink.com/m/8trnki9wbcT", "https://xhslink.com/m/8trnki9wbcT")</f>
        <v>https://xhslink.com/m/8trnki9wbcT</v>
      </c>
      <c r="D2594"/>
      <c r="E2594">
        <v>12000</v>
      </c>
      <c r="F2594">
        <v>26.5</v>
      </c>
      <c r="G2594">
        <v>12.9</v>
      </c>
      <c r="H2594">
        <v>100</v>
      </c>
      <c r="I2594" t="inlineStr">
        <is>
          <t>水果</t>
        </is>
      </c>
      <c r="J2594" t="inlineStr">
        <is>
          <t>0.01</t>
        </is>
      </c>
      <c r="K2594"/>
      <c r="L2594" t="inlineStr">
        <is>
          <t>麒果果的店</t>
        </is>
      </c>
      <c r="M2594">
        <v>14000</v>
      </c>
      <c r="N2594">
        <v>4.58</v>
      </c>
      <c r="O2594">
        <v>93000</v>
      </c>
      <c r="P2594" t="inlineStr">
        <is>
          <t>6979af4f226ff5000162dbd2</t>
        </is>
      </c>
      <c r="Q2594" t="inlineStr">
        <is>
          <t>🚫重复</t>
        </is>
      </c>
      <c r="R2594" t="inlineStr">
        <is>
          <t>14周</t>
        </is>
      </c>
      <c r="S2594" t="inlineStr">
        <is>
          <t>0.86</t>
        </is>
      </c>
      <c r="T2594" t="inlineStr">
        <is>
          <t>美食滋补</t>
        </is>
      </c>
      <c r="U2594" t="inlineStr">
        <is>
          <t>生鲜特产</t>
        </is>
      </c>
      <c r="V2594" s="3">
        <v>46112.78107638889</v>
      </c>
      <c r="W2594" t="inlineStr">
        <is>
          <t>2026-Q1</t>
        </is>
      </c>
    </row>
    <row r="2595" ht="25.5" customHeight="1">
      <c r="A2595" t="inlineStr">
        <is>
          <t>佳沃 · 云南花香蓝莓 4/6盒装  L25当季鲜果满满花青素宝宝孕妇水果直播</t>
        </is>
      </c>
      <c r="B2595" t="inlineStr">
        <is>
          <t>recveckoIEMsmq.jpg</t>
        </is>
      </c>
      <c r="C2595" s="2" t="str">
        <f>=HYPERLINK("https://xhslink.com/m/58LckJv1qvd", "https://xhslink.com/m/58LckJv1qvd")</f>
        <v>https://xhslink.com/m/58LckJv1qvd</v>
      </c>
      <c r="D2595"/>
      <c r="E2595">
        <v>3056</v>
      </c>
      <c r="F2595">
        <v>79.9</v>
      </c>
      <c r="G2595">
        <v>56.9</v>
      </c>
      <c r="H2595">
        <v>100</v>
      </c>
      <c r="I2595" t="inlineStr">
        <is>
          <t>水果</t>
        </is>
      </c>
      <c r="J2595" t="inlineStr">
        <is>
          <t>0.03</t>
        </is>
      </c>
      <c r="K2595"/>
      <c r="L2595" t="inlineStr">
        <is>
          <t>佳沃水果旗舰店</t>
        </is>
      </c>
      <c r="M2595">
        <v>178000</v>
      </c>
      <c r="N2595">
        <v>4.54</v>
      </c>
      <c r="O2595">
        <v>183000</v>
      </c>
      <c r="P2595" t="inlineStr">
        <is>
          <t>67c5796d4a59360001938138</t>
        </is>
      </c>
      <c r="Q2595" t="inlineStr">
        <is>
          <t>🚫重复</t>
        </is>
      </c>
      <c r="R2595" t="inlineStr">
        <is>
          <t>14周</t>
        </is>
      </c>
      <c r="S2595" t="inlineStr">
        <is>
          <t>0.02</t>
        </is>
      </c>
      <c r="T2595" t="inlineStr">
        <is>
          <t>美食滋补</t>
        </is>
      </c>
      <c r="U2595" t="inlineStr">
        <is>
          <t>生鲜特产</t>
        </is>
      </c>
      <c r="V2595" s="3">
        <v>46112.78107638889</v>
      </c>
      <c r="W2595" t="inlineStr">
        <is>
          <t>2026-Q1</t>
        </is>
      </c>
    </row>
    <row r="2596" ht="25.5" customHeight="1">
      <c r="A2596" t="inlineStr">
        <is>
          <t>红心牛奶木瓜新鲜现摘孕妇水果当季冰糖心青皮木瓜自熟包邮</t>
        </is>
      </c>
      <c r="B2596" t="inlineStr">
        <is>
          <t>recveckoIEjWaV.jpg</t>
        </is>
      </c>
      <c r="C2596" s="2" t="str">
        <f>=HYPERLINK("https://xhslink.com/m/5LJL9WoW52E", "https://xhslink.com/m/5LJL9WoW52E")</f>
        <v>https://xhslink.com/m/5LJL9WoW52E</v>
      </c>
      <c r="D2596"/>
      <c r="E2596">
        <v>1000</v>
      </c>
      <c r="F2596">
        <v>22.8</v>
      </c>
      <c r="G2596">
        <v>8.8</v>
      </c>
      <c r="H2596">
        <v>100</v>
      </c>
      <c r="I2596" t="inlineStr">
        <is>
          <t>水果</t>
        </is>
      </c>
      <c r="J2596" t="inlineStr">
        <is>
          <t>0.10</t>
        </is>
      </c>
      <c r="K2596" t="inlineStr">
        <is>
          <t>🔥低粉爆款</t>
        </is>
      </c>
      <c r="L2596" t="inlineStr">
        <is>
          <t>二嫂爱吃木瓜的店</t>
        </is>
      </c>
      <c r="M2596">
        <v>49</v>
      </c>
      <c r="N2596">
        <v>4.65</v>
      </c>
      <c r="O2596">
        <v>583</v>
      </c>
      <c r="P2596" t="inlineStr">
        <is>
          <t>69aad28d970f000001b062a6</t>
        </is>
      </c>
      <c r="Q2596"/>
      <c r="R2596" t="inlineStr">
        <is>
          <t>14周</t>
        </is>
      </c>
      <c r="S2596" t="inlineStr">
        <is>
          <t>20.41</t>
        </is>
      </c>
      <c r="T2596" t="inlineStr">
        <is>
          <t>美食滋补</t>
        </is>
      </c>
      <c r="U2596" t="inlineStr">
        <is>
          <t>酒水冲饮</t>
        </is>
      </c>
      <c r="V2596" s="3">
        <v>46112.78107638889</v>
      </c>
      <c r="W2596" t="inlineStr">
        <is>
          <t>2026-Q1</t>
        </is>
      </c>
    </row>
    <row r="2597" ht="25.5" customHeight="1">
      <c r="A2597" t="inlineStr">
        <is>
          <t>3E · 【白桃乌龙】奶犹水蜜桃豆沙粉渐变自然不透甲穿戴甲渐变裸纯欲风</t>
        </is>
      </c>
      <c r="B2597" t="inlineStr">
        <is>
          <t>recveckoIELgLD.jpg</t>
        </is>
      </c>
      <c r="C2597" s="2" t="str">
        <f>=HYPERLINK("https://xhslink.com/m/8sW6DsKBLR1", "https://xhslink.com/m/8sW6DsKBLR1")</f>
        <v>https://xhslink.com/m/8sW6DsKBLR1</v>
      </c>
      <c r="D2597"/>
      <c r="E2597">
        <v>15000</v>
      </c>
      <c r="F2597">
        <v>21.9</v>
      </c>
      <c r="G2597">
        <v>11.9</v>
      </c>
      <c r="H2597">
        <v>100</v>
      </c>
      <c r="I2597" t="inlineStr">
        <is>
          <t>美甲</t>
        </is>
      </c>
      <c r="J2597" t="inlineStr">
        <is>
          <t>0.01</t>
        </is>
      </c>
      <c r="K2597" t="inlineStr">
        <is>
          <t>🔥低粉爆款</t>
        </is>
      </c>
      <c r="L2597" t="inlineStr">
        <is>
          <t>小知手工穿戴甲的店</t>
        </is>
      </c>
      <c r="M2597">
        <v>1501</v>
      </c>
      <c r="N2597">
        <v>4.52</v>
      </c>
      <c r="O2597">
        <v>18000</v>
      </c>
      <c r="P2597" t="inlineStr">
        <is>
          <t>6819a8ebc883af00013e475c</t>
        </is>
      </c>
      <c r="Q2597" t="inlineStr">
        <is>
          <t>🚫重复</t>
        </is>
      </c>
      <c r="R2597" t="inlineStr">
        <is>
          <t>14周</t>
        </is>
      </c>
      <c r="S2597" t="inlineStr">
        <is>
          <t>9.99</t>
        </is>
      </c>
      <c r="T2597" t="inlineStr">
        <is>
          <t>美妆个护</t>
        </is>
      </c>
      <c r="U2597" t="inlineStr">
        <is>
          <t>护肤彩妆</t>
        </is>
      </c>
      <c r="V2597" s="3">
        <v>46112.78107638889</v>
      </c>
      <c r="W2597" t="inlineStr">
        <is>
          <t>2026-Q1</t>
        </is>
      </c>
    </row>
    <row r="2598" ht="25.5" customHeight="1">
      <c r="A2598" t="inlineStr">
        <is>
          <t>3AM HAIR SALON · 【乐蓝】纯手工穿戴甲“不同光线不同效果</t>
        </is>
      </c>
      <c r="B2598" t="inlineStr">
        <is>
          <t>recveckoIEYY6Q.jpg</t>
        </is>
      </c>
      <c r="C2598" s="2" t="str">
        <f>=HYPERLINK("https://xhslink.com/m/7nnygqrIMdQ", "https://xhslink.com/m/7nnygqrIMdQ")</f>
        <v>https://xhslink.com/m/7nnygqrIMdQ</v>
      </c>
      <c r="D2598"/>
      <c r="E2598">
        <v>5565</v>
      </c>
      <c r="F2598">
        <v>26.99</v>
      </c>
      <c r="G2598"/>
      <c r="H2598">
        <v>100</v>
      </c>
      <c r="I2598" t="inlineStr">
        <is>
          <t>美甲</t>
        </is>
      </c>
      <c r="J2598" t="inlineStr">
        <is>
          <t>0.02</t>
        </is>
      </c>
      <c r="K2598"/>
      <c r="L2598" t="inlineStr">
        <is>
          <t>癫姐手工穿戴甲的店</t>
        </is>
      </c>
      <c r="M2598">
        <v>13000</v>
      </c>
      <c r="N2598">
        <v>4.42</v>
      </c>
      <c r="O2598">
        <v>41000</v>
      </c>
      <c r="P2598" t="inlineStr">
        <is>
          <t>6803c18861f357000102e938</t>
        </is>
      </c>
      <c r="Q2598" t="inlineStr">
        <is>
          <t>🚫重复</t>
        </is>
      </c>
      <c r="R2598" t="inlineStr">
        <is>
          <t>14周</t>
        </is>
      </c>
      <c r="S2598" t="inlineStr">
        <is>
          <t>0.43</t>
        </is>
      </c>
      <c r="T2598" t="inlineStr">
        <is>
          <t>美妆个护</t>
        </is>
      </c>
      <c r="U2598" t="inlineStr">
        <is>
          <t>护肤彩妆</t>
        </is>
      </c>
      <c r="V2598" s="3">
        <v>46112.78107638889</v>
      </c>
      <c r="W2598" t="inlineStr">
        <is>
          <t>2026-Q1</t>
        </is>
      </c>
    </row>
    <row r="2599" ht="25.5" customHeight="1">
      <c r="A2599" t="inlineStr">
        <is>
          <t>Miss Candy · 猫眼裸色五合一一步胶新款春夏胶建构底胶封层美甲专用无需底胶</t>
        </is>
      </c>
      <c r="B2599" t="inlineStr">
        <is>
          <t>recveckoIEAub7.jpg</t>
        </is>
      </c>
      <c r="C2599" s="2" t="str">
        <f>=HYPERLINK("https://xhslink.com/m/28ZPuM85isc", "https://xhslink.com/m/28ZPuM85isc")</f>
        <v>https://xhslink.com/m/28ZPuM85isc</v>
      </c>
      <c r="D2599"/>
      <c r="E2599">
        <v>11000</v>
      </c>
      <c r="F2599">
        <v>59.9</v>
      </c>
      <c r="G2599">
        <v>43.9</v>
      </c>
      <c r="H2599">
        <v>100</v>
      </c>
      <c r="I2599" t="inlineStr">
        <is>
          <t>美甲</t>
        </is>
      </c>
      <c r="J2599" t="inlineStr">
        <is>
          <t>0.01</t>
        </is>
      </c>
      <c r="K2599"/>
      <c r="L2599" t="inlineStr">
        <is>
          <t>Miss Candy瑞峰沐澜专卖店</t>
        </is>
      </c>
      <c r="M2599">
        <v>10000</v>
      </c>
      <c r="N2599">
        <v>4.74</v>
      </c>
      <c r="O2599">
        <v>25000</v>
      </c>
      <c r="P2599" t="inlineStr">
        <is>
          <t>68fdb4683f37a90001045ca4</t>
        </is>
      </c>
      <c r="Q2599"/>
      <c r="R2599" t="inlineStr">
        <is>
          <t>14周</t>
        </is>
      </c>
      <c r="S2599" t="inlineStr">
        <is>
          <t>1.10</t>
        </is>
      </c>
      <c r="T2599" t="inlineStr">
        <is>
          <t>美妆个护</t>
        </is>
      </c>
      <c r="U2599" t="inlineStr">
        <is>
          <t>护肤彩妆</t>
        </is>
      </c>
      <c r="V2599" s="3">
        <v>46112.78107638889</v>
      </c>
      <c r="W2599" t="inlineStr">
        <is>
          <t>2026-Q1</t>
        </is>
      </c>
    </row>
    <row r="2600" ht="25.5" customHeight="1">
      <c r="A2600" t="inlineStr">
        <is>
          <t>ADHERE · 燕翎隐系列裸色透色美甲胶肌显白冰透裸色卢娜修女诧寂淡人指甲胶</t>
        </is>
      </c>
      <c r="B2600" t="inlineStr">
        <is>
          <t>recveckoIEUBLp.jpg</t>
        </is>
      </c>
      <c r="C2600" s="2" t="str">
        <f>=HYPERLINK("https://xhslink.com/m/4r1KE2o6y2U", "https://xhslink.com/m/4r1KE2o6y2U")</f>
        <v>https://xhslink.com/m/4r1KE2o6y2U</v>
      </c>
      <c r="D2600"/>
      <c r="E2600">
        <v>655</v>
      </c>
      <c r="F2600">
        <v>12.9</v>
      </c>
      <c r="G2600"/>
      <c r="H2600">
        <v>100</v>
      </c>
      <c r="I2600" t="inlineStr">
        <is>
          <t>美甲</t>
        </is>
      </c>
      <c r="J2600" t="inlineStr">
        <is>
          <t>0.15</t>
        </is>
      </c>
      <c r="K2600"/>
      <c r="L2600" t="inlineStr">
        <is>
          <t>我叫mt的店</t>
        </is>
      </c>
      <c r="M2600">
        <v>401</v>
      </c>
      <c r="N2600">
        <v>4.6</v>
      </c>
      <c r="O2600">
        <v>27000</v>
      </c>
      <c r="P2600" t="inlineStr">
        <is>
          <t>69218b08e174080001462a0c</t>
        </is>
      </c>
      <c r="Q2600"/>
      <c r="R2600" t="inlineStr">
        <is>
          <t>14周</t>
        </is>
      </c>
      <c r="S2600" t="inlineStr">
        <is>
          <t>1.63</t>
        </is>
      </c>
      <c r="T2600" t="inlineStr">
        <is>
          <t>美妆个护</t>
        </is>
      </c>
      <c r="U2600" t="inlineStr">
        <is>
          <t>护肤彩妆</t>
        </is>
      </c>
      <c r="V2600" s="3">
        <v>46112.78107638889</v>
      </c>
      <c r="W2600" t="inlineStr">
        <is>
          <t>2026-Q1</t>
        </is>
      </c>
    </row>
    <row r="2601" ht="25.5" customHeight="1">
      <c r="A2601" t="inlineStr">
        <is>
          <t>LUHA · 美白留香免刷牙膏益生菌洁牙片去渍亮白清新口气</t>
        </is>
      </c>
      <c r="B2601" t="inlineStr">
        <is>
          <t>recveckoIEz2zi.jpg</t>
        </is>
      </c>
      <c r="C2601" s="2" t="str">
        <f>=HYPERLINK("https://xhslink.com/m/6hB0qLEHkcu", "https://xhslink.com/m/6hB0qLEHkcu")</f>
        <v>https://xhslink.com/m/6hB0qLEHkcu</v>
      </c>
      <c r="D2601"/>
      <c r="E2601">
        <v>53000</v>
      </c>
      <c r="F2601">
        <v>39.9</v>
      </c>
      <c r="G2601"/>
      <c r="H2601">
        <v>100</v>
      </c>
      <c r="I2601" t="inlineStr">
        <is>
          <t>口腔护理</t>
        </is>
      </c>
      <c r="J2601" t="inlineStr">
        <is>
          <t>0.00</t>
        </is>
      </c>
      <c r="K2601"/>
      <c r="L2601" t="inlineStr">
        <is>
          <t>LUHA口腔护理旗舰店</t>
        </is>
      </c>
      <c r="M2601">
        <v>49000</v>
      </c>
      <c r="N2601">
        <v>4.5</v>
      </c>
      <c r="O2601">
        <v>56000</v>
      </c>
      <c r="P2601" t="inlineStr">
        <is>
          <t>67d40173d9b11700012eaf3a</t>
        </is>
      </c>
      <c r="Q2601"/>
      <c r="R2601" t="inlineStr">
        <is>
          <t>14周</t>
        </is>
      </c>
      <c r="S2601" t="inlineStr">
        <is>
          <t>1.08</t>
        </is>
      </c>
      <c r="T2601" t="inlineStr">
        <is>
          <t>美妆个护</t>
        </is>
      </c>
      <c r="U2601" t="inlineStr">
        <is>
          <t>个人护理</t>
        </is>
      </c>
      <c r="V2601" s="3">
        <v>46112.78107638889</v>
      </c>
      <c r="W2601" t="inlineStr">
        <is>
          <t>2026-Q1</t>
        </is>
      </c>
    </row>
    <row r="2602" ht="25.5" customHeight="1">
      <c r="A2602" t="inlineStr">
        <is>
          <t>TOOSTY · 韩国小众甜点牙膏（新日期）纯植物清新口气清洁口腔防蛀牙除口臭</t>
        </is>
      </c>
      <c r="B2602" t="inlineStr">
        <is>
          <t>recveckoIEG9YS.jpg</t>
        </is>
      </c>
      <c r="C2602" s="2" t="str">
        <f>=HYPERLINK("https://xhslink.com/m/ALonZ5l2aNv", "https://xhslink.com/m/ALonZ5l2aNv")</f>
        <v>https://xhslink.com/m/ALonZ5l2aNv</v>
      </c>
      <c r="D2602"/>
      <c r="E2602">
        <v>3769</v>
      </c>
      <c r="F2602">
        <v>49</v>
      </c>
      <c r="G2602"/>
      <c r="H2602">
        <v>100</v>
      </c>
      <c r="I2602" t="inlineStr">
        <is>
          <t>美护</t>
        </is>
      </c>
      <c r="J2602" t="inlineStr">
        <is>
          <t>0.03</t>
        </is>
      </c>
      <c r="K2602"/>
      <c r="L2602" t="inlineStr">
        <is>
          <t>小羊大大王🥥的店</t>
        </is>
      </c>
      <c r="M2602">
        <v>1745</v>
      </c>
      <c r="N2602">
        <v>4.6</v>
      </c>
      <c r="O2602">
        <v>4583</v>
      </c>
      <c r="P2602" t="inlineStr">
        <is>
          <t>68e4baa0ce94ee00011bec86</t>
        </is>
      </c>
      <c r="Q2602"/>
      <c r="R2602" t="inlineStr">
        <is>
          <t>14周</t>
        </is>
      </c>
      <c r="S2602" t="inlineStr">
        <is>
          <t>2.16</t>
        </is>
      </c>
      <c r="T2602" t="inlineStr">
        <is>
          <t>美妆个护</t>
        </is>
      </c>
      <c r="U2602" t="inlineStr">
        <is>
          <t>个人护理</t>
        </is>
      </c>
      <c r="V2602" s="3">
        <v>46112.78107638889</v>
      </c>
      <c r="W2602" t="inlineStr">
        <is>
          <t>2026-Q1</t>
        </is>
      </c>
    </row>
    <row r="2603" ht="25.5" customHeight="1">
      <c r="A2603" t="inlineStr">
        <is>
          <t>30姆米100%桑蚕丝真丝发圈大肠发圈皮筋不伤发头绳伴手礼无填充</t>
        </is>
      </c>
      <c r="B2603" t="inlineStr">
        <is>
          <t>recveckoIEWDjX.jpg</t>
        </is>
      </c>
      <c r="C2603" s="2" t="str">
        <f>=HYPERLINK("https://xhslink.com/m/9yxNZcOsqwa", "https://xhslink.com/m/9yxNZcOsqwa")</f>
        <v>https://xhslink.com/m/9yxNZcOsqwa</v>
      </c>
      <c r="D2603"/>
      <c r="E2603">
        <v>33000</v>
      </c>
      <c r="F2603">
        <v>31.9</v>
      </c>
      <c r="G2603">
        <v>29.9</v>
      </c>
      <c r="H2603">
        <v>100</v>
      </c>
      <c r="I2603" t="inlineStr">
        <is>
          <t>配饰</t>
        </is>
      </c>
      <c r="J2603" t="inlineStr">
        <is>
          <t>0.00</t>
        </is>
      </c>
      <c r="K2603" t="inlineStr">
        <is>
          <t>🔥低粉爆款</t>
        </is>
      </c>
      <c r="L2603" t="inlineStr">
        <is>
          <t>Sue Silk的店</t>
        </is>
      </c>
      <c r="M2603">
        <v>10000</v>
      </c>
      <c r="N2603">
        <v>4.64</v>
      </c>
      <c r="O2603">
        <v>139000</v>
      </c>
      <c r="P2603" t="inlineStr">
        <is>
          <t>66a714b73a665000010c4acd</t>
        </is>
      </c>
      <c r="Q2603" t="inlineStr">
        <is>
          <t>🚫重复</t>
        </is>
      </c>
      <c r="R2603" t="inlineStr">
        <is>
          <t>14周</t>
        </is>
      </c>
      <c r="S2603" t="inlineStr">
        <is>
          <t>3.30</t>
        </is>
      </c>
      <c r="T2603" t="inlineStr">
        <is>
          <t>服饰穿搭</t>
        </is>
      </c>
      <c r="U2603" t="inlineStr">
        <is>
          <t>配饰</t>
        </is>
      </c>
      <c r="V2603" s="3">
        <v>46112.78107638889</v>
      </c>
      <c r="W2603" t="inlineStr">
        <is>
          <t>2026-Q1</t>
        </is>
      </c>
    </row>
    <row r="2604" ht="25.5" customHeight="1">
      <c r="A2604" t="inlineStr">
        <is>
          <t>Niko｜原创捷克复古串珠项链（非七天无理由）</t>
        </is>
      </c>
      <c r="B2604" t="inlineStr">
        <is>
          <t>recveckoIEaSL4.jpg</t>
        </is>
      </c>
      <c r="C2604" s="2" t="str">
        <f>=HYPERLINK("https://xhslink.com/m/1YWgpjMVdno", "https://xhslink.com/m/1YWgpjMVdno")</f>
        <v>https://xhslink.com/m/1YWgpjMVdno</v>
      </c>
      <c r="D2604"/>
      <c r="E2604">
        <v>1336</v>
      </c>
      <c r="F2604">
        <v>72</v>
      </c>
      <c r="G2604"/>
      <c r="H2604">
        <v>100</v>
      </c>
      <c r="I2604" t="inlineStr">
        <is>
          <t>配饰</t>
        </is>
      </c>
      <c r="J2604" t="inlineStr">
        <is>
          <t>0.07</t>
        </is>
      </c>
      <c r="K2604"/>
      <c r="L2604" t="inlineStr">
        <is>
          <t>Niko的店</t>
        </is>
      </c>
      <c r="M2604">
        <v>4337</v>
      </c>
      <c r="N2604">
        <v>4.71</v>
      </c>
      <c r="O2604">
        <v>2101</v>
      </c>
      <c r="P2604" t="inlineStr">
        <is>
          <t>68eb60b453446d00011028c8</t>
        </is>
      </c>
      <c r="Q2604" t="inlineStr">
        <is>
          <t>🚫重复</t>
        </is>
      </c>
      <c r="R2604" t="inlineStr">
        <is>
          <t>14周</t>
        </is>
      </c>
      <c r="S2604" t="inlineStr">
        <is>
          <t>0.31</t>
        </is>
      </c>
      <c r="T2604" t="inlineStr">
        <is>
          <t>服饰穿搭</t>
        </is>
      </c>
      <c r="U2604" t="inlineStr">
        <is>
          <t>配饰</t>
        </is>
      </c>
      <c r="V2604" s="3">
        <v>46112.78107638889</v>
      </c>
      <c r="W2604" t="inlineStr">
        <is>
          <t>2026-Q1</t>
        </is>
      </c>
    </row>
    <row r="2605" ht="25.5" customHeight="1">
      <c r="A2605" t="inlineStr">
        <is>
          <t>蝉夏～薄如轻纱款烫钻发圈 大肠发圈细条纹理头绳</t>
        </is>
      </c>
      <c r="B2605" t="inlineStr">
        <is>
          <t>recveckoIEQ0jm.jpg</t>
        </is>
      </c>
      <c r="C2605" s="2" t="str">
        <f>=HYPERLINK("https://xhslink.com/m/5R6vtOTzhpO", "https://xhslink.com/m/5R6vtOTzhpO")</f>
        <v>https://xhslink.com/m/5R6vtOTzhpO</v>
      </c>
      <c r="D2605"/>
      <c r="E2605">
        <v>15000</v>
      </c>
      <c r="F2605">
        <v>20.9</v>
      </c>
      <c r="G2605">
        <v>9.9</v>
      </c>
      <c r="H2605">
        <v>100</v>
      </c>
      <c r="I2605" t="inlineStr">
        <is>
          <t>配饰</t>
        </is>
      </c>
      <c r="J2605" t="inlineStr">
        <is>
          <t>0.01</t>
        </is>
      </c>
      <c r="K2605"/>
      <c r="L2605" t="inlineStr">
        <is>
          <t>七可爱的店</t>
        </is>
      </c>
      <c r="M2605">
        <v>43000</v>
      </c>
      <c r="N2605">
        <v>4.59</v>
      </c>
      <c r="O2605">
        <v>574000</v>
      </c>
      <c r="P2605" t="inlineStr">
        <is>
          <t>68511e06a89f4f0001ef3bda</t>
        </is>
      </c>
      <c r="Q2605"/>
      <c r="R2605" t="inlineStr">
        <is>
          <t>14周</t>
        </is>
      </c>
      <c r="S2605" t="inlineStr">
        <is>
          <t>0.35</t>
        </is>
      </c>
      <c r="T2605" t="inlineStr">
        <is>
          <t>服饰穿搭</t>
        </is>
      </c>
      <c r="U2605" t="inlineStr">
        <is>
          <t>配饰</t>
        </is>
      </c>
      <c r="V2605" s="3">
        <v>46112.78107638889</v>
      </c>
      <c r="W2605" t="inlineStr">
        <is>
          <t>2026-Q1</t>
        </is>
      </c>
    </row>
    <row r="2606" ht="25.5" customHeight="1">
      <c r="A2606" t="inlineStr">
        <is>
          <t>【缪妙·原创设计】仿日本天女樱花粉akoya珍珠项链温柔感</t>
        </is>
      </c>
      <c r="B2606" t="inlineStr">
        <is>
          <t>recveckoIENDdy.jpg</t>
        </is>
      </c>
      <c r="C2606" s="2" t="str">
        <f>=HYPERLINK("https://xhslink.com/m/5Gv4liMstsY", "https://xhslink.com/m/5Gv4liMstsY")</f>
        <v>https://xhslink.com/m/5Gv4liMstsY</v>
      </c>
      <c r="D2606"/>
      <c r="E2606">
        <v>1836</v>
      </c>
      <c r="F2606">
        <v>335</v>
      </c>
      <c r="G2606">
        <v>268</v>
      </c>
      <c r="H2606">
        <v>100</v>
      </c>
      <c r="I2606" t="inlineStr">
        <is>
          <t>配饰</t>
        </is>
      </c>
      <c r="J2606" t="inlineStr">
        <is>
          <t>0.05</t>
        </is>
      </c>
      <c r="K2606"/>
      <c r="L2606" t="inlineStr">
        <is>
          <t>缪妙爱人造珍珠的店</t>
        </is>
      </c>
      <c r="M2606">
        <v>2233</v>
      </c>
      <c r="N2606">
        <v>4.59</v>
      </c>
      <c r="O2606">
        <v>6395</v>
      </c>
      <c r="P2606" t="inlineStr">
        <is>
          <t>6821e970d0f043000127767b</t>
        </is>
      </c>
      <c r="Q2606" t="inlineStr">
        <is>
          <t>🚫重复</t>
        </is>
      </c>
      <c r="R2606" t="inlineStr">
        <is>
          <t>14周</t>
        </is>
      </c>
      <c r="S2606" t="inlineStr">
        <is>
          <t>0.82</t>
        </is>
      </c>
      <c r="T2606" t="inlineStr">
        <is>
          <t>服饰穿搭</t>
        </is>
      </c>
      <c r="U2606" t="inlineStr">
        <is>
          <t>配饰</t>
        </is>
      </c>
      <c r="V2606" s="3">
        <v>46112.78107638889</v>
      </c>
      <c r="W2606" t="inlineStr">
        <is>
          <t>2026-Q1</t>
        </is>
      </c>
    </row>
    <row r="2607" ht="25.5" customHeight="1">
      <c r="A2607" t="inlineStr">
        <is>
          <t>【双双外贸】户外骑行速干透气长袖T恤运动瑜伽显瘦上衣T29-25X16</t>
        </is>
      </c>
      <c r="B2607" t="inlineStr">
        <is>
          <t>recved8aX2HOUt.jpg</t>
        </is>
      </c>
      <c r="C2607" s="2" t="str">
        <f>=HYPERLINK("https://xhslink.com/m/4IJoPHshPik", "https://xhslink.com/m/4IJoPHshPik")</f>
        <v>https://xhslink.com/m/4IJoPHshPik</v>
      </c>
      <c r="D2607"/>
      <c r="E2607">
        <v>10000</v>
      </c>
      <c r="F2607">
        <v>159.9</v>
      </c>
      <c r="G2607">
        <v>59.9</v>
      </c>
      <c r="H2607">
        <v>100</v>
      </c>
      <c r="I2607" t="inlineStr">
        <is>
          <t>T恤</t>
        </is>
      </c>
      <c r="J2607" t="inlineStr">
        <is>
          <t>0.01</t>
        </is>
      </c>
      <c r="K2607"/>
      <c r="L2607" t="inlineStr">
        <is>
          <t>双双外贸的店</t>
        </is>
      </c>
      <c r="M2607">
        <v>410000</v>
      </c>
      <c r="N2607">
        <v>4.61</v>
      </c>
      <c r="O2607">
        <v>156000</v>
      </c>
      <c r="P2607" t="inlineStr">
        <is>
          <t>67ebada051259e0015f29fa0</t>
        </is>
      </c>
      <c r="Q2607"/>
      <c r="R2607" t="inlineStr">
        <is>
          <t>14周</t>
        </is>
      </c>
      <c r="S2607" t="inlineStr">
        <is>
          <t>0.02</t>
        </is>
      </c>
      <c r="T2607" t="inlineStr">
        <is>
          <t>运动潮玩</t>
        </is>
      </c>
      <c r="U2607" t="inlineStr">
        <is>
          <t>运动户外装备</t>
        </is>
      </c>
      <c r="V2607" s="3">
        <v>46112.78107638889</v>
      </c>
      <c r="W2607" t="inlineStr">
        <is>
          <t>2026-Q1</t>
        </is>
      </c>
    </row>
    <row r="2608" ht="25.5" customHeight="1">
      <c r="A2608" t="inlineStr">
        <is>
          <t>Amin Studios【100%羊毛小飞袖】韩版百搭显瘦休闲短袖T恤四季女</t>
        </is>
      </c>
      <c r="B2608" t="inlineStr">
        <is>
          <t>recved8o2Dmyay.jpg</t>
        </is>
      </c>
      <c r="C2608" s="2" t="str">
        <f>=HYPERLINK("https://xhslink.com/m/A4i3TrhK5eU", "https://xhslink.com/m/A4i3TrhK5eU")</f>
        <v>https://xhslink.com/m/A4i3TrhK5eU</v>
      </c>
      <c r="D2608"/>
      <c r="E2608">
        <v>2395</v>
      </c>
      <c r="F2608">
        <v>169</v>
      </c>
      <c r="G2608">
        <v>149</v>
      </c>
      <c r="H2608">
        <v>100</v>
      </c>
      <c r="I2608" t="inlineStr">
        <is>
          <t>T恤</t>
        </is>
      </c>
      <c r="J2608" t="inlineStr">
        <is>
          <t>0.04</t>
        </is>
      </c>
      <c r="K2608"/>
      <c r="L2608" t="inlineStr">
        <is>
          <t>Amin Studios的店</t>
        </is>
      </c>
      <c r="M2608">
        <v>3885</v>
      </c>
      <c r="N2608">
        <v>4.52</v>
      </c>
      <c r="O2608">
        <v>18000</v>
      </c>
      <c r="P2608" t="inlineStr">
        <is>
          <t>69a457a6a594590001a18a81</t>
        </is>
      </c>
      <c r="Q2608" t="inlineStr">
        <is>
          <t>🚫重复</t>
        </is>
      </c>
      <c r="R2608" t="inlineStr">
        <is>
          <t>14周</t>
        </is>
      </c>
      <c r="S2608" t="inlineStr">
        <is>
          <t>0.62</t>
        </is>
      </c>
      <c r="T2608" t="inlineStr">
        <is>
          <t>服饰穿搭</t>
        </is>
      </c>
      <c r="U2608" t="inlineStr">
        <is>
          <t>女装</t>
        </is>
      </c>
      <c r="V2608" s="3">
        <v>46112.78107638889</v>
      </c>
      <c r="W2608" t="inlineStr">
        <is>
          <t>2026-Q1</t>
        </is>
      </c>
    </row>
    <row r="2609" ht="25.5" customHeight="1">
      <c r="A2609" t="inlineStr">
        <is>
          <t>霞湖世家 · 【80支长绒棉-两件】 超高支双面液氨凉感圆领V领短袖T恤</t>
        </is>
      </c>
      <c r="B2609" t="inlineStr">
        <is>
          <t>recved8o2DEFFd.jpg</t>
        </is>
      </c>
      <c r="C2609" s="2" t="str">
        <f>=HYPERLINK("https://xhslink.com/m/8hD2oDMEiqt", "https://xhslink.com/m/8hD2oDMEiqt")</f>
        <v>https://xhslink.com/m/8hD2oDMEiqt</v>
      </c>
      <c r="D2609"/>
      <c r="E2609">
        <v>10000</v>
      </c>
      <c r="F2609">
        <v>168</v>
      </c>
      <c r="G2609"/>
      <c r="H2609">
        <v>100</v>
      </c>
      <c r="I2609" t="inlineStr">
        <is>
          <t>T恤</t>
        </is>
      </c>
      <c r="J2609" t="inlineStr">
        <is>
          <t>0.01</t>
        </is>
      </c>
      <c r="K2609"/>
      <c r="L2609" t="inlineStr">
        <is>
          <t>霞湖世家旗舰店</t>
        </is>
      </c>
      <c r="M2609">
        <v>47000</v>
      </c>
      <c r="N2609">
        <v>4.53</v>
      </c>
      <c r="O2609">
        <v>133000</v>
      </c>
      <c r="P2609" t="inlineStr">
        <is>
          <t>67fc678426cdaf0001793cc6</t>
        </is>
      </c>
      <c r="Q2609"/>
      <c r="R2609" t="inlineStr">
        <is>
          <t>14周</t>
        </is>
      </c>
      <c r="S2609" t="inlineStr">
        <is>
          <t>0.21</t>
        </is>
      </c>
      <c r="T2609" t="inlineStr">
        <is>
          <t>服饰穿搭</t>
        </is>
      </c>
      <c r="U2609" t="inlineStr">
        <is>
          <t>女装</t>
        </is>
      </c>
      <c r="V2609" s="3">
        <v>46112.78107638889</v>
      </c>
      <c r="W2609" t="inlineStr">
        <is>
          <t>2026-Q1</t>
        </is>
      </c>
    </row>
    <row r="2610" ht="25.5" customHeight="1">
      <c r="A2610" t="inlineStr">
        <is>
          <t>【绑带款】韩式设计款绑腰收腰短袖T恤设计感蝙蝠袖上衣罩衫棉质</t>
        </is>
      </c>
      <c r="B2610" t="inlineStr">
        <is>
          <t>recved8o2DHall.jpg</t>
        </is>
      </c>
      <c r="C2610" s="2" t="str">
        <f>=HYPERLINK("https://xhslink.com/m/34B3DywmIAV", "https://xhslink.com/m/34B3DywmIAV")</f>
        <v>https://xhslink.com/m/34B3DywmIAV</v>
      </c>
      <c r="D2610"/>
      <c r="E2610">
        <v>29000</v>
      </c>
      <c r="F2610">
        <v>47.9</v>
      </c>
      <c r="G2610"/>
      <c r="H2610">
        <v>100</v>
      </c>
      <c r="I2610" t="inlineStr">
        <is>
          <t>T恤</t>
        </is>
      </c>
      <c r="J2610" t="inlineStr">
        <is>
          <t>0.00</t>
        </is>
      </c>
      <c r="K2610" t="inlineStr">
        <is>
          <t>🔥低粉爆款</t>
        </is>
      </c>
      <c r="L2610" t="inlineStr">
        <is>
          <t>小阿猫呀的店</t>
        </is>
      </c>
      <c r="M2610">
        <v>3674</v>
      </c>
      <c r="N2610">
        <v>4.62</v>
      </c>
      <c r="O2610">
        <v>61000</v>
      </c>
      <c r="P2610" t="inlineStr">
        <is>
          <t>6876538a22713e0001155b90</t>
        </is>
      </c>
      <c r="Q2610" t="inlineStr">
        <is>
          <t>🚫重复</t>
        </is>
      </c>
      <c r="R2610" t="inlineStr">
        <is>
          <t>14周</t>
        </is>
      </c>
      <c r="S2610" t="inlineStr">
        <is>
          <t>7.89</t>
        </is>
      </c>
      <c r="T2610" t="inlineStr">
        <is>
          <t>服饰穿搭</t>
        </is>
      </c>
      <c r="U2610" t="inlineStr">
        <is>
          <t>女装</t>
        </is>
      </c>
      <c r="V2610" s="3">
        <v>46112.78107638889</v>
      </c>
      <c r="W2610" t="inlineStr">
        <is>
          <t>2026-Q1</t>
        </is>
      </c>
    </row>
    <row r="2611" ht="25.5" customHeight="1">
      <c r="A2611" t="inlineStr">
        <is>
          <t>夏季V领短袖T恤纯色慵懒宽松百搭休闲上衣 260G</t>
        </is>
      </c>
      <c r="B2611" t="inlineStr">
        <is>
          <t>recved8o2D9Mmt.jpg</t>
        </is>
      </c>
      <c r="C2611" s="2" t="str">
        <f>=HYPERLINK("https://xhslink.com/m/5Q6ilHF1GB7", "https://xhslink.com/m/5Q6ilHF1GB7")</f>
        <v>https://xhslink.com/m/5Q6ilHF1GB7</v>
      </c>
      <c r="D2611"/>
      <c r="E2611">
        <v>135000</v>
      </c>
      <c r="F2611">
        <v>49.8</v>
      </c>
      <c r="G2611">
        <v>39.8</v>
      </c>
      <c r="H2611">
        <v>100</v>
      </c>
      <c r="I2611" t="inlineStr">
        <is>
          <t>T恤</t>
        </is>
      </c>
      <c r="J2611" t="inlineStr">
        <is>
          <t>0.00</t>
        </is>
      </c>
      <c r="K2611"/>
      <c r="L2611" t="inlineStr">
        <is>
          <t>1mo饼的店</t>
        </is>
      </c>
      <c r="M2611">
        <v>87000</v>
      </c>
      <c r="N2611">
        <v>4.69</v>
      </c>
      <c r="O2611">
        <v>446000</v>
      </c>
      <c r="P2611" t="inlineStr">
        <is>
          <t>67ca87c2bffe4d0001bd68a6</t>
        </is>
      </c>
      <c r="Q2611" t="inlineStr">
        <is>
          <t>🚫重复</t>
        </is>
      </c>
      <c r="R2611" t="inlineStr">
        <is>
          <t>14周</t>
        </is>
      </c>
      <c r="S2611" t="inlineStr">
        <is>
          <t>1.55</t>
        </is>
      </c>
      <c r="T2611" t="inlineStr">
        <is>
          <t>服饰穿搭</t>
        </is>
      </c>
      <c r="U2611" t="inlineStr">
        <is>
          <t>女装</t>
        </is>
      </c>
      <c r="V2611" s="3">
        <v>46112.78107638889</v>
      </c>
      <c r="W2611" t="inlineStr">
        <is>
          <t>2026-Q1</t>
        </is>
      </c>
    </row>
    <row r="2612" ht="25.5" customHeight="1">
      <c r="A2612" t="inlineStr">
        <is>
          <t>韩系u领正肩上衣修身显瘦五分袖短款T恤250379</t>
        </is>
      </c>
      <c r="B2612" t="inlineStr">
        <is>
          <t>recved8o2DAHvR.jpg</t>
        </is>
      </c>
      <c r="C2612" s="2" t="str">
        <f>=HYPERLINK("https://xhslink.com/m/2pmQTeMus65", "https://xhslink.com/m/2pmQTeMus65")</f>
        <v>https://xhslink.com/m/2pmQTeMus65</v>
      </c>
      <c r="D2612"/>
      <c r="E2612">
        <v>15000</v>
      </c>
      <c r="F2612">
        <v>69.9</v>
      </c>
      <c r="G2612"/>
      <c r="H2612">
        <v>100</v>
      </c>
      <c r="I2612" t="inlineStr">
        <is>
          <t>T恤</t>
        </is>
      </c>
      <c r="J2612" t="inlineStr">
        <is>
          <t>0.01</t>
        </is>
      </c>
      <c r="K2612" t="inlineStr">
        <is>
          <t>🔥低粉爆款</t>
        </is>
      </c>
      <c r="L2612" t="inlineStr">
        <is>
          <t>耶耶要喝奶茶的店</t>
        </is>
      </c>
      <c r="M2612">
        <v>2394</v>
      </c>
      <c r="N2612">
        <v>4.56</v>
      </c>
      <c r="O2612">
        <v>63000</v>
      </c>
      <c r="P2612" t="inlineStr">
        <is>
          <t>68c98f28cb717b0001736164</t>
        </is>
      </c>
      <c r="Q2612"/>
      <c r="R2612" t="inlineStr">
        <is>
          <t>14周</t>
        </is>
      </c>
      <c r="S2612" t="inlineStr">
        <is>
          <t>6.27</t>
        </is>
      </c>
      <c r="T2612" t="inlineStr">
        <is>
          <t>服饰穿搭</t>
        </is>
      </c>
      <c r="U2612" t="inlineStr">
        <is>
          <t>女装</t>
        </is>
      </c>
      <c r="V2612" s="3">
        <v>46112.78107638889</v>
      </c>
      <c r="W2612" t="inlineStr">
        <is>
          <t>2026-Q1</t>
        </is>
      </c>
    </row>
    <row r="2613" ht="25.5" customHeight="1">
      <c r="A2613" t="inlineStr">
        <is>
          <t>水感tee大V领宽松T恤夏露肩透气上衣跑步健身短袖百搭不挑人8766</t>
        </is>
      </c>
      <c r="B2613" t="inlineStr">
        <is>
          <t>recved8o2DVhKH.jpg</t>
        </is>
      </c>
      <c r="C2613" s="2" t="str">
        <f>=HYPERLINK("https://xhslink.com/m/7yg4CW0MsNQ", "https://xhslink.com/m/7yg4CW0MsNQ")</f>
        <v>https://xhslink.com/m/7yg4CW0MsNQ</v>
      </c>
      <c r="D2613"/>
      <c r="E2613">
        <v>11000</v>
      </c>
      <c r="F2613">
        <v>68</v>
      </c>
      <c r="G2613"/>
      <c r="H2613">
        <v>100</v>
      </c>
      <c r="I2613" t="inlineStr">
        <is>
          <t>T恤</t>
        </is>
      </c>
      <c r="J2613" t="inlineStr">
        <is>
          <t>0.01</t>
        </is>
      </c>
      <c r="K2613"/>
      <c r="L2613" t="inlineStr">
        <is>
          <t>小鱼爱穿搭的店</t>
        </is>
      </c>
      <c r="M2613">
        <v>128000</v>
      </c>
      <c r="N2613">
        <v>4.43</v>
      </c>
      <c r="O2613">
        <v>604000</v>
      </c>
      <c r="P2613" t="inlineStr">
        <is>
          <t>67ceb9012aad8200014a051c</t>
        </is>
      </c>
      <c r="Q2613" t="inlineStr">
        <is>
          <t>🚫重复</t>
        </is>
      </c>
      <c r="R2613" t="inlineStr">
        <is>
          <t>14周</t>
        </is>
      </c>
      <c r="S2613" t="inlineStr">
        <is>
          <t>0.09</t>
        </is>
      </c>
      <c r="T2613" t="inlineStr">
        <is>
          <t>服饰穿搭</t>
        </is>
      </c>
      <c r="U2613" t="inlineStr">
        <is>
          <t>女装</t>
        </is>
      </c>
      <c r="V2613" s="3">
        <v>46112.78107638889</v>
      </c>
      <c r="W2613" t="inlineStr">
        <is>
          <t>2026-Q1</t>
        </is>
      </c>
    </row>
    <row r="2614" ht="25.5" customHeight="1">
      <c r="A2614" t="inlineStr">
        <is>
          <t>夏季新款小蛮腰抽皱显瘦正肩T恤小众短袖修身上衣</t>
        </is>
      </c>
      <c r="B2614" t="inlineStr">
        <is>
          <t>recved8o2DsPsx.jpg</t>
        </is>
      </c>
      <c r="C2614" s="2" t="str">
        <f>=HYPERLINK("https://xhslink.com/m/4n3ul8erEV6", "https://xhslink.com/m/4n3ul8erEV6")</f>
        <v>https://xhslink.com/m/4n3ul8erEV6</v>
      </c>
      <c r="D2614"/>
      <c r="E2614">
        <v>15000</v>
      </c>
      <c r="F2614">
        <v>39.9</v>
      </c>
      <c r="G2614"/>
      <c r="H2614">
        <v>100</v>
      </c>
      <c r="I2614" t="inlineStr">
        <is>
          <t>T恤</t>
        </is>
      </c>
      <c r="J2614" t="inlineStr">
        <is>
          <t>0.01</t>
        </is>
      </c>
      <c r="K2614"/>
      <c r="L2614" t="inlineStr">
        <is>
          <t>大耳朵藏不住的店</t>
        </is>
      </c>
      <c r="M2614">
        <v>6970</v>
      </c>
      <c r="N2614">
        <v>4.65</v>
      </c>
      <c r="O2614">
        <v>290000</v>
      </c>
      <c r="P2614" t="inlineStr">
        <is>
          <t>682b0129c3bab90001505ce0</t>
        </is>
      </c>
      <c r="Q2614" t="inlineStr">
        <is>
          <t>🚫重复</t>
        </is>
      </c>
      <c r="R2614" t="inlineStr">
        <is>
          <t>14周</t>
        </is>
      </c>
      <c r="S2614" t="inlineStr">
        <is>
          <t>2.15</t>
        </is>
      </c>
      <c r="T2614" t="inlineStr">
        <is>
          <t>服饰穿搭</t>
        </is>
      </c>
      <c r="U2614" t="inlineStr">
        <is>
          <t>女装</t>
        </is>
      </c>
      <c r="V2614" s="3">
        <v>46112.78107638889</v>
      </c>
      <c r="W2614" t="inlineStr">
        <is>
          <t>2026-Q1</t>
        </is>
      </c>
    </row>
    <row r="2615" ht="25.5" customHeight="1">
      <c r="A2615" t="inlineStr">
        <is>
          <t>【加长款正肩短袖】全棉100%棉T恤女夏季合身百搭显瘦t恤设</t>
        </is>
      </c>
      <c r="B2615" t="inlineStr">
        <is>
          <t>recved8o2Dunlj.jpg</t>
        </is>
      </c>
      <c r="C2615" s="2" t="str">
        <f>=HYPERLINK("https://xhslink.com/m/edScDa7EvQ", "https://xhslink.com/m/edScDa7EvQ")</f>
        <v>https://xhslink.com/m/edScDa7EvQ</v>
      </c>
      <c r="D2615"/>
      <c r="E2615">
        <v>8714</v>
      </c>
      <c r="F2615">
        <v>37.9</v>
      </c>
      <c r="G2615"/>
      <c r="H2615">
        <v>100</v>
      </c>
      <c r="I2615" t="inlineStr">
        <is>
          <t>T恤</t>
        </is>
      </c>
      <c r="J2615" t="inlineStr">
        <is>
          <t>0.01</t>
        </is>
      </c>
      <c r="K2615"/>
      <c r="L2615" t="inlineStr">
        <is>
          <t>ootxjsh的店</t>
        </is>
      </c>
      <c r="M2615">
        <v>7675</v>
      </c>
      <c r="N2615">
        <v>4.55</v>
      </c>
      <c r="O2615">
        <v>42000</v>
      </c>
      <c r="P2615" t="inlineStr">
        <is>
          <t>66934570232a81000134724d</t>
        </is>
      </c>
      <c r="Q2615" t="inlineStr">
        <is>
          <t>🚫重复</t>
        </is>
      </c>
      <c r="R2615" t="inlineStr">
        <is>
          <t>14周</t>
        </is>
      </c>
      <c r="S2615" t="inlineStr">
        <is>
          <t>1.14</t>
        </is>
      </c>
      <c r="T2615" t="inlineStr">
        <is>
          <t>服饰穿搭</t>
        </is>
      </c>
      <c r="U2615" t="inlineStr">
        <is>
          <t>女装</t>
        </is>
      </c>
      <c r="V2615" s="3">
        <v>46112.78107638889</v>
      </c>
      <c r="W2615" t="inlineStr">
        <is>
          <t>2026-Q1</t>
        </is>
      </c>
    </row>
    <row r="2616" ht="25.5" customHeight="1">
      <c r="A2616" t="inlineStr">
        <is>
          <t>infan 好版型基础四色纯色短袖t恤V领上衣250222</t>
        </is>
      </c>
      <c r="B2616" t="inlineStr">
        <is>
          <t>recved8o2DnCxp.jpg</t>
        </is>
      </c>
      <c r="C2616" s="2" t="str">
        <f>=HYPERLINK("https://xhslink.com/m/6PMToR12kaR", "https://xhslink.com/m/6PMToR12kaR")</f>
        <v>https://xhslink.com/m/6PMToR12kaR</v>
      </c>
      <c r="D2616"/>
      <c r="E2616">
        <v>8326</v>
      </c>
      <c r="F2616">
        <v>59</v>
      </c>
      <c r="G2616"/>
      <c r="H2616">
        <v>100</v>
      </c>
      <c r="I2616" t="inlineStr">
        <is>
          <t>T恤</t>
        </is>
      </c>
      <c r="J2616" t="inlineStr">
        <is>
          <t>0.01</t>
        </is>
      </c>
      <c r="K2616"/>
      <c r="L2616" t="inlineStr">
        <is>
          <t>infan的店</t>
        </is>
      </c>
      <c r="M2616">
        <v>80000</v>
      </c>
      <c r="N2616">
        <v>4.48</v>
      </c>
      <c r="O2616">
        <v>633000</v>
      </c>
      <c r="P2616" t="inlineStr">
        <is>
          <t>68638af3283593000174e95d</t>
        </is>
      </c>
      <c r="Q2616" t="inlineStr">
        <is>
          <t>🚫重复</t>
        </is>
      </c>
      <c r="R2616" t="inlineStr">
        <is>
          <t>14周</t>
        </is>
      </c>
      <c r="S2616" t="inlineStr">
        <is>
          <t>0.10</t>
        </is>
      </c>
      <c r="T2616" t="inlineStr">
        <is>
          <t>服饰穿搭</t>
        </is>
      </c>
      <c r="U2616" t="inlineStr">
        <is>
          <t>女装</t>
        </is>
      </c>
      <c r="V2616" s="3">
        <v>46112.78107638889</v>
      </c>
      <c r="W2616" t="inlineStr">
        <is>
          <t>2026-Q1</t>
        </is>
      </c>
    </row>
    <row r="2617" ht="25.5" customHeight="1">
      <c r="A2617" t="inlineStr">
        <is>
          <t>鹭岛故事 · 螺纹黑色深V领中袖t恤女秋季修身显瘦五分袖打底衫时尚百搭上衣潮</t>
        </is>
      </c>
      <c r="B2617" t="inlineStr">
        <is>
          <t>recved8o2DJdvN.jpg</t>
        </is>
      </c>
      <c r="C2617" s="2" t="str">
        <f>=HYPERLINK("https://xhslink.com/m/2uNMDqhPims", "https://xhslink.com/m/2uNMDqhPims")</f>
        <v>https://xhslink.com/m/2uNMDqhPims</v>
      </c>
      <c r="D2617"/>
      <c r="E2617">
        <v>4247</v>
      </c>
      <c r="F2617">
        <v>69.9</v>
      </c>
      <c r="G2617"/>
      <c r="H2617">
        <v>100</v>
      </c>
      <c r="I2617" t="inlineStr">
        <is>
          <t>T恤</t>
        </is>
      </c>
      <c r="J2617" t="inlineStr">
        <is>
          <t>0.02</t>
        </is>
      </c>
      <c r="K2617"/>
      <c r="L2617" t="inlineStr">
        <is>
          <t>鹭岛故事女装的店</t>
        </is>
      </c>
      <c r="M2617">
        <v>4428</v>
      </c>
      <c r="N2617">
        <v>4.6</v>
      </c>
      <c r="O2617">
        <v>46000</v>
      </c>
      <c r="P2617" t="inlineStr">
        <is>
          <t>689c26c64dbac200019b38e0</t>
        </is>
      </c>
      <c r="Q2617"/>
      <c r="R2617" t="inlineStr">
        <is>
          <t>14周</t>
        </is>
      </c>
      <c r="S2617" t="inlineStr">
        <is>
          <t>0.96</t>
        </is>
      </c>
      <c r="T2617" t="inlineStr">
        <is>
          <t>服饰穿搭</t>
        </is>
      </c>
      <c r="U2617" t="inlineStr">
        <is>
          <t>女装</t>
        </is>
      </c>
      <c r="V2617" s="3">
        <v>46112.78107638889</v>
      </c>
      <c r="W2617" t="inlineStr">
        <is>
          <t>2026-Q1</t>
        </is>
      </c>
    </row>
    <row r="2618" ht="25.5" customHeight="1">
      <c r="A2618" t="inlineStr">
        <is>
          <t>重磅多巴胺正肩短袖t恤女夏季新款修身内搭显瘦短款辣妹百搭上衣</t>
        </is>
      </c>
      <c r="B2618" t="inlineStr">
        <is>
          <t>recved8o2DMpXC.jpg</t>
        </is>
      </c>
      <c r="C2618" s="2" t="str">
        <f>=HYPERLINK("https://xhslink.com/m/22xhcAMmyY5", "https://xhslink.com/m/22xhcAMmyY5")</f>
        <v>https://xhslink.com/m/22xhcAMmyY5</v>
      </c>
      <c r="D2618"/>
      <c r="E2618">
        <v>1141</v>
      </c>
      <c r="F2618">
        <v>49.8</v>
      </c>
      <c r="G2618">
        <v>39.8</v>
      </c>
      <c r="H2618">
        <v>100</v>
      </c>
      <c r="I2618" t="inlineStr">
        <is>
          <t>T恤</t>
        </is>
      </c>
      <c r="J2618" t="inlineStr">
        <is>
          <t>0.09</t>
        </is>
      </c>
      <c r="K2618" t="inlineStr">
        <is>
          <t>🔥低粉爆款</t>
        </is>
      </c>
      <c r="L2618" t="inlineStr">
        <is>
          <t>杨杨原创穿搭的店</t>
        </is>
      </c>
      <c r="M2618">
        <v>367</v>
      </c>
      <c r="N2618">
        <v>4.44</v>
      </c>
      <c r="O2618">
        <v>9199</v>
      </c>
      <c r="P2618" t="inlineStr">
        <is>
          <t>686f1e48a686750001a639cb</t>
        </is>
      </c>
      <c r="Q2618"/>
      <c r="R2618" t="inlineStr">
        <is>
          <t>14周</t>
        </is>
      </c>
      <c r="S2618" t="inlineStr">
        <is>
          <t>3.11</t>
        </is>
      </c>
      <c r="T2618" t="inlineStr">
        <is>
          <t>服饰穿搭</t>
        </is>
      </c>
      <c r="U2618" t="inlineStr">
        <is>
          <t>女装</t>
        </is>
      </c>
      <c r="V2618" s="3">
        <v>46112.78107638889</v>
      </c>
      <c r="W2618" t="inlineStr">
        <is>
          <t>2026-Q1</t>
        </is>
      </c>
    </row>
    <row r="2619" ht="25.5" customHeight="1">
      <c r="A2619" t="inlineStr">
        <is>
          <t>【虞UU】户外美式！春夏男女速干吸汗运动健身训练服速干长袖T恤</t>
        </is>
      </c>
      <c r="B2619" t="inlineStr">
        <is>
          <t>recved8o2D1Mek.jpg</t>
        </is>
      </c>
      <c r="C2619" s="2" t="str">
        <f>=HYPERLINK("https://xhslink.com/m/AwYIdR0XoNt", "https://xhslink.com/m/AwYIdR0XoNt")</f>
        <v>https://xhslink.com/m/AwYIdR0XoNt</v>
      </c>
      <c r="D2619"/>
      <c r="E2619">
        <v>9220</v>
      </c>
      <c r="F2619">
        <v>39.9</v>
      </c>
      <c r="G2619"/>
      <c r="H2619">
        <v>100</v>
      </c>
      <c r="I2619" t="inlineStr">
        <is>
          <t>T恤</t>
        </is>
      </c>
      <c r="J2619" t="inlineStr">
        <is>
          <t>0.01</t>
        </is>
      </c>
      <c r="K2619"/>
      <c r="L2619" t="inlineStr">
        <is>
          <t>虞优的U的店</t>
        </is>
      </c>
      <c r="M2619">
        <v>11000</v>
      </c>
      <c r="N2619">
        <v>4.41</v>
      </c>
      <c r="O2619">
        <v>101000</v>
      </c>
      <c r="P2619" t="inlineStr">
        <is>
          <t>67d6f0ae8599cb0001822f61</t>
        </is>
      </c>
      <c r="Q2619" t="inlineStr">
        <is>
          <t>🚫重复</t>
        </is>
      </c>
      <c r="R2619" t="inlineStr">
        <is>
          <t>14周</t>
        </is>
      </c>
      <c r="S2619" t="inlineStr">
        <is>
          <t>0.84</t>
        </is>
      </c>
      <c r="T2619" t="inlineStr">
        <is>
          <t>服饰穿搭</t>
        </is>
      </c>
      <c r="U2619" t="inlineStr">
        <is>
          <t>女装</t>
        </is>
      </c>
      <c r="V2619" s="3">
        <v>46112.78107638889</v>
      </c>
      <c r="W2619" t="inlineStr">
        <is>
          <t>2026-Q1</t>
        </is>
      </c>
    </row>
    <row r="2620" ht="25.5" customHeight="1">
      <c r="A2620" t="inlineStr">
        <is>
          <t>热卖款·显瘦运动长袖T恤女｜透气速干瑜伽服跑步健身休闲【运费险</t>
        </is>
      </c>
      <c r="B2620" t="inlineStr">
        <is>
          <t>recved8o2DyG5A.jpg</t>
        </is>
      </c>
      <c r="C2620" s="2" t="str">
        <f>=HYPERLINK("https://xhslink.com/m/2FBt3Ko6VuK", "https://xhslink.com/m/2FBt3Ko6VuK")</f>
        <v>https://xhslink.com/m/2FBt3Ko6VuK</v>
      </c>
      <c r="D2620"/>
      <c r="E2620">
        <v>2154</v>
      </c>
      <c r="F2620">
        <v>98</v>
      </c>
      <c r="G2620">
        <v>64</v>
      </c>
      <c r="H2620">
        <v>100</v>
      </c>
      <c r="I2620" t="inlineStr">
        <is>
          <t>T恤</t>
        </is>
      </c>
      <c r="J2620" t="inlineStr">
        <is>
          <t>0.05</t>
        </is>
      </c>
      <c r="K2620"/>
      <c r="L2620" t="inlineStr">
        <is>
          <t>苏苏iu的店</t>
        </is>
      </c>
      <c r="M2620">
        <v>1188</v>
      </c>
      <c r="N2620">
        <v>4.61</v>
      </c>
      <c r="O2620">
        <v>20000</v>
      </c>
      <c r="P2620" t="inlineStr">
        <is>
          <t>68f1e2f1f71ffd0015e4ee3b</t>
        </is>
      </c>
      <c r="Q2620" t="inlineStr">
        <is>
          <t>🚫重复</t>
        </is>
      </c>
      <c r="R2620" t="inlineStr">
        <is>
          <t>14周</t>
        </is>
      </c>
      <c r="S2620" t="inlineStr">
        <is>
          <t>1.81</t>
        </is>
      </c>
      <c r="T2620" t="inlineStr">
        <is>
          <t>运动潮玩</t>
        </is>
      </c>
      <c r="U2620" t="inlineStr">
        <is>
          <t>运动户外装备</t>
        </is>
      </c>
      <c r="V2620" s="3">
        <v>46112.78107638889</v>
      </c>
      <c r="W2620" t="inlineStr">
        <is>
          <t>2026-Q1</t>
        </is>
      </c>
    </row>
    <row r="2621" ht="25.5" customHeight="1">
      <c r="A2621" t="inlineStr">
        <is>
          <t>2026年春夏新款韩版简约红色字母圆领短袖正肩T恤宽松打底上衣女</t>
        </is>
      </c>
      <c r="B2621" t="inlineStr">
        <is>
          <t>recved8o2DeAkV.jpg</t>
        </is>
      </c>
      <c r="C2621" s="2" t="str">
        <f>=HYPERLINK("https://xhslink.com/m/9ZsI7DAZeT1", "https://xhslink.com/m/9ZsI7DAZeT1")</f>
        <v>https://xhslink.com/m/9ZsI7DAZeT1</v>
      </c>
      <c r="D2621"/>
      <c r="E2621">
        <v>1810</v>
      </c>
      <c r="F2621">
        <v>38.9</v>
      </c>
      <c r="G2621"/>
      <c r="H2621">
        <v>100</v>
      </c>
      <c r="I2621" t="inlineStr">
        <is>
          <t>T恤</t>
        </is>
      </c>
      <c r="J2621" t="inlineStr">
        <is>
          <t>0.06</t>
        </is>
      </c>
      <c r="K2621"/>
      <c r="L2621" t="inlineStr">
        <is>
          <t>拾壹 工作室的店</t>
        </is>
      </c>
      <c r="M2621">
        <v>32000</v>
      </c>
      <c r="N2621">
        <v>4.64</v>
      </c>
      <c r="O2621">
        <v>69000</v>
      </c>
      <c r="P2621" t="inlineStr">
        <is>
          <t>695721e123d3ce000171614d</t>
        </is>
      </c>
      <c r="Q2621" t="inlineStr">
        <is>
          <t>🚫重复</t>
        </is>
      </c>
      <c r="R2621" t="inlineStr">
        <is>
          <t>14周</t>
        </is>
      </c>
      <c r="S2621" t="inlineStr">
        <is>
          <t>0.06</t>
        </is>
      </c>
      <c r="T2621" t="inlineStr">
        <is>
          <t>服饰穿搭</t>
        </is>
      </c>
      <c r="U2621" t="inlineStr">
        <is>
          <t>女装</t>
        </is>
      </c>
      <c r="V2621" s="3">
        <v>46112.78107638889</v>
      </c>
      <c r="W2621" t="inlineStr">
        <is>
          <t>2026-Q1</t>
        </is>
      </c>
    </row>
    <row r="2622" ht="25.5" customHeight="1">
      <c r="A2622" t="inlineStr">
        <is>
          <t>【不宽不窄的版型正肩显瘦t恤】2026ss软糯微弹性亲肤舒短袖</t>
        </is>
      </c>
      <c r="B2622" t="inlineStr">
        <is>
          <t>recved8o2DRVBK.jpg</t>
        </is>
      </c>
      <c r="C2622" s="2" t="str">
        <f>=HYPERLINK("https://xhslink.com/m/2bNd7rFsajj", "https://xhslink.com/m/2bNd7rFsajj")</f>
        <v>https://xhslink.com/m/2bNd7rFsajj</v>
      </c>
      <c r="D2622"/>
      <c r="E2622">
        <v>682</v>
      </c>
      <c r="F2622">
        <v>79.9</v>
      </c>
      <c r="G2622">
        <v>59.9</v>
      </c>
      <c r="H2622">
        <v>100</v>
      </c>
      <c r="I2622" t="inlineStr">
        <is>
          <t>T恤</t>
        </is>
      </c>
      <c r="J2622" t="inlineStr">
        <is>
          <t>0.15</t>
        </is>
      </c>
      <c r="K2622"/>
      <c r="L2622" t="inlineStr">
        <is>
          <t>157大胯大腿的梨的店</t>
        </is>
      </c>
      <c r="M2622">
        <v>3897</v>
      </c>
      <c r="N2622">
        <v>4.54</v>
      </c>
      <c r="O2622">
        <v>9739</v>
      </c>
      <c r="P2622" t="inlineStr">
        <is>
          <t>687bda8e9e83740001872590</t>
        </is>
      </c>
      <c r="Q2622"/>
      <c r="R2622" t="inlineStr">
        <is>
          <t>14周</t>
        </is>
      </c>
      <c r="S2622" t="inlineStr">
        <is>
          <t>0.18</t>
        </is>
      </c>
      <c r="T2622" t="inlineStr">
        <is>
          <t>服饰穿搭</t>
        </is>
      </c>
      <c r="U2622" t="inlineStr">
        <is>
          <t>女装</t>
        </is>
      </c>
      <c r="V2622" s="3">
        <v>46112.78107638889</v>
      </c>
      <c r="W2622" t="inlineStr">
        <is>
          <t>2026-Q1</t>
        </is>
      </c>
    </row>
    <row r="2623" ht="25.5" customHeight="1">
      <c r="A2623" t="inlineStr">
        <is>
          <t>大V领T恤夏季收腰短袖莱赛尔轻薄女上衣 160G</t>
        </is>
      </c>
      <c r="B2623" t="inlineStr">
        <is>
          <t>recved8o2DZAEE.jpg</t>
        </is>
      </c>
      <c r="C2623" s="2" t="str">
        <f>=HYPERLINK("https://xhslink.com/m/4kDwJuPo2HU", "https://xhslink.com/m/4kDwJuPo2HU")</f>
        <v>https://xhslink.com/m/4kDwJuPo2HU</v>
      </c>
      <c r="D2623"/>
      <c r="E2623">
        <v>4492</v>
      </c>
      <c r="F2623">
        <v>49.8</v>
      </c>
      <c r="G2623">
        <v>39.8</v>
      </c>
      <c r="H2623">
        <v>100</v>
      </c>
      <c r="I2623" t="inlineStr">
        <is>
          <t>T恤</t>
        </is>
      </c>
      <c r="J2623" t="inlineStr">
        <is>
          <t>0.02</t>
        </is>
      </c>
      <c r="K2623"/>
      <c r="L2623" t="inlineStr">
        <is>
          <t>1mo饼的店</t>
        </is>
      </c>
      <c r="M2623">
        <v>87000</v>
      </c>
      <c r="N2623">
        <v>4.69</v>
      </c>
      <c r="O2623">
        <v>446000</v>
      </c>
      <c r="P2623" t="inlineStr">
        <is>
          <t>687548cd7398810001b002de</t>
        </is>
      </c>
      <c r="Q2623" t="inlineStr">
        <is>
          <t>🚫重复</t>
        </is>
      </c>
      <c r="R2623" t="inlineStr">
        <is>
          <t>14周</t>
        </is>
      </c>
      <c r="S2623" t="inlineStr">
        <is>
          <t>0.05</t>
        </is>
      </c>
      <c r="T2623" t="inlineStr">
        <is>
          <t>服饰穿搭</t>
        </is>
      </c>
      <c r="U2623" t="inlineStr">
        <is>
          <t>女装</t>
        </is>
      </c>
      <c r="V2623" s="3">
        <v>46112.78107638889</v>
      </c>
      <c r="W2623" t="inlineStr">
        <is>
          <t>2026-Q1</t>
        </is>
      </c>
    </row>
    <row r="2624" ht="25.5" customHeight="1">
      <c r="A2624" t="inlineStr">
        <is>
          <t>GOD |长袖款准时遛狗俱乐部T恤花香胶囊舒适透气原创设计男女同款</t>
        </is>
      </c>
      <c r="B2624" t="inlineStr">
        <is>
          <t>recved8o2DEXMs.jpg</t>
        </is>
      </c>
      <c r="C2624" s="2" t="str">
        <f>=HYPERLINK("https://xhslink.com/m/AiZwQ6772xT", "https://xhslink.com/m/AiZwQ6772xT")</f>
        <v>https://xhslink.com/m/AiZwQ6772xT</v>
      </c>
      <c r="D2624"/>
      <c r="E2624">
        <v>1579</v>
      </c>
      <c r="F2624">
        <v>129</v>
      </c>
      <c r="G2624">
        <v>112</v>
      </c>
      <c r="H2624">
        <v>100</v>
      </c>
      <c r="I2624" t="inlineStr">
        <is>
          <t>T恤</t>
        </is>
      </c>
      <c r="J2624" t="inlineStr">
        <is>
          <t>0.06</t>
        </is>
      </c>
      <c r="K2624"/>
      <c r="L2624" t="inlineStr">
        <is>
          <t>goODDog好怪狗的店</t>
        </is>
      </c>
      <c r="M2624">
        <v>2948</v>
      </c>
      <c r="N2624">
        <v>4.7</v>
      </c>
      <c r="O2624">
        <v>9743</v>
      </c>
      <c r="P2624" t="inlineStr">
        <is>
          <t>68bd610fa303300001077e9d</t>
        </is>
      </c>
      <c r="Q2624"/>
      <c r="R2624" t="inlineStr">
        <is>
          <t>14周</t>
        </is>
      </c>
      <c r="S2624" t="inlineStr">
        <is>
          <t>0.54</t>
        </is>
      </c>
      <c r="T2624" t="inlineStr">
        <is>
          <t>服饰穿搭</t>
        </is>
      </c>
      <c r="U2624" t="inlineStr">
        <is>
          <t>女装</t>
        </is>
      </c>
      <c r="V2624" s="3">
        <v>46112.78107638889</v>
      </c>
      <c r="W2624" t="inlineStr">
        <is>
          <t>2026-Q1</t>
        </is>
      </c>
    </row>
    <row r="2625" ht="25.5" customHeight="1">
      <c r="A2625" t="inlineStr">
        <is>
          <t>李琴琴Lily·【棉质 系列】圆领正肩掐腰短袖修身紧身显瘦T恤</t>
        </is>
      </c>
      <c r="B2625" t="inlineStr">
        <is>
          <t>recved8o2DVvTZ.jpg</t>
        </is>
      </c>
      <c r="C2625" s="2" t="str">
        <f>=HYPERLINK("https://xhslink.com/m/83IFZtcB20Q", "https://xhslink.com/m/83IFZtcB20Q")</f>
        <v>https://xhslink.com/m/83IFZtcB20Q</v>
      </c>
      <c r="D2625"/>
      <c r="E2625">
        <v>5523</v>
      </c>
      <c r="F2625">
        <v>109</v>
      </c>
      <c r="G2625">
        <v>69</v>
      </c>
      <c r="H2625">
        <v>100</v>
      </c>
      <c r="I2625" t="inlineStr">
        <is>
          <t>T恤</t>
        </is>
      </c>
      <c r="J2625" t="inlineStr">
        <is>
          <t>0.02</t>
        </is>
      </c>
      <c r="K2625"/>
      <c r="L2625" t="inlineStr">
        <is>
          <t>李琴琴Lily的店</t>
        </is>
      </c>
      <c r="M2625">
        <v>36000</v>
      </c>
      <c r="N2625">
        <v>4.67</v>
      </c>
      <c r="O2625">
        <v>376000</v>
      </c>
      <c r="P2625" t="inlineStr">
        <is>
          <t>67ea890dbf527d0001257c8f</t>
        </is>
      </c>
      <c r="Q2625" t="inlineStr">
        <is>
          <t>🚫重复</t>
        </is>
      </c>
      <c r="R2625" t="inlineStr">
        <is>
          <t>14周</t>
        </is>
      </c>
      <c r="S2625" t="inlineStr">
        <is>
          <t>0.15</t>
        </is>
      </c>
      <c r="T2625" t="inlineStr">
        <is>
          <t>服饰穿搭</t>
        </is>
      </c>
      <c r="U2625" t="inlineStr">
        <is>
          <t>女装</t>
        </is>
      </c>
      <c r="V2625" s="3">
        <v>46112.78107638889</v>
      </c>
      <c r="W2625" t="inlineStr">
        <is>
          <t>2026-Q1</t>
        </is>
      </c>
    </row>
    <row r="2626" ht="25.5" customHeight="1">
      <c r="A2626" t="inlineStr">
        <is>
          <t>限时返场~(含羊毛!!)韩系bm风灰色绑带长袖T恤女春秋内搭打底上衣</t>
        </is>
      </c>
      <c r="B2626" t="inlineStr">
        <is>
          <t>recved8o2D1aVV.jpg</t>
        </is>
      </c>
      <c r="C2626" s="2" t="str">
        <f>=HYPERLINK("https://xhslink.com/m/9o2jt7X7dWn", "https://xhslink.com/m/9o2jt7X7dWn")</f>
        <v>https://xhslink.com/m/9o2jt7X7dWn</v>
      </c>
      <c r="D2626"/>
      <c r="E2626">
        <v>22000</v>
      </c>
      <c r="F2626">
        <v>39.9</v>
      </c>
      <c r="G2626"/>
      <c r="H2626">
        <v>100</v>
      </c>
      <c r="I2626" t="inlineStr">
        <is>
          <t>T恤</t>
        </is>
      </c>
      <c r="J2626" t="inlineStr">
        <is>
          <t>0.00</t>
        </is>
      </c>
      <c r="K2626"/>
      <c r="L2626" t="inlineStr">
        <is>
          <t>海鸥服装厂的店</t>
        </is>
      </c>
      <c r="M2626">
        <v>77000</v>
      </c>
      <c r="N2626">
        <v>4.45</v>
      </c>
      <c r="O2626">
        <v>998000</v>
      </c>
      <c r="P2626" t="inlineStr">
        <is>
          <t>68b58718fba5440001ee2afe</t>
        </is>
      </c>
      <c r="Q2626" t="inlineStr">
        <is>
          <t>🚫重复</t>
        </is>
      </c>
      <c r="R2626" t="inlineStr">
        <is>
          <t>14周</t>
        </is>
      </c>
      <c r="S2626" t="inlineStr">
        <is>
          <t>0.29</t>
        </is>
      </c>
      <c r="T2626" t="inlineStr">
        <is>
          <t>服饰穿搭</t>
        </is>
      </c>
      <c r="U2626" t="inlineStr">
        <is>
          <t>女装</t>
        </is>
      </c>
      <c r="V2626" s="3">
        <v>46112.78107638889</v>
      </c>
      <c r="W2626" t="inlineStr">
        <is>
          <t>2026-Q1</t>
        </is>
      </c>
    </row>
    <row r="2627" ht="25.5" customHeight="1">
      <c r="A2627" t="inlineStr">
        <is>
          <t>星之诺 2026春季新款纯色简约显瘦日常百搭运动休闲T恤9936</t>
        </is>
      </c>
      <c r="B2627" t="inlineStr">
        <is>
          <t>recved8o2DDvnU.jpg</t>
        </is>
      </c>
      <c r="C2627" s="2" t="str">
        <f>=HYPERLINK("https://xhslink.com/m/9Rwr4o8p0Vt", "https://xhslink.com/m/9Rwr4o8p0Vt")</f>
        <v>https://xhslink.com/m/9Rwr4o8p0Vt</v>
      </c>
      <c r="D2627"/>
      <c r="E2627">
        <v>2198</v>
      </c>
      <c r="F2627">
        <v>49.9</v>
      </c>
      <c r="G2627"/>
      <c r="H2627">
        <v>100</v>
      </c>
      <c r="I2627" t="inlineStr">
        <is>
          <t>T恤</t>
        </is>
      </c>
      <c r="J2627" t="inlineStr">
        <is>
          <t>0.05</t>
        </is>
      </c>
      <c r="K2627" t="inlineStr">
        <is>
          <t>🔥低粉爆款</t>
        </is>
      </c>
      <c r="L2627" t="inlineStr">
        <is>
          <t>星之诺卫衣工厂8号的店</t>
        </is>
      </c>
      <c r="M2627">
        <v>212</v>
      </c>
      <c r="N2627">
        <v>4.68</v>
      </c>
      <c r="O2627">
        <v>70000</v>
      </c>
      <c r="P2627" t="inlineStr">
        <is>
          <t>69a7ed0cb95d280015ca81c0</t>
        </is>
      </c>
      <c r="Q2627" t="inlineStr">
        <is>
          <t>🚫重复</t>
        </is>
      </c>
      <c r="R2627" t="inlineStr">
        <is>
          <t>14周</t>
        </is>
      </c>
      <c r="S2627" t="inlineStr">
        <is>
          <t>10.37</t>
        </is>
      </c>
      <c r="T2627" t="inlineStr">
        <is>
          <t>服饰穿搭</t>
        </is>
      </c>
      <c r="U2627" t="inlineStr">
        <is>
          <t>女装</t>
        </is>
      </c>
      <c r="V2627" s="3">
        <v>46112.78107638889</v>
      </c>
      <c r="W2627" t="inlineStr">
        <is>
          <t>2026-Q1</t>
        </is>
      </c>
    </row>
    <row r="2628" ht="25.5" customHeight="1">
      <c r="A2628" t="inlineStr">
        <is>
          <t>首发/小精灵纯棉印花短袖T恤水洗破坏做旧男女同款</t>
        </is>
      </c>
      <c r="B2628" t="inlineStr">
        <is>
          <t>recved8o2DDGNQ.jpg</t>
        </is>
      </c>
      <c r="C2628" s="2" t="str">
        <f>=HYPERLINK("https://xhslink.com/m/1CI9MWZYUta", "https://xhslink.com/m/1CI9MWZYUta")</f>
        <v>https://xhslink.com/m/1CI9MWZYUta</v>
      </c>
      <c r="D2628"/>
      <c r="E2628">
        <v>1624</v>
      </c>
      <c r="F2628">
        <v>128</v>
      </c>
      <c r="G2628"/>
      <c r="H2628">
        <v>100</v>
      </c>
      <c r="I2628" t="inlineStr">
        <is>
          <t>T恤</t>
        </is>
      </c>
      <c r="J2628" t="inlineStr">
        <is>
          <t>0.06</t>
        </is>
      </c>
      <c r="K2628"/>
      <c r="L2628" t="inlineStr">
        <is>
          <t>毛线momo的店</t>
        </is>
      </c>
      <c r="M2628">
        <v>6238</v>
      </c>
      <c r="N2628">
        <v>4.68</v>
      </c>
      <c r="O2628">
        <v>27000</v>
      </c>
      <c r="P2628" t="inlineStr">
        <is>
          <t>6989c0035b50a300013c9139</t>
        </is>
      </c>
      <c r="Q2628" t="inlineStr">
        <is>
          <t>🚫重复</t>
        </is>
      </c>
      <c r="R2628" t="inlineStr">
        <is>
          <t>14周</t>
        </is>
      </c>
      <c r="S2628" t="inlineStr">
        <is>
          <t>0.26</t>
        </is>
      </c>
      <c r="T2628" t="inlineStr">
        <is>
          <t>服饰穿搭</t>
        </is>
      </c>
      <c r="U2628" t="inlineStr">
        <is>
          <t>女装</t>
        </is>
      </c>
      <c r="V2628" s="3">
        <v>46112.78107638889</v>
      </c>
      <c r="W2628" t="inlineStr">
        <is>
          <t>2026-Q1</t>
        </is>
      </c>
    </row>
    <row r="2629" ht="25.5" customHeight="1">
      <c r="A2629" t="inlineStr">
        <is>
          <t>CASSALAN · 春夏灰色圆领正肩短袖长绒棉T恤女宽松休闲百搭显瘦通勤气质上衣</t>
        </is>
      </c>
      <c r="B2629" t="inlineStr">
        <is>
          <t>recved8o2D6qoy.jpg</t>
        </is>
      </c>
      <c r="C2629" s="2" t="str">
        <f>=HYPERLINK("https://xhslink.com/m/4ayXYJ35VAV", "https://xhslink.com/m/4ayXYJ35VAV")</f>
        <v>https://xhslink.com/m/4ayXYJ35VAV</v>
      </c>
      <c r="D2629"/>
      <c r="E2629">
        <v>1308</v>
      </c>
      <c r="F2629">
        <v>141</v>
      </c>
      <c r="G2629">
        <v>138</v>
      </c>
      <c r="H2629">
        <v>100</v>
      </c>
      <c r="I2629" t="inlineStr">
        <is>
          <t>T恤</t>
        </is>
      </c>
      <c r="J2629" t="inlineStr">
        <is>
          <t>0.08</t>
        </is>
      </c>
      <c r="K2629"/>
      <c r="L2629" t="inlineStr">
        <is>
          <t>CASSALAN服饰旗舰店</t>
        </is>
      </c>
      <c r="M2629">
        <v>2880</v>
      </c>
      <c r="N2629">
        <v>4.69</v>
      </c>
      <c r="O2629">
        <v>19000</v>
      </c>
      <c r="P2629" t="inlineStr">
        <is>
          <t>684572cb93d07800018dbb7e</t>
        </is>
      </c>
      <c r="Q2629"/>
      <c r="R2629" t="inlineStr">
        <is>
          <t>14周</t>
        </is>
      </c>
      <c r="S2629" t="inlineStr">
        <is>
          <t>0.45</t>
        </is>
      </c>
      <c r="T2629" t="inlineStr">
        <is>
          <t>服饰穿搭</t>
        </is>
      </c>
      <c r="U2629" t="inlineStr">
        <is>
          <t>女装</t>
        </is>
      </c>
      <c r="V2629" s="3">
        <v>46112.78107638889</v>
      </c>
      <c r="W2629" t="inlineStr">
        <is>
          <t>2026-Q1</t>
        </is>
      </c>
    </row>
    <row r="2630" ht="25.5" customHeight="1">
      <c r="A2630" t="inlineStr">
        <is>
          <t>withtong-六色基础V领修身小飞袖T恤上衣</t>
        </is>
      </c>
      <c r="B2630" t="inlineStr">
        <is>
          <t>recved8o2DhUiB.jpg</t>
        </is>
      </c>
      <c r="C2630" s="2" t="str">
        <f>=HYPERLINK("https://xhslink.com/m/3dy1y0ZpzMv", "https://xhslink.com/m/3dy1y0ZpzMv")</f>
        <v>https://xhslink.com/m/3dy1y0ZpzMv</v>
      </c>
      <c r="D2630"/>
      <c r="E2630">
        <v>1079</v>
      </c>
      <c r="F2630">
        <v>109</v>
      </c>
      <c r="G2630">
        <v>59</v>
      </c>
      <c r="H2630">
        <v>100</v>
      </c>
      <c r="I2630" t="inlineStr">
        <is>
          <t>T恤</t>
        </is>
      </c>
      <c r="J2630" t="inlineStr">
        <is>
          <t>0.09</t>
        </is>
      </c>
      <c r="K2630"/>
      <c r="L2630" t="inlineStr">
        <is>
          <t>withtong_的店</t>
        </is>
      </c>
      <c r="M2630">
        <v>17000</v>
      </c>
      <c r="N2630">
        <v>4.51</v>
      </c>
      <c r="O2630">
        <v>110000</v>
      </c>
      <c r="P2630" t="inlineStr">
        <is>
          <t>69a593e01c93e600013685a0</t>
        </is>
      </c>
      <c r="Q2630" t="inlineStr">
        <is>
          <t>🚫重复</t>
        </is>
      </c>
      <c r="R2630" t="inlineStr">
        <is>
          <t>14周</t>
        </is>
      </c>
      <c r="S2630" t="inlineStr">
        <is>
          <t>0.06</t>
        </is>
      </c>
      <c r="T2630" t="inlineStr">
        <is>
          <t>服饰穿搭</t>
        </is>
      </c>
      <c r="U2630" t="inlineStr">
        <is>
          <t>女装</t>
        </is>
      </c>
      <c r="V2630" s="3">
        <v>46112.78107638889</v>
      </c>
      <c r="W2630" t="inlineStr">
        <is>
          <t>2026-Q1</t>
        </is>
      </c>
    </row>
    <row r="2631" ht="25.5" customHeight="1">
      <c r="A2631" t="inlineStr">
        <is>
          <t>日系小众设计撞色条纹t恤女宽松显瘦内搭春秋季慵懒风长袖T恤</t>
        </is>
      </c>
      <c r="B2631" t="inlineStr">
        <is>
          <t>recved8o2DpjWC.jpg</t>
        </is>
      </c>
      <c r="C2631" s="2" t="str">
        <f>=HYPERLINK("https://xhslink.com/m/8w0NioGMiqP", "https://xhslink.com/m/8w0NioGMiqP")</f>
        <v>https://xhslink.com/m/8w0NioGMiqP</v>
      </c>
      <c r="D2631"/>
      <c r="E2631">
        <v>706</v>
      </c>
      <c r="F2631">
        <v>109</v>
      </c>
      <c r="G2631"/>
      <c r="H2631">
        <v>100</v>
      </c>
      <c r="I2631" t="inlineStr">
        <is>
          <t>T恤</t>
        </is>
      </c>
      <c r="J2631" t="inlineStr">
        <is>
          <t>0.14</t>
        </is>
      </c>
      <c r="K2631"/>
      <c r="L2631" t="inlineStr">
        <is>
          <t>安妍Aay的店</t>
        </is>
      </c>
      <c r="M2631">
        <v>1028</v>
      </c>
      <c r="N2631">
        <v>4.7</v>
      </c>
      <c r="O2631">
        <v>5319</v>
      </c>
      <c r="P2631" t="inlineStr">
        <is>
          <t>68d98238f8d1f000013031d2</t>
        </is>
      </c>
      <c r="Q2631"/>
      <c r="R2631" t="inlineStr">
        <is>
          <t>14周</t>
        </is>
      </c>
      <c r="S2631" t="inlineStr">
        <is>
          <t>0.69</t>
        </is>
      </c>
      <c r="T2631" t="inlineStr">
        <is>
          <t>服饰穿搭</t>
        </is>
      </c>
      <c r="U2631" t="inlineStr">
        <is>
          <t>女装</t>
        </is>
      </c>
      <c r="V2631" s="3">
        <v>46112.78107638889</v>
      </c>
      <c r="W2631" t="inlineStr">
        <is>
          <t>2026-Q1</t>
        </is>
      </c>
    </row>
    <row r="2632" ht="25.5" customHeight="1">
      <c r="A2632" t="inlineStr">
        <is>
          <t>韩系秋冬新款爆款条纹磨毛长袖T恤</t>
        </is>
      </c>
      <c r="B2632" t="inlineStr">
        <is>
          <t>recved8o2DfqWF.jpg</t>
        </is>
      </c>
      <c r="C2632" s="2" t="str">
        <f>=HYPERLINK("https://xhslink.com/m/9GdRNaNUgF0", "https://xhslink.com/m/9GdRNaNUgF0")</f>
        <v>https://xhslink.com/m/9GdRNaNUgF0</v>
      </c>
      <c r="D2632"/>
      <c r="E2632">
        <v>14000</v>
      </c>
      <c r="F2632">
        <v>49.9</v>
      </c>
      <c r="G2632">
        <v>29.9</v>
      </c>
      <c r="H2632">
        <v>100</v>
      </c>
      <c r="I2632" t="inlineStr">
        <is>
          <t>T恤</t>
        </is>
      </c>
      <c r="J2632" t="inlineStr">
        <is>
          <t>0.01</t>
        </is>
      </c>
      <c r="K2632" t="inlineStr">
        <is>
          <t>🔥低粉爆款</t>
        </is>
      </c>
      <c r="L2632" t="inlineStr">
        <is>
          <t>胖咩咩的懒喵的店</t>
        </is>
      </c>
      <c r="M2632">
        <v>839</v>
      </c>
      <c r="N2632">
        <v>4.49</v>
      </c>
      <c r="O2632">
        <v>18000</v>
      </c>
      <c r="P2632" t="inlineStr">
        <is>
          <t>68f4d5c53f37a90001b11c43</t>
        </is>
      </c>
      <c r="Q2632" t="inlineStr">
        <is>
          <t>🚫重复</t>
        </is>
      </c>
      <c r="R2632" t="inlineStr">
        <is>
          <t>14周</t>
        </is>
      </c>
      <c r="S2632" t="inlineStr">
        <is>
          <t>16.69</t>
        </is>
      </c>
      <c r="T2632" t="inlineStr">
        <is>
          <t>服饰穿搭</t>
        </is>
      </c>
      <c r="U2632" t="inlineStr">
        <is>
          <t>女装</t>
        </is>
      </c>
      <c r="V2632" s="3">
        <v>46112.78107638889</v>
      </c>
      <c r="W2632" t="inlineStr">
        <is>
          <t>2026-Q1</t>
        </is>
      </c>
    </row>
    <row r="2633" ht="25.5" customHeight="1">
      <c r="A2633" t="inlineStr">
        <is>
          <t>【大米饭】巨巨巨显瘦的立领亨利衫撞色修身长袖春季薄款运动T恤</t>
        </is>
      </c>
      <c r="B2633" t="inlineStr">
        <is>
          <t>recved8o2D7O0A.jpg</t>
        </is>
      </c>
      <c r="C2633" s="2" t="str">
        <f>=HYPERLINK("https://xhslink.com/m/8AH5X21P6ZC", "https://xhslink.com/m/8AH5X21P6ZC")</f>
        <v>https://xhslink.com/m/8AH5X21P6ZC</v>
      </c>
      <c r="D2633"/>
      <c r="E2633">
        <v>1179</v>
      </c>
      <c r="F2633">
        <v>78</v>
      </c>
      <c r="G2633">
        <v>73</v>
      </c>
      <c r="H2633">
        <v>100</v>
      </c>
      <c r="I2633" t="inlineStr">
        <is>
          <t>T恤</t>
        </is>
      </c>
      <c r="J2633" t="inlineStr">
        <is>
          <t>0.08</t>
        </is>
      </c>
      <c r="K2633"/>
      <c r="L2633" t="inlineStr">
        <is>
          <t>大米饭制衣厂（厂长版）的店</t>
        </is>
      </c>
      <c r="M2633">
        <v>61000</v>
      </c>
      <c r="N2633">
        <v>4.72</v>
      </c>
      <c r="O2633">
        <v>147000</v>
      </c>
      <c r="P2633" t="inlineStr">
        <is>
          <t>697756db8a6b8a0001a459bf</t>
        </is>
      </c>
      <c r="Q2633" t="inlineStr">
        <is>
          <t>🚫重复</t>
        </is>
      </c>
      <c r="R2633" t="inlineStr">
        <is>
          <t>14周</t>
        </is>
      </c>
      <c r="S2633" t="inlineStr">
        <is>
          <t>0.02</t>
        </is>
      </c>
      <c r="T2633" t="inlineStr">
        <is>
          <t>服饰穿搭</t>
        </is>
      </c>
      <c r="U2633" t="inlineStr">
        <is>
          <t>女装</t>
        </is>
      </c>
      <c r="V2633" s="3">
        <v>46112.78107638889</v>
      </c>
      <c r="W2633" t="inlineStr">
        <is>
          <t>2026-Q1</t>
        </is>
      </c>
    </row>
    <row r="2634" ht="25.5" customHeight="1">
      <c r="A2634" t="inlineStr">
        <is>
          <t>多色V领短袖T恤 6007-001-7946</t>
        </is>
      </c>
      <c r="B2634" t="inlineStr">
        <is>
          <t>recved8o2D8amL.jpg</t>
        </is>
      </c>
      <c r="C2634" s="2" t="str">
        <f>=HYPERLINK("https://xhslink.com/m/1m5IcfGcTQC", "https://xhslink.com/m/1m5IcfGcTQC")</f>
        <v>https://xhslink.com/m/1m5IcfGcTQC</v>
      </c>
      <c r="D2634"/>
      <c r="E2634">
        <v>1849</v>
      </c>
      <c r="F2634">
        <v>49</v>
      </c>
      <c r="G2634">
        <v>44</v>
      </c>
      <c r="H2634">
        <v>100</v>
      </c>
      <c r="I2634" t="inlineStr">
        <is>
          <t>T恤</t>
        </is>
      </c>
      <c r="J2634" t="inlineStr">
        <is>
          <t>0.05</t>
        </is>
      </c>
      <c r="K2634"/>
      <c r="L2634" t="inlineStr">
        <is>
          <t>奈奈美服装店的店</t>
        </is>
      </c>
      <c r="M2634">
        <v>74000</v>
      </c>
      <c r="N2634">
        <v>4.5</v>
      </c>
      <c r="O2634">
        <v>357000</v>
      </c>
      <c r="P2634" t="inlineStr">
        <is>
          <t>69afb0f3be1ced001539b92a</t>
        </is>
      </c>
      <c r="Q2634" t="inlineStr">
        <is>
          <t>🚫重复</t>
        </is>
      </c>
      <c r="R2634" t="inlineStr">
        <is>
          <t>14周</t>
        </is>
      </c>
      <c r="S2634" t="inlineStr">
        <is>
          <t>0.02</t>
        </is>
      </c>
      <c r="T2634" t="inlineStr">
        <is>
          <t>服饰穿搭</t>
        </is>
      </c>
      <c r="U2634" t="inlineStr">
        <is>
          <t>女装</t>
        </is>
      </c>
      <c r="V2634" s="3">
        <v>46112.78107638889</v>
      </c>
      <c r="W2634" t="inlineStr">
        <is>
          <t>2026-Q1</t>
        </is>
      </c>
    </row>
    <row r="2635" ht="25.5" customHeight="1">
      <c r="A2635" t="inlineStr">
        <is>
          <t>韩系软糯针织马甲女2026文艺麻花叠穿百搭马夹背心上衣女</t>
        </is>
      </c>
      <c r="B2635" t="inlineStr">
        <is>
          <t>recved8o2D9sn3.jpg</t>
        </is>
      </c>
      <c r="C2635" s="2" t="str">
        <f>=HYPERLINK("https://xhslink.com/m/7XyFOaTSyY", "https://xhslink.com/m/7XyFOaTSyY")</f>
        <v>https://xhslink.com/m/7XyFOaTSyY</v>
      </c>
      <c r="D2635"/>
      <c r="E2635">
        <v>1267</v>
      </c>
      <c r="F2635">
        <v>95</v>
      </c>
      <c r="G2635"/>
      <c r="H2635">
        <v>100</v>
      </c>
      <c r="I2635" t="inlineStr">
        <is>
          <t>背心吊带</t>
        </is>
      </c>
      <c r="J2635" t="inlineStr">
        <is>
          <t>0.08</t>
        </is>
      </c>
      <c r="K2635"/>
      <c r="L2635" t="inlineStr">
        <is>
          <t>本那那的店</t>
        </is>
      </c>
      <c r="M2635">
        <v>9647</v>
      </c>
      <c r="N2635">
        <v>4.75</v>
      </c>
      <c r="O2635">
        <v>4209</v>
      </c>
      <c r="P2635" t="inlineStr">
        <is>
          <t>699d02ae7db7d20001710a0e</t>
        </is>
      </c>
      <c r="Q2635" t="inlineStr">
        <is>
          <t>🚫重复</t>
        </is>
      </c>
      <c r="R2635" t="inlineStr">
        <is>
          <t>14周</t>
        </is>
      </c>
      <c r="S2635" t="inlineStr">
        <is>
          <t>0.13</t>
        </is>
      </c>
      <c r="T2635" t="inlineStr">
        <is>
          <t>服饰穿搭</t>
        </is>
      </c>
      <c r="U2635" t="inlineStr">
        <is>
          <t>女装</t>
        </is>
      </c>
      <c r="V2635" s="3">
        <v>46112.78107638889</v>
      </c>
      <c r="W2635" t="inlineStr">
        <is>
          <t>2026-Q1</t>
        </is>
      </c>
    </row>
    <row r="2636" ht="25.5" customHeight="1">
      <c r="A2636" t="inlineStr">
        <is>
          <t>运动内衣女防震防下垂跑步训练健身美背一体式背心瑜伽服上衣258</t>
        </is>
      </c>
      <c r="B2636" t="inlineStr">
        <is>
          <t>recved8o2Dci7U.jpg</t>
        </is>
      </c>
      <c r="C2636" s="2" t="str">
        <f>=HYPERLINK("https://xhslink.com/m/1n4NBYc2PfW", "https://xhslink.com/m/1n4NBYc2PfW")</f>
        <v>https://xhslink.com/m/1n4NBYc2PfW</v>
      </c>
      <c r="D2636"/>
      <c r="E2636">
        <v>5931</v>
      </c>
      <c r="F2636">
        <v>49.9</v>
      </c>
      <c r="G2636"/>
      <c r="H2636">
        <v>100</v>
      </c>
      <c r="I2636" t="inlineStr">
        <is>
          <t>背心吊带</t>
        </is>
      </c>
      <c r="J2636" t="inlineStr">
        <is>
          <t>0.02</t>
        </is>
      </c>
      <c r="K2636"/>
      <c r="L2636" t="inlineStr">
        <is>
          <t>Lutri瑜伽运动穿搭的店</t>
        </is>
      </c>
      <c r="M2636">
        <v>2004</v>
      </c>
      <c r="N2636">
        <v>4.36</v>
      </c>
      <c r="O2636">
        <v>9086</v>
      </c>
      <c r="P2636" t="inlineStr">
        <is>
          <t>67afe7aaacc82c0001818aff</t>
        </is>
      </c>
      <c r="Q2636"/>
      <c r="R2636" t="inlineStr">
        <is>
          <t>14周</t>
        </is>
      </c>
      <c r="S2636" t="inlineStr">
        <is>
          <t>2.96</t>
        </is>
      </c>
      <c r="T2636" t="inlineStr">
        <is>
          <t>运动潮玩</t>
        </is>
      </c>
      <c r="U2636" t="inlineStr">
        <is>
          <t>运动户外装备</t>
        </is>
      </c>
      <c r="V2636" s="3">
        <v>46112.78107638889</v>
      </c>
      <c r="W2636" t="inlineStr">
        <is>
          <t>2026-Q1</t>
        </is>
      </c>
    </row>
    <row r="2637" ht="25.5" customHeight="1">
      <c r="A2637" t="inlineStr">
        <is>
          <t>运动背心螺纹带胸垫瑜伽上衣透气健身服</t>
        </is>
      </c>
      <c r="B2637" t="inlineStr">
        <is>
          <t>recved8o2DrvEy.jpg</t>
        </is>
      </c>
      <c r="C2637" s="2" t="str">
        <f>=HYPERLINK("https://xhslink.com/m/KWhY7RjDoQ", "https://xhslink.com/m/KWhY7RjDoQ")</f>
        <v>https://xhslink.com/m/KWhY7RjDoQ</v>
      </c>
      <c r="D2637"/>
      <c r="E2637">
        <v>11000</v>
      </c>
      <c r="F2637">
        <v>89</v>
      </c>
      <c r="G2637"/>
      <c r="H2637">
        <v>100</v>
      </c>
      <c r="I2637" t="inlineStr">
        <is>
          <t>背心吊带</t>
        </is>
      </c>
      <c r="J2637" t="inlineStr">
        <is>
          <t>0.01</t>
        </is>
      </c>
      <c r="K2637" t="inlineStr">
        <is>
          <t>🔥低粉爆款</t>
        </is>
      </c>
      <c r="L2637" t="inlineStr">
        <is>
          <t>小橙子YO的店</t>
        </is>
      </c>
      <c r="M2637">
        <v>1874</v>
      </c>
      <c r="N2637">
        <v>4.5</v>
      </c>
      <c r="O2637">
        <v>20000</v>
      </c>
      <c r="P2637" t="inlineStr">
        <is>
          <t>669a84b48f65230001bd51c3</t>
        </is>
      </c>
      <c r="Q2637" t="inlineStr">
        <is>
          <t>🚫重复</t>
        </is>
      </c>
      <c r="R2637" t="inlineStr">
        <is>
          <t>14周</t>
        </is>
      </c>
      <c r="S2637" t="inlineStr">
        <is>
          <t>5.87</t>
        </is>
      </c>
      <c r="T2637" t="inlineStr">
        <is>
          <t>运动潮玩</t>
        </is>
      </c>
      <c r="U2637" t="inlineStr">
        <is>
          <t>运动户外装备</t>
        </is>
      </c>
      <c r="V2637" s="3">
        <v>46112.78107638889</v>
      </c>
      <c r="W2637" t="inlineStr">
        <is>
          <t>2026-Q1</t>
        </is>
      </c>
    </row>
    <row r="2638" ht="25.5" customHeight="1">
      <c r="A2638" t="inlineStr">
        <is>
          <t>bela dolca · 上新39r！！蜘蛛背心868~无钢圈 辣妹穿搭必备！</t>
        </is>
      </c>
      <c r="B2638" t="inlineStr">
        <is>
          <t>recved8o2DhklP.jpg</t>
        </is>
      </c>
      <c r="C2638" s="2" t="str">
        <f>=HYPERLINK("https://xhslink.com/m/14WW8k2flXs", "https://xhslink.com/m/14WW8k2flXs")</f>
        <v>https://xhslink.com/m/14WW8k2flXs</v>
      </c>
      <c r="D2638"/>
      <c r="E2638">
        <v>51000</v>
      </c>
      <c r="F2638">
        <v>49</v>
      </c>
      <c r="G2638">
        <v>39</v>
      </c>
      <c r="H2638">
        <v>100</v>
      </c>
      <c r="I2638" t="inlineStr">
        <is>
          <t>背心吊带</t>
        </is>
      </c>
      <c r="J2638" t="inlineStr">
        <is>
          <t>0.00</t>
        </is>
      </c>
      <c r="K2638"/>
      <c r="L2638" t="inlineStr">
        <is>
          <t>糖味儿旗舰店</t>
        </is>
      </c>
      <c r="M2638">
        <v>36000</v>
      </c>
      <c r="N2638">
        <v>4.4</v>
      </c>
      <c r="O2638">
        <v>104000</v>
      </c>
      <c r="P2638" t="inlineStr">
        <is>
          <t>67ca9e94e15c910001ffc52a</t>
        </is>
      </c>
      <c r="Q2638" t="inlineStr">
        <is>
          <t>🚫重复</t>
        </is>
      </c>
      <c r="R2638" t="inlineStr">
        <is>
          <t>14周</t>
        </is>
      </c>
      <c r="S2638" t="inlineStr">
        <is>
          <t>1.42</t>
        </is>
      </c>
      <c r="T2638" t="inlineStr">
        <is>
          <t>服饰穿搭</t>
        </is>
      </c>
      <c r="U2638" t="inlineStr">
        <is>
          <t>女装</t>
        </is>
      </c>
      <c r="V2638" s="3">
        <v>46112.78107638889</v>
      </c>
      <c r="W2638" t="inlineStr">
        <is>
          <t>2026-Q1</t>
        </is>
      </c>
    </row>
    <row r="2639" ht="25.5" customHeight="1">
      <c r="A2639" t="inlineStr">
        <is>
          <t>宽肩带遮副乳弹力棉质背心修身内搭打底衫圆领无袖T恤</t>
        </is>
      </c>
      <c r="B2639" t="inlineStr">
        <is>
          <t>recved8o2DFy2G.jpg</t>
        </is>
      </c>
      <c r="C2639" s="2" t="str">
        <f>=HYPERLINK("https://xhslink.com/m/AT8cNzDe34d", "https://xhslink.com/m/AT8cNzDe34d")</f>
        <v>https://xhslink.com/m/AT8cNzDe34d</v>
      </c>
      <c r="D2639"/>
      <c r="E2639">
        <v>13000</v>
      </c>
      <c r="F2639">
        <v>69.9</v>
      </c>
      <c r="G2639">
        <v>39.9</v>
      </c>
      <c r="H2639">
        <v>100</v>
      </c>
      <c r="I2639" t="inlineStr">
        <is>
          <t>背心吊带</t>
        </is>
      </c>
      <c r="J2639" t="inlineStr">
        <is>
          <t>0.01</t>
        </is>
      </c>
      <c r="K2639"/>
      <c r="L2639" t="inlineStr">
        <is>
          <t>小京鱼i穿搭的店</t>
        </is>
      </c>
      <c r="M2639">
        <v>28000</v>
      </c>
      <c r="N2639">
        <v>4.56</v>
      </c>
      <c r="O2639">
        <v>213000</v>
      </c>
      <c r="P2639" t="inlineStr">
        <is>
          <t>688072624daa7100015d65b9</t>
        </is>
      </c>
      <c r="Q2639" t="inlineStr">
        <is>
          <t>🚫重复</t>
        </is>
      </c>
      <c r="R2639" t="inlineStr">
        <is>
          <t>14周</t>
        </is>
      </c>
      <c r="S2639" t="inlineStr">
        <is>
          <t>0.46</t>
        </is>
      </c>
      <c r="T2639" t="inlineStr">
        <is>
          <t>服饰穿搭</t>
        </is>
      </c>
      <c r="U2639" t="inlineStr">
        <is>
          <t>女装</t>
        </is>
      </c>
      <c r="V2639" s="3">
        <v>46112.78107638889</v>
      </c>
      <c r="W2639" t="inlineStr">
        <is>
          <t>2026-Q1</t>
        </is>
      </c>
    </row>
    <row r="2640" ht="25.5" customHeight="1">
      <c r="A2640" t="inlineStr">
        <is>
          <t>黑/白 蚕丝极简胸垫螺纹背心</t>
        </is>
      </c>
      <c r="B2640" t="inlineStr">
        <is>
          <t>recved8o2DIoUS.jpg</t>
        </is>
      </c>
      <c r="C2640" s="2" t="str">
        <f>=HYPERLINK("https://xhslink.com/m/3kqNzMKYp3g", "https://xhslink.com/m/3kqNzMKYp3g")</f>
        <v>https://xhslink.com/m/3kqNzMKYp3g</v>
      </c>
      <c r="D2640"/>
      <c r="E2640">
        <v>1426</v>
      </c>
      <c r="F2640">
        <v>138</v>
      </c>
      <c r="G2640"/>
      <c r="H2640">
        <v>100</v>
      </c>
      <c r="I2640" t="inlineStr">
        <is>
          <t>背心吊带</t>
        </is>
      </c>
      <c r="J2640" t="inlineStr">
        <is>
          <t>0.07</t>
        </is>
      </c>
      <c r="K2640"/>
      <c r="L2640" t="inlineStr">
        <is>
          <t>你的西西儿的店</t>
        </is>
      </c>
      <c r="M2640">
        <v>35000</v>
      </c>
      <c r="N2640">
        <v>4.64</v>
      </c>
      <c r="O2640">
        <v>93000</v>
      </c>
      <c r="P2640" t="inlineStr">
        <is>
          <t>69a01134d5afea00013f05b1</t>
        </is>
      </c>
      <c r="Q2640" t="inlineStr">
        <is>
          <t>🚫重复</t>
        </is>
      </c>
      <c r="R2640" t="inlineStr">
        <is>
          <t>14周</t>
        </is>
      </c>
      <c r="S2640" t="inlineStr">
        <is>
          <t>0.04</t>
        </is>
      </c>
      <c r="T2640" t="inlineStr">
        <is>
          <t>服饰穿搭</t>
        </is>
      </c>
      <c r="U2640" t="inlineStr">
        <is>
          <t>女装</t>
        </is>
      </c>
      <c r="V2640" s="3">
        <v>46112.78107638889</v>
      </c>
      <c r="W2640" t="inlineStr">
        <is>
          <t>2026-Q1</t>
        </is>
      </c>
    </row>
    <row r="2641" ht="25.5" customHeight="1">
      <c r="A2641" t="inlineStr">
        <is>
          <t>半练 · 宽肩带带胸垫背心遮副乳显瘦女内搭打底TA037ZB</t>
        </is>
      </c>
      <c r="B2641" t="inlineStr">
        <is>
          <t>recved8o2D6cWO.jpg</t>
        </is>
      </c>
      <c r="C2641" s="2" t="str">
        <f>=HYPERLINK("https://xhslink.com/m/4UKymuXoPCn", "https://xhslink.com/m/4UKymuXoPCn")</f>
        <v>https://xhslink.com/m/4UKymuXoPCn</v>
      </c>
      <c r="D2641"/>
      <c r="E2641">
        <v>3552</v>
      </c>
      <c r="F2641">
        <v>89</v>
      </c>
      <c r="G2641"/>
      <c r="H2641">
        <v>100</v>
      </c>
      <c r="I2641" t="inlineStr">
        <is>
          <t>背心吊带</t>
        </is>
      </c>
      <c r="J2641" t="inlineStr">
        <is>
          <t>0.03</t>
        </is>
      </c>
      <c r="K2641"/>
      <c r="L2641" t="inlineStr">
        <is>
          <t>半练旗舰店</t>
        </is>
      </c>
      <c r="M2641">
        <v>15000</v>
      </c>
      <c r="N2641">
        <v>4.7</v>
      </c>
      <c r="O2641">
        <v>97000</v>
      </c>
      <c r="P2641" t="inlineStr">
        <is>
          <t>688b3f37b1b9df000128fc22</t>
        </is>
      </c>
      <c r="Q2641" t="inlineStr">
        <is>
          <t>🚫重复</t>
        </is>
      </c>
      <c r="R2641" t="inlineStr">
        <is>
          <t>14周</t>
        </is>
      </c>
      <c r="S2641" t="inlineStr">
        <is>
          <t>0.24</t>
        </is>
      </c>
      <c r="T2641" t="inlineStr">
        <is>
          <t>服饰穿搭</t>
        </is>
      </c>
      <c r="U2641" t="inlineStr">
        <is>
          <t>女装</t>
        </is>
      </c>
      <c r="V2641" s="3">
        <v>46112.78107638889</v>
      </c>
      <c r="W2641" t="inlineStr">
        <is>
          <t>2026-Q1</t>
        </is>
      </c>
    </row>
    <row r="2642" ht="25.5" customHeight="1">
      <c r="A2642" t="inlineStr">
        <is>
          <t>夏日老钱风立体刺绣勾花拼接绑带无袖背心2026新品小众精致短上衣</t>
        </is>
      </c>
      <c r="B2642" t="inlineStr">
        <is>
          <t>recved8o2DLPpF.jpg</t>
        </is>
      </c>
      <c r="C2642" s="2" t="str">
        <f>=HYPERLINK("https://xhslink.com/m/8BvlATKiGFa", "https://xhslink.com/m/8BvlATKiGFa")</f>
        <v>https://xhslink.com/m/8BvlATKiGFa</v>
      </c>
      <c r="D2642"/>
      <c r="E2642">
        <v>467</v>
      </c>
      <c r="F2642">
        <v>119</v>
      </c>
      <c r="G2642">
        <v>92.1</v>
      </c>
      <c r="H2642">
        <v>100</v>
      </c>
      <c r="I2642" t="inlineStr">
        <is>
          <t>背心吊带</t>
        </is>
      </c>
      <c r="J2642" t="inlineStr">
        <is>
          <t>0.21</t>
        </is>
      </c>
      <c r="K2642"/>
      <c r="L2642" t="inlineStr">
        <is>
          <t>VASILYEV小K家呀的店</t>
        </is>
      </c>
      <c r="M2642">
        <v>39000</v>
      </c>
      <c r="N2642">
        <v>4.67</v>
      </c>
      <c r="O2642">
        <v>139000</v>
      </c>
      <c r="P2642" t="inlineStr">
        <is>
          <t>6860ed923a11a800019aae50</t>
        </is>
      </c>
      <c r="Q2642"/>
      <c r="R2642" t="inlineStr">
        <is>
          <t>14周</t>
        </is>
      </c>
      <c r="S2642" t="inlineStr">
        <is>
          <t>0.01</t>
        </is>
      </c>
      <c r="T2642" t="inlineStr">
        <is>
          <t>服饰穿搭</t>
        </is>
      </c>
      <c r="U2642" t="inlineStr">
        <is>
          <t>女装</t>
        </is>
      </c>
      <c r="V2642" s="3">
        <v>46112.78107638889</v>
      </c>
      <c r="W2642" t="inlineStr">
        <is>
          <t>2026-Q1</t>
        </is>
      </c>
    </row>
    <row r="2643" ht="25.5" customHeight="1">
      <c r="A2643" t="inlineStr">
        <is>
          <t>韩系复古拼接紫色针织开衫女春秋修身显瘦叠穿内搭打底背心两件套</t>
        </is>
      </c>
      <c r="B2643" t="inlineStr">
        <is>
          <t>recved8o2Dqt3U.jpg</t>
        </is>
      </c>
      <c r="C2643" s="2" t="str">
        <f>=HYPERLINK("https://xhslink.com/m/8RYxLJjCVHL", "https://xhslink.com/m/8RYxLJjCVHL")</f>
        <v>https://xhslink.com/m/8RYxLJjCVHL</v>
      </c>
      <c r="D2643"/>
      <c r="E2643">
        <v>315</v>
      </c>
      <c r="F2643">
        <v>59.9</v>
      </c>
      <c r="G2643">
        <v>29.9</v>
      </c>
      <c r="H2643">
        <v>100</v>
      </c>
      <c r="I2643" t="inlineStr">
        <is>
          <t>吊带内搭</t>
        </is>
      </c>
      <c r="J2643" t="inlineStr">
        <is>
          <t>0.32</t>
        </is>
      </c>
      <c r="K2643"/>
      <c r="L2643" t="inlineStr">
        <is>
          <t>祝你鱼块🍥的店</t>
        </is>
      </c>
      <c r="M2643">
        <v>874</v>
      </c>
      <c r="N2643">
        <v>4.6</v>
      </c>
      <c r="O2643">
        <v>11000</v>
      </c>
      <c r="P2643" t="inlineStr">
        <is>
          <t>69a8f26bf6806b00017643cf</t>
        </is>
      </c>
      <c r="Q2643" t="inlineStr">
        <is>
          <t>🚫重复</t>
        </is>
      </c>
      <c r="R2643" t="inlineStr">
        <is>
          <t>14周</t>
        </is>
      </c>
      <c r="S2643" t="inlineStr">
        <is>
          <t>0.36</t>
        </is>
      </c>
      <c r="T2643" t="inlineStr">
        <is>
          <t>服饰穿搭</t>
        </is>
      </c>
      <c r="U2643" t="inlineStr">
        <is>
          <t>女装</t>
        </is>
      </c>
      <c r="V2643" s="3">
        <v>46112.78107638889</v>
      </c>
      <c r="W2643" t="inlineStr">
        <is>
          <t>2026-Q1</t>
        </is>
      </c>
    </row>
    <row r="2644" ht="25.5" customHeight="1">
      <c r="A2644" t="inlineStr">
        <is>
          <t>春夏莱赛尔凉感不透胸垫背心 遮副乳收腰吊带 大码打底内搭</t>
        </is>
      </c>
      <c r="B2644" t="inlineStr">
        <is>
          <t>recved8o2DGbxE.jpg</t>
        </is>
      </c>
      <c r="C2644" s="2" t="str">
        <f>=HYPERLINK("https://xhslink.com/m/6RrXZ1vcJW", "https://xhslink.com/m/6RrXZ1vcJW")</f>
        <v>https://xhslink.com/m/6RrXZ1vcJW</v>
      </c>
      <c r="D2644"/>
      <c r="E2644">
        <v>1139</v>
      </c>
      <c r="F2644">
        <v>99</v>
      </c>
      <c r="G2644">
        <v>69</v>
      </c>
      <c r="H2644">
        <v>100</v>
      </c>
      <c r="I2644" t="inlineStr">
        <is>
          <t>吊带内搭</t>
        </is>
      </c>
      <c r="J2644" t="inlineStr">
        <is>
          <t>0.09</t>
        </is>
      </c>
      <c r="K2644"/>
      <c r="L2644" t="inlineStr">
        <is>
          <t>小土豆长不高的店</t>
        </is>
      </c>
      <c r="M2644">
        <v>1937</v>
      </c>
      <c r="N2644">
        <v>4.16</v>
      </c>
      <c r="O2644">
        <v>14000</v>
      </c>
      <c r="P2644" t="inlineStr">
        <is>
          <t>68f6e9bdc67e47000131e975</t>
        </is>
      </c>
      <c r="Q2644"/>
      <c r="R2644" t="inlineStr">
        <is>
          <t>14周</t>
        </is>
      </c>
      <c r="S2644" t="inlineStr">
        <is>
          <t>0.59</t>
        </is>
      </c>
      <c r="T2644" t="inlineStr">
        <is>
          <t>服饰穿搭</t>
        </is>
      </c>
      <c r="U2644" t="inlineStr">
        <is>
          <t>女装</t>
        </is>
      </c>
      <c r="V2644" s="3">
        <v>46112.78107638889</v>
      </c>
      <c r="W2644" t="inlineStr">
        <is>
          <t>2026-Q1</t>
        </is>
      </c>
    </row>
    <row r="2645" ht="25.5" customHeight="1">
      <c r="A2645" t="inlineStr">
        <is>
          <t>【白月光】进店bi入 纯色宽肩带背心内搭外穿 自带固定bra 遮副乳</t>
        </is>
      </c>
      <c r="B2645" t="inlineStr">
        <is>
          <t>recved8o2DTsmk.jpg</t>
        </is>
      </c>
      <c r="C2645" s="2" t="str">
        <f>=HYPERLINK("https://xhslink.com/m/2PLmGtnUyZr", "https://xhslink.com/m/2PLmGtnUyZr")</f>
        <v>https://xhslink.com/m/2PLmGtnUyZr</v>
      </c>
      <c r="D2645"/>
      <c r="E2645">
        <v>25000</v>
      </c>
      <c r="F2645">
        <v>28</v>
      </c>
      <c r="G2645"/>
      <c r="H2645">
        <v>100</v>
      </c>
      <c r="I2645" t="inlineStr">
        <is>
          <t>吊带内搭</t>
        </is>
      </c>
      <c r="J2645" t="inlineStr">
        <is>
          <t>0.00</t>
        </is>
      </c>
      <c r="K2645" t="inlineStr">
        <is>
          <t>🔥低粉爆款</t>
        </is>
      </c>
      <c r="L2645" t="inlineStr">
        <is>
          <t>昕淇今天穿什么的店</t>
        </is>
      </c>
      <c r="M2645">
        <v>480</v>
      </c>
      <c r="N2645">
        <v>4.54</v>
      </c>
      <c r="O2645">
        <v>27000</v>
      </c>
      <c r="P2645" t="inlineStr">
        <is>
          <t>65fbee42e21a000001d108d2</t>
        </is>
      </c>
      <c r="Q2645" t="inlineStr">
        <is>
          <t>🚫重复</t>
        </is>
      </c>
      <c r="R2645" t="inlineStr">
        <is>
          <t>14周</t>
        </is>
      </c>
      <c r="S2645" t="inlineStr">
        <is>
          <t>52.08</t>
        </is>
      </c>
      <c r="T2645" t="inlineStr">
        <is>
          <t>服饰穿搭</t>
        </is>
      </c>
      <c r="U2645" t="inlineStr">
        <is>
          <t>女装</t>
        </is>
      </c>
      <c r="V2645" s="3">
        <v>46112.78107638889</v>
      </c>
      <c r="W2645" t="inlineStr">
        <is>
          <t>2026-Q1</t>
        </is>
      </c>
    </row>
    <row r="2646" ht="25.5" customHeight="1">
      <c r="A2646" t="inlineStr">
        <is>
          <t>【限时49.9】女士开春吊带背心-免穿bra-舒适主义</t>
        </is>
      </c>
      <c r="B2646" t="inlineStr">
        <is>
          <t>recved8o2D5U4K.jpg</t>
        </is>
      </c>
      <c r="C2646" s="2" t="str">
        <f>=HYPERLINK("https://xhslink.com/m/5BP3XyL2ceu", "https://xhslink.com/m/5BP3XyL2ceu")</f>
        <v>https://xhslink.com/m/5BP3XyL2ceu</v>
      </c>
      <c r="D2646"/>
      <c r="E2646">
        <v>590</v>
      </c>
      <c r="F2646">
        <v>59.9</v>
      </c>
      <c r="G2646">
        <v>49.9</v>
      </c>
      <c r="H2646">
        <v>100</v>
      </c>
      <c r="I2646" t="inlineStr">
        <is>
          <t>吊带内搭</t>
        </is>
      </c>
      <c r="J2646" t="inlineStr">
        <is>
          <t>0.17</t>
        </is>
      </c>
      <c r="K2646"/>
      <c r="L2646" t="inlineStr">
        <is>
          <t>七七大胆闯的店</t>
        </is>
      </c>
      <c r="M2646">
        <v>2133</v>
      </c>
      <c r="N2646">
        <v>4.72</v>
      </c>
      <c r="O2646">
        <v>10000</v>
      </c>
      <c r="P2646" t="inlineStr">
        <is>
          <t>6968ca208f0f9c0001ee004c</t>
        </is>
      </c>
      <c r="Q2646" t="inlineStr">
        <is>
          <t>🚫重复</t>
        </is>
      </c>
      <c r="R2646" t="inlineStr">
        <is>
          <t>14周</t>
        </is>
      </c>
      <c r="S2646" t="inlineStr">
        <is>
          <t>0.28</t>
        </is>
      </c>
      <c r="T2646" t="inlineStr">
        <is>
          <t>服饰穿搭</t>
        </is>
      </c>
      <c r="U2646" t="inlineStr">
        <is>
          <t>女装</t>
        </is>
      </c>
      <c r="V2646" s="3">
        <v>46112.78107638889</v>
      </c>
      <c r="W2646" t="inlineStr">
        <is>
          <t>2026-Q1</t>
        </is>
      </c>
    </row>
    <row r="2647" ht="25.5" customHeight="1">
      <c r="A2647" t="inlineStr">
        <is>
          <t>2026春季纯欲白月光微胖显瘦慵懒镂空罩衫清纯女牛仔裤抹胸套装</t>
        </is>
      </c>
      <c r="B2647" t="inlineStr">
        <is>
          <t>recved8o2D21Mn.jpg</t>
        </is>
      </c>
      <c r="C2647" s="2" t="str">
        <f>=HYPERLINK("https://xhslink.com/m/7sxGKfwgdfN", "https://xhslink.com/m/7sxGKfwgdfN")</f>
        <v>https://xhslink.com/m/7sxGKfwgdfN</v>
      </c>
      <c r="D2647"/>
      <c r="E2647">
        <v>10000</v>
      </c>
      <c r="F2647">
        <v>29.9</v>
      </c>
      <c r="G2647"/>
      <c r="H2647">
        <v>100</v>
      </c>
      <c r="I2647" t="inlineStr">
        <is>
          <t>吊带内搭</t>
        </is>
      </c>
      <c r="J2647" t="inlineStr">
        <is>
          <t>0.01</t>
        </is>
      </c>
      <c r="K2647"/>
      <c r="L2647" t="inlineStr">
        <is>
          <t>高冷冷的店</t>
        </is>
      </c>
      <c r="M2647">
        <v>497000</v>
      </c>
      <c r="N2647">
        <v>4.58</v>
      </c>
      <c r="O2647">
        <v>355000</v>
      </c>
      <c r="P2647" t="inlineStr">
        <is>
          <t>67dc25e398b4be000134c605</t>
        </is>
      </c>
      <c r="Q2647" t="inlineStr">
        <is>
          <t>🚫重复</t>
        </is>
      </c>
      <c r="R2647" t="inlineStr">
        <is>
          <t>14周</t>
        </is>
      </c>
      <c r="S2647" t="inlineStr">
        <is>
          <t>0.02</t>
        </is>
      </c>
      <c r="T2647" t="inlineStr">
        <is>
          <t>服饰穿搭</t>
        </is>
      </c>
      <c r="U2647" t="inlineStr">
        <is>
          <t>女装</t>
        </is>
      </c>
      <c r="V2647" s="3">
        <v>46112.78107638889</v>
      </c>
      <c r="W2647" t="inlineStr">
        <is>
          <t>2026-Q1</t>
        </is>
      </c>
    </row>
    <row r="2648" ht="25.5" customHeight="1">
      <c r="A2648" t="inlineStr">
        <is>
          <t>谜秀MISHOW · 【专柜同款】2026春款法式白色娃娃领灯笼袖衬衫宽松长袖牛仔套装</t>
        </is>
      </c>
      <c r="B2648" t="inlineStr">
        <is>
          <t>recved8o2D6Ey4.jpg</t>
        </is>
      </c>
      <c r="C2648" s="2" t="str">
        <f>=HYPERLINK("https://xhslink.com/m/5ettnN3UNVK", "https://xhslink.com/m/5ettnN3UNVK")</f>
        <v>https://xhslink.com/m/5ettnN3UNVK</v>
      </c>
      <c r="D2648"/>
      <c r="E2648">
        <v>5307</v>
      </c>
      <c r="F2648">
        <v>199</v>
      </c>
      <c r="G2648">
        <v>175.12</v>
      </c>
      <c r="H2648">
        <v>100</v>
      </c>
      <c r="I2648" t="inlineStr">
        <is>
          <t>吊带内搭</t>
        </is>
      </c>
      <c r="J2648" t="inlineStr">
        <is>
          <t>0.02</t>
        </is>
      </c>
      <c r="K2648"/>
      <c r="L2648" t="inlineStr">
        <is>
          <t>MISHOW谜秀旗舰店</t>
        </is>
      </c>
      <c r="M2648">
        <v>94000</v>
      </c>
      <c r="N2648">
        <v>4.46</v>
      </c>
      <c r="O2648">
        <v>76000</v>
      </c>
      <c r="P2648" t="inlineStr">
        <is>
          <t>65dc3dcf1b45d80001d42aaf</t>
        </is>
      </c>
      <c r="Q2648"/>
      <c r="R2648" t="inlineStr">
        <is>
          <t>14周</t>
        </is>
      </c>
      <c r="S2648" t="inlineStr">
        <is>
          <t>0.06</t>
        </is>
      </c>
      <c r="T2648" t="inlineStr">
        <is>
          <t>服饰穿搭</t>
        </is>
      </c>
      <c r="U2648" t="inlineStr">
        <is>
          <t>女装</t>
        </is>
      </c>
      <c r="V2648" s="3">
        <v>46112.78107638889</v>
      </c>
      <c r="W2648" t="inlineStr">
        <is>
          <t>2026-Q1</t>
        </is>
      </c>
    </row>
    <row r="2649" ht="25.5" customHeight="1">
      <c r="A2649" t="inlineStr">
        <is>
          <t>半练 · 宽肩带带胸垫背心遮副乳显瘦女内搭打底TA037ZB</t>
        </is>
      </c>
      <c r="B2649" t="inlineStr">
        <is>
          <t>recved8o2DUTgM.jpg</t>
        </is>
      </c>
      <c r="C2649" s="2" t="str">
        <f>=HYPERLINK("https://xhslink.com/m/7DXNMQTfKIH", "https://xhslink.com/m/7DXNMQTfKIH")</f>
        <v>https://xhslink.com/m/7DXNMQTfKIH</v>
      </c>
      <c r="D2649"/>
      <c r="E2649">
        <v>3553</v>
      </c>
      <c r="F2649">
        <v>94</v>
      </c>
      <c r="G2649"/>
      <c r="H2649">
        <v>100</v>
      </c>
      <c r="I2649" t="inlineStr">
        <is>
          <t>吊带内搭</t>
        </is>
      </c>
      <c r="J2649" t="inlineStr">
        <is>
          <t>0.03</t>
        </is>
      </c>
      <c r="K2649"/>
      <c r="L2649" t="inlineStr">
        <is>
          <t>半练旗舰店</t>
        </is>
      </c>
      <c r="M2649">
        <v>15000</v>
      </c>
      <c r="N2649">
        <v>4.7</v>
      </c>
      <c r="O2649">
        <v>97000</v>
      </c>
      <c r="P2649" t="inlineStr">
        <is>
          <t>688b3f37b1b9df000128fc1f</t>
        </is>
      </c>
      <c r="Q2649" t="inlineStr">
        <is>
          <t>🚫重复</t>
        </is>
      </c>
      <c r="R2649" t="inlineStr">
        <is>
          <t>14周</t>
        </is>
      </c>
      <c r="S2649" t="inlineStr">
        <is>
          <t>0.24</t>
        </is>
      </c>
      <c r="T2649" t="inlineStr">
        <is>
          <t>服饰穿搭</t>
        </is>
      </c>
      <c r="U2649" t="inlineStr">
        <is>
          <t>女装</t>
        </is>
      </c>
      <c r="V2649" s="3">
        <v>46112.78107638889</v>
      </c>
      <c r="W2649" t="inlineStr">
        <is>
          <t>2026-Q1</t>
        </is>
      </c>
    </row>
    <row r="2650" ht="25.5" customHeight="1">
      <c r="A2650" t="inlineStr">
        <is>
          <t>全家桶 抚仙湖25号花香蓝莓 顺丰空运包邮 当天新鲜采摘 产地直发</t>
        </is>
      </c>
      <c r="B2650" t="inlineStr">
        <is>
          <t>recvei9USZrtdZ.jpg</t>
        </is>
      </c>
      <c r="C2650" s="2" t="str">
        <f>=HYPERLINK("https://xhslink.com/m/5pWkIp0YgmV", "https://xhslink.com/m/5pWkIp0YgmV")</f>
        <v>https://xhslink.com/m/5pWkIp0YgmV</v>
      </c>
      <c r="D2650"/>
      <c r="E2650">
        <v>56000</v>
      </c>
      <c r="F2650">
        <v>315</v>
      </c>
      <c r="G2650">
        <v>179</v>
      </c>
      <c r="H2650">
        <v>100</v>
      </c>
      <c r="I2650" t="inlineStr">
        <is>
          <t>水果</t>
        </is>
      </c>
      <c r="J2650" t="inlineStr">
        <is>
          <t>0.00</t>
        </is>
      </c>
      <c r="K2650" t="inlineStr">
        <is>
          <t>🔥低粉爆款</t>
        </is>
      </c>
      <c r="L2650" t="inlineStr">
        <is>
          <t>山里老徐的店</t>
        </is>
      </c>
      <c r="M2650">
        <v>17000</v>
      </c>
      <c r="N2650">
        <v>4.57</v>
      </c>
      <c r="O2650">
        <v>206000</v>
      </c>
      <c r="P2650" t="inlineStr">
        <is>
          <t>67a782a517cfa000015d80ec</t>
        </is>
      </c>
      <c r="Q2650"/>
      <c r="R2650" t="inlineStr">
        <is>
          <t>14周</t>
        </is>
      </c>
      <c r="S2650" t="inlineStr">
        <is>
          <t>3.29</t>
        </is>
      </c>
      <c r="T2650" t="inlineStr">
        <is>
          <t>美食滋补</t>
        </is>
      </c>
      <c r="U2650" t="inlineStr">
        <is>
          <t>生鲜特产</t>
        </is>
      </c>
      <c r="V2650" s="3">
        <v>46112.78107638889</v>
      </c>
      <c r="W2650" t="inlineStr">
        <is>
          <t>2026-Q1</t>
        </is>
      </c>
    </row>
    <row r="2651" ht="25.5" customHeight="1">
      <c r="A2651" t="inlineStr">
        <is>
          <t>贡枝果栈 · 新鲜无花果农家应季时令水果天然孕妇下奶鲜果现摘现发顺丰包邮</t>
        </is>
      </c>
      <c r="B2651" t="inlineStr">
        <is>
          <t>recvei9USZPP5r.jpg</t>
        </is>
      </c>
      <c r="C2651" s="2" t="str">
        <f>=HYPERLINK("https://xhslink.com/m/1rrTomuG45r", "https://xhslink.com/m/1rrTomuG45r")</f>
        <v>https://xhslink.com/m/1rrTomuG45r</v>
      </c>
      <c r="D2651"/>
      <c r="E2651">
        <v>203000</v>
      </c>
      <c r="F2651">
        <v>68.9</v>
      </c>
      <c r="G2651"/>
      <c r="H2651">
        <v>100</v>
      </c>
      <c r="I2651" t="inlineStr">
        <is>
          <t>水果</t>
        </is>
      </c>
      <c r="J2651" t="inlineStr">
        <is>
          <t>0.00</t>
        </is>
      </c>
      <c r="K2651" t="inlineStr">
        <is>
          <t>🔥低粉爆款</t>
        </is>
      </c>
      <c r="L2651" t="inlineStr">
        <is>
          <t>贡枝果栈旗舰店</t>
        </is>
      </c>
      <c r="M2651">
        <v>10000</v>
      </c>
      <c r="N2651">
        <v>4.6</v>
      </c>
      <c r="O2651">
        <v>236000</v>
      </c>
      <c r="P2651" t="inlineStr">
        <is>
          <t>6911f714f08ff500015b710d</t>
        </is>
      </c>
      <c r="Q2651" t="inlineStr">
        <is>
          <t>🚫重复</t>
        </is>
      </c>
      <c r="R2651" t="inlineStr">
        <is>
          <t>14周</t>
        </is>
      </c>
      <c r="S2651" t="inlineStr">
        <is>
          <t>20.30</t>
        </is>
      </c>
      <c r="T2651" t="inlineStr">
        <is>
          <t>美食滋补</t>
        </is>
      </c>
      <c r="U2651" t="inlineStr">
        <is>
          <t>生鲜特产</t>
        </is>
      </c>
      <c r="V2651" s="3">
        <v>46112.78107638889</v>
      </c>
      <c r="W2651" t="inlineStr">
        <is>
          <t>2026-Q1</t>
        </is>
      </c>
    </row>
    <row r="2652" ht="25.5" customHeight="1">
      <c r="A2652" t="inlineStr">
        <is>
          <t>【顺丰/JD】七色小番茄水果盲盒青甜2号小番茄圣女果现摘现发</t>
        </is>
      </c>
      <c r="B2652" t="inlineStr">
        <is>
          <t>recvei9USZ3VGB.jpg</t>
        </is>
      </c>
      <c r="C2652" s="2" t="str">
        <f>=HYPERLINK("https://xhslink.com/m/6mpeeVVcxjL", "https://xhslink.com/m/6mpeeVVcxjL")</f>
        <v>https://xhslink.com/m/6mpeeVVcxjL</v>
      </c>
      <c r="D2652"/>
      <c r="E2652">
        <v>12000</v>
      </c>
      <c r="F2652">
        <v>88.5</v>
      </c>
      <c r="G2652">
        <v>37.6</v>
      </c>
      <c r="H2652">
        <v>100</v>
      </c>
      <c r="I2652" t="inlineStr">
        <is>
          <t>水果</t>
        </is>
      </c>
      <c r="J2652" t="inlineStr">
        <is>
          <t>0.01</t>
        </is>
      </c>
      <c r="K2652"/>
      <c r="L2652" t="inlineStr">
        <is>
          <t>麒果果的店</t>
        </is>
      </c>
      <c r="M2652">
        <v>14000</v>
      </c>
      <c r="N2652">
        <v>4.56</v>
      </c>
      <c r="O2652">
        <v>93000</v>
      </c>
      <c r="P2652" t="inlineStr">
        <is>
          <t>697b07858dc4b30001cb4401</t>
        </is>
      </c>
      <c r="Q2652" t="inlineStr">
        <is>
          <t>🚫重复</t>
        </is>
      </c>
      <c r="R2652" t="inlineStr">
        <is>
          <t>14周</t>
        </is>
      </c>
      <c r="S2652" t="inlineStr">
        <is>
          <t>0.86</t>
        </is>
      </c>
      <c r="T2652" t="inlineStr">
        <is>
          <t>美食滋补</t>
        </is>
      </c>
      <c r="U2652" t="inlineStr">
        <is>
          <t>生鲜特产</t>
        </is>
      </c>
      <c r="V2652" s="3">
        <v>46112.78107638889</v>
      </c>
      <c r="W2652" t="inlineStr">
        <is>
          <t>2026-Q1</t>
        </is>
      </c>
    </row>
    <row r="2653" ht="25.5" customHeight="1">
      <c r="A2653" t="inlineStr">
        <is>
          <t>易铂不锈钢马里奥经典怀旧高端厨房两件套盆加深和面盆洗菜盆</t>
        </is>
      </c>
      <c r="B2653" t="inlineStr">
        <is>
          <t>recvei9USZpOH4.jpg</t>
        </is>
      </c>
      <c r="C2653" s="2" t="str">
        <f>=HYPERLINK("https://xhslink.com/m/ADKtI9i2HZu", "https://xhslink.com/m/ADKtI9i2HZu")</f>
        <v>https://xhslink.com/m/ADKtI9i2HZu</v>
      </c>
      <c r="D2653"/>
      <c r="E2653">
        <v>6672</v>
      </c>
      <c r="F2653">
        <v>29.9</v>
      </c>
      <c r="G2653"/>
      <c r="H2653">
        <v>100</v>
      </c>
      <c r="I2653" t="inlineStr">
        <is>
          <t>厨房</t>
        </is>
      </c>
      <c r="J2653" t="inlineStr">
        <is>
          <t>0.01</t>
        </is>
      </c>
      <c r="K2653" t="inlineStr">
        <is>
          <t>🔥低粉爆款</t>
        </is>
      </c>
      <c r="L2653" t="inlineStr">
        <is>
          <t>YOPO厨具的店</t>
        </is>
      </c>
      <c r="M2653">
        <v>814</v>
      </c>
      <c r="N2653">
        <v>4.49</v>
      </c>
      <c r="O2653">
        <v>28000</v>
      </c>
      <c r="P2653" t="inlineStr">
        <is>
          <t>697c6799265eb90001b2ed0d</t>
        </is>
      </c>
      <c r="Q2653"/>
      <c r="R2653" t="inlineStr">
        <is>
          <t>14周</t>
        </is>
      </c>
      <c r="S2653" t="inlineStr">
        <is>
          <t>8.20</t>
        </is>
      </c>
      <c r="T2653" t="inlineStr">
        <is>
          <t>家居生活</t>
        </is>
      </c>
      <c r="U2653" t="inlineStr">
        <is>
          <t>厨房餐饮</t>
        </is>
      </c>
      <c r="V2653" s="3">
        <v>46112.78107638889</v>
      </c>
      <c r="W2653" t="inlineStr">
        <is>
          <t>2026-Q1</t>
        </is>
      </c>
    </row>
    <row r="2654" ht="25.5" customHeight="1">
      <c r="A2654" t="inlineStr">
        <is>
          <t>厨房旋转吸盘挂钩壁挂式置物架收纳架锅铲勺子铲子挂架免打孔架子</t>
        </is>
      </c>
      <c r="B2654" t="inlineStr">
        <is>
          <t>recvei9USZVWbh.jpg</t>
        </is>
      </c>
      <c r="C2654" s="2" t="str">
        <f>=HYPERLINK("https://xhslink.com/m/7sNbq56Zk2V", "https://xhslink.com/m/7sNbq56Zk2V")</f>
        <v>https://xhslink.com/m/7sNbq56Zk2V</v>
      </c>
      <c r="D2654"/>
      <c r="E2654">
        <v>7634</v>
      </c>
      <c r="F2654">
        <v>49.99</v>
      </c>
      <c r="G2654">
        <v>24.99</v>
      </c>
      <c r="H2654">
        <v>100</v>
      </c>
      <c r="I2654" t="inlineStr">
        <is>
          <t>厨房</t>
        </is>
      </c>
      <c r="J2654" t="inlineStr">
        <is>
          <t>0.01</t>
        </is>
      </c>
      <c r="K2654" t="inlineStr">
        <is>
          <t>🔥低粉爆款</t>
        </is>
      </c>
      <c r="L2654" t="inlineStr">
        <is>
          <t>A泰瑞食品店的店</t>
        </is>
      </c>
      <c r="M2654">
        <v>504</v>
      </c>
      <c r="N2654">
        <v>4.37</v>
      </c>
      <c r="O2654">
        <v>22000</v>
      </c>
      <c r="P2654" t="inlineStr">
        <is>
          <t>68ff1e399912760015e2ddcd</t>
        </is>
      </c>
      <c r="Q2654"/>
      <c r="R2654" t="inlineStr">
        <is>
          <t>14周</t>
        </is>
      </c>
      <c r="S2654" t="inlineStr">
        <is>
          <t>15.15</t>
        </is>
      </c>
      <c r="T2654" t="inlineStr">
        <is>
          <t>家居生活</t>
        </is>
      </c>
      <c r="U2654" t="inlineStr">
        <is>
          <t>家居日用</t>
        </is>
      </c>
      <c r="V2654" s="3">
        <v>46112.78107638889</v>
      </c>
      <c r="W2654" t="inlineStr">
        <is>
          <t>2026-Q1</t>
        </is>
      </c>
    </row>
    <row r="2655" ht="25.5" customHeight="1">
      <c r="A2655" t="inlineStr">
        <is>
          <t>HonJohn · 炊芽小绿锅宝宝辅食锅一人食陶瓷不粘锅蒸煮一体电磁炉燃气灶通用</t>
        </is>
      </c>
      <c r="B2655" t="inlineStr">
        <is>
          <t>recvei9USZunkB.jpg</t>
        </is>
      </c>
      <c r="C2655" s="2" t="str">
        <f>=HYPERLINK("https://xhslink.com/m/9TItqePSP0q", "https://xhslink.com/m/9TItqePSP0q")</f>
        <v>https://xhslink.com/m/9TItqePSP0q</v>
      </c>
      <c r="D2655"/>
      <c r="E2655">
        <v>17000</v>
      </c>
      <c r="F2655">
        <v>109</v>
      </c>
      <c r="G2655">
        <v>79</v>
      </c>
      <c r="H2655">
        <v>100</v>
      </c>
      <c r="I2655" t="inlineStr">
        <is>
          <t>厨房</t>
        </is>
      </c>
      <c r="J2655" t="inlineStr">
        <is>
          <t>0.01</t>
        </is>
      </c>
      <c r="K2655"/>
      <c r="L2655" t="inlineStr">
        <is>
          <t>HonJohn的店</t>
        </is>
      </c>
      <c r="M2655">
        <v>6571</v>
      </c>
      <c r="N2655">
        <v>4.56</v>
      </c>
      <c r="O2655">
        <v>33000</v>
      </c>
      <c r="P2655" t="inlineStr">
        <is>
          <t>67ef85b9ee8f090001227402</t>
        </is>
      </c>
      <c r="Q2655" t="inlineStr">
        <is>
          <t>🚫重复</t>
        </is>
      </c>
      <c r="R2655" t="inlineStr">
        <is>
          <t>14周</t>
        </is>
      </c>
      <c r="S2655" t="inlineStr">
        <is>
          <t>2.59</t>
        </is>
      </c>
      <c r="T2655" t="inlineStr">
        <is>
          <t>家居生活</t>
        </is>
      </c>
      <c r="U2655" t="inlineStr">
        <is>
          <t>厨房餐饮</t>
        </is>
      </c>
      <c r="V2655" s="3">
        <v>46112.78107638889</v>
      </c>
      <c r="W2655" t="inlineStr">
        <is>
          <t>2026-Q1</t>
        </is>
      </c>
    </row>
    <row r="2656" ht="25.5" customHeight="1">
      <c r="A2656" t="inlineStr">
        <is>
          <t>HonJohn · 【重磅升级】大绿锅聚油煎炒锅不粘平底家用炒菜燃气灶电磁炉通用</t>
        </is>
      </c>
      <c r="B2656" t="inlineStr">
        <is>
          <t>recvei9USZF6hP.jpg</t>
        </is>
      </c>
      <c r="C2656" s="2" t="str">
        <f>=HYPERLINK("https://xhslink.com/m/2sKciV0HDYo", "https://xhslink.com/m/2sKciV0HDYo")</f>
        <v>https://xhslink.com/m/2sKciV0HDYo</v>
      </c>
      <c r="D2656"/>
      <c r="E2656">
        <v>4700</v>
      </c>
      <c r="F2656">
        <v>219</v>
      </c>
      <c r="G2656">
        <v>119</v>
      </c>
      <c r="H2656">
        <v>100</v>
      </c>
      <c r="I2656" t="inlineStr">
        <is>
          <t>厨房</t>
        </is>
      </c>
      <c r="J2656" t="inlineStr">
        <is>
          <t>0.02</t>
        </is>
      </c>
      <c r="K2656"/>
      <c r="L2656" t="inlineStr">
        <is>
          <t>HonJohn的店</t>
        </is>
      </c>
      <c r="M2656">
        <v>6571</v>
      </c>
      <c r="N2656">
        <v>4.56</v>
      </c>
      <c r="O2656">
        <v>33000</v>
      </c>
      <c r="P2656" t="inlineStr">
        <is>
          <t>680cd60cb5ecfc0001d3bb07</t>
        </is>
      </c>
      <c r="Q2656" t="inlineStr">
        <is>
          <t>🚫重复</t>
        </is>
      </c>
      <c r="R2656" t="inlineStr">
        <is>
          <t>14周</t>
        </is>
      </c>
      <c r="S2656" t="inlineStr">
        <is>
          <t>0.72</t>
        </is>
      </c>
      <c r="T2656" t="inlineStr">
        <is>
          <t>家居生活</t>
        </is>
      </c>
      <c r="U2656" t="inlineStr">
        <is>
          <t>厨房餐饮</t>
        </is>
      </c>
      <c r="V2656" s="3">
        <v>46112.78107638889</v>
      </c>
      <c r="W2656" t="inlineStr">
        <is>
          <t>2026-Q1</t>
        </is>
      </c>
    </row>
    <row r="2657" ht="25.5" customHeight="1">
      <c r="A2657" t="inlineStr">
        <is>
          <t>家的角落 · 加大号置物架小推车落地家用客厅零食置物架宿舍多层书本收纳架</t>
        </is>
      </c>
      <c r="B2657" t="inlineStr">
        <is>
          <t>recvei9USZhb25.jpg</t>
        </is>
      </c>
      <c r="C2657" s="2" t="str">
        <f>=HYPERLINK("https://xhslink.com/m/60yEYaysesi", "https://xhslink.com/m/60yEYaysesi")</f>
        <v>https://xhslink.com/m/60yEYaysesi</v>
      </c>
      <c r="D2657"/>
      <c r="E2657">
        <v>4258</v>
      </c>
      <c r="F2657">
        <v>109</v>
      </c>
      <c r="G2657">
        <v>92</v>
      </c>
      <c r="H2657">
        <v>100</v>
      </c>
      <c r="I2657" t="inlineStr">
        <is>
          <t>厨房</t>
        </is>
      </c>
      <c r="J2657" t="inlineStr">
        <is>
          <t>0.02</t>
        </is>
      </c>
      <c r="K2657"/>
      <c r="L2657" t="inlineStr">
        <is>
          <t>家的角落的店</t>
        </is>
      </c>
      <c r="M2657">
        <v>1003000</v>
      </c>
      <c r="N2657">
        <v>4.61</v>
      </c>
      <c r="O2657">
        <v>523000</v>
      </c>
      <c r="P2657" t="inlineStr">
        <is>
          <t>69218a81956243000146b3f7</t>
        </is>
      </c>
      <c r="Q2657" t="inlineStr">
        <is>
          <t>🚫重复</t>
        </is>
      </c>
      <c r="R2657" t="inlineStr">
        <is>
          <t>14周</t>
        </is>
      </c>
      <c r="S2657" t="inlineStr">
        <is>
          <t>0.00</t>
        </is>
      </c>
      <c r="T2657" t="inlineStr">
        <is>
          <t>家居生活</t>
        </is>
      </c>
      <c r="U2657" t="inlineStr">
        <is>
          <t>家居日用</t>
        </is>
      </c>
      <c r="V2657" s="3">
        <v>46112.78107638889</v>
      </c>
      <c r="W2657" t="inlineStr">
        <is>
          <t>2026-Q1</t>
        </is>
      </c>
    </row>
    <row r="2658" ht="25.5" customHeight="1">
      <c r="A2658" t="inlineStr">
        <is>
          <t>Lideer Cookware · 珐琅锅铸铁锅家用焖烧煮锅乔迁礼物炒锅炖锅砂锅煲多功能锅</t>
        </is>
      </c>
      <c r="B2658" t="inlineStr">
        <is>
          <t>recvei9USZwGeN.jpg</t>
        </is>
      </c>
      <c r="C2658" s="2" t="str">
        <f>=HYPERLINK("https://xhslink.com/m/3FXej8F6YTE", "https://xhslink.com/m/3FXej8F6YTE")</f>
        <v>https://xhslink.com/m/3FXej8F6YTE</v>
      </c>
      <c r="D2658"/>
      <c r="E2658">
        <v>1823</v>
      </c>
      <c r="F2658">
        <v>519</v>
      </c>
      <c r="G2658">
        <v>224</v>
      </c>
      <c r="H2658">
        <v>100</v>
      </c>
      <c r="I2658" t="inlineStr">
        <is>
          <t>厨房</t>
        </is>
      </c>
      <c r="J2658" t="inlineStr">
        <is>
          <t>0.05</t>
        </is>
      </c>
      <c r="K2658"/>
      <c r="L2658" t="inlineStr">
        <is>
          <t>Lideer立德尔的店</t>
        </is>
      </c>
      <c r="M2658">
        <v>15000</v>
      </c>
      <c r="N2658">
        <v>4.58</v>
      </c>
      <c r="O2658">
        <v>25000</v>
      </c>
      <c r="P2658" t="inlineStr">
        <is>
          <t>68932433ebefca0001df3d43</t>
        </is>
      </c>
      <c r="Q2658"/>
      <c r="R2658" t="inlineStr">
        <is>
          <t>14周</t>
        </is>
      </c>
      <c r="S2658" t="inlineStr">
        <is>
          <t>0.12</t>
        </is>
      </c>
      <c r="T2658" t="inlineStr">
        <is>
          <t>家居生活</t>
        </is>
      </c>
      <c r="U2658" t="inlineStr">
        <is>
          <t>厨房餐饮</t>
        </is>
      </c>
      <c r="V2658" s="3">
        <v>46112.78107638889</v>
      </c>
      <c r="W2658" t="inlineStr">
        <is>
          <t>2026-Q1</t>
        </is>
      </c>
    </row>
    <row r="2659" ht="25.5" customHeight="1">
      <c r="A2659" t="inlineStr">
        <is>
          <t>【前8000单39.9】景德镇手绘转转葫芦陶瓷摆件工位桌面摆件中式风</t>
        </is>
      </c>
      <c r="B2659" t="inlineStr">
        <is>
          <t>recvei9USZvBxI.jpg</t>
        </is>
      </c>
      <c r="C2659" s="2" t="str">
        <f>=HYPERLINK("https://xhslink.com/m/AhYGP9adsSi", "https://xhslink.com/m/AhYGP9adsSi")</f>
        <v>https://xhslink.com/m/AhYGP9adsSi</v>
      </c>
      <c r="D2659"/>
      <c r="E2659">
        <v>6289</v>
      </c>
      <c r="F2659">
        <v>59.9</v>
      </c>
      <c r="G2659">
        <v>39.9</v>
      </c>
      <c r="H2659">
        <v>100</v>
      </c>
      <c r="I2659" t="inlineStr">
        <is>
          <t>小摆件</t>
        </is>
      </c>
      <c r="J2659" t="inlineStr">
        <is>
          <t>0.02</t>
        </is>
      </c>
      <c r="K2659"/>
      <c r="L2659" t="inlineStr">
        <is>
          <t>小景同学✨的店</t>
        </is>
      </c>
      <c r="M2659">
        <v>3851</v>
      </c>
      <c r="N2659">
        <v>4.42</v>
      </c>
      <c r="O2659">
        <v>7277</v>
      </c>
      <c r="P2659" t="inlineStr">
        <is>
          <t>696e55f2b706d70001125de9</t>
        </is>
      </c>
      <c r="Q2659"/>
      <c r="R2659" t="inlineStr">
        <is>
          <t>14周</t>
        </is>
      </c>
      <c r="S2659" t="inlineStr">
        <is>
          <t>1.63</t>
        </is>
      </c>
      <c r="T2659" t="inlineStr">
        <is>
          <t>家居生活</t>
        </is>
      </c>
      <c r="U2659" t="inlineStr">
        <is>
          <t>家具家装</t>
        </is>
      </c>
      <c r="V2659" s="3">
        <v>46112.78107638889</v>
      </c>
      <c r="W2659" t="inlineStr">
        <is>
          <t>2026-Q1</t>
        </is>
      </c>
    </row>
    <row r="2660" ht="25.5" customHeight="1">
      <c r="A2660" t="inlineStr">
        <is>
          <t>楚象 · 地球仪摆件轻奢高档客厅电视柜玄关书房书柜办公室桌面家居装饰品</t>
        </is>
      </c>
      <c r="B2660" t="inlineStr">
        <is>
          <t>recvei9USZEveA.jpg</t>
        </is>
      </c>
      <c r="C2660" s="2" t="str">
        <f>=HYPERLINK("https://xhslink.com/m/4iu8FGteHyC", "https://xhslink.com/m/4iu8FGteHyC")</f>
        <v>https://xhslink.com/m/4iu8FGteHyC</v>
      </c>
      <c r="D2660"/>
      <c r="E2660">
        <v>25000</v>
      </c>
      <c r="F2660">
        <v>148</v>
      </c>
      <c r="G2660">
        <v>145</v>
      </c>
      <c r="H2660">
        <v>100</v>
      </c>
      <c r="I2660" t="inlineStr">
        <is>
          <t>小摆件</t>
        </is>
      </c>
      <c r="J2660" t="inlineStr">
        <is>
          <t>0.00</t>
        </is>
      </c>
      <c r="K2660"/>
      <c r="L2660" t="inlineStr">
        <is>
          <t>楚象旗舰店</t>
        </is>
      </c>
      <c r="M2660">
        <v>13000</v>
      </c>
      <c r="N2660">
        <v>4.74</v>
      </c>
      <c r="O2660">
        <v>62000</v>
      </c>
      <c r="P2660" t="inlineStr">
        <is>
          <t>686343493a11a80001c08fdf</t>
        </is>
      </c>
      <c r="Q2660" t="inlineStr">
        <is>
          <t>🚫重复</t>
        </is>
      </c>
      <c r="R2660" t="inlineStr">
        <is>
          <t>14周</t>
        </is>
      </c>
      <c r="S2660" t="inlineStr">
        <is>
          <t>1.92</t>
        </is>
      </c>
      <c r="T2660" t="inlineStr">
        <is>
          <t>家居生活</t>
        </is>
      </c>
      <c r="U2660" t="inlineStr">
        <is>
          <t>家具家装</t>
        </is>
      </c>
      <c r="V2660" s="3">
        <v>46112.78107638889</v>
      </c>
      <c r="W2660" t="inlineStr">
        <is>
          <t>2026-Q1</t>
        </is>
      </c>
    </row>
    <row r="2661" ht="25.5" customHeight="1">
      <c r="A2661" t="inlineStr">
        <is>
          <t>Royo多色蘑菇小夜灯氛围灯生日礼物伴手礼可爱陶瓷夜灯书桌摆件</t>
        </is>
      </c>
      <c r="B2661" t="inlineStr">
        <is>
          <t>recvei9USZaKxW.jpg</t>
        </is>
      </c>
      <c r="C2661" s="2" t="str">
        <f>=HYPERLINK("https://xhslink.com/m/1nQtBArAPKA", "https://xhslink.com/m/1nQtBArAPKA")</f>
        <v>https://xhslink.com/m/1nQtBArAPKA</v>
      </c>
      <c r="D2661"/>
      <c r="E2661">
        <v>18000</v>
      </c>
      <c r="F2661">
        <v>32</v>
      </c>
      <c r="G2661">
        <v>28.16</v>
      </c>
      <c r="H2661">
        <v>100</v>
      </c>
      <c r="I2661" t="inlineStr">
        <is>
          <t>小摆件</t>
        </is>
      </c>
      <c r="J2661" t="inlineStr">
        <is>
          <t>0.01</t>
        </is>
      </c>
      <c r="K2661" t="inlineStr">
        <is>
          <t>🔥低粉爆款</t>
        </is>
      </c>
      <c r="L2661" t="inlineStr">
        <is>
          <t>Royo Life 礼品馆的店</t>
        </is>
      </c>
      <c r="M2661">
        <v>2234</v>
      </c>
      <c r="N2661">
        <v>4.66</v>
      </c>
      <c r="O2661">
        <v>32000</v>
      </c>
      <c r="P2661" t="inlineStr">
        <is>
          <t>6953586c7cad4e0001d68440</t>
        </is>
      </c>
      <c r="Q2661"/>
      <c r="R2661" t="inlineStr">
        <is>
          <t>14周</t>
        </is>
      </c>
      <c r="S2661" t="inlineStr">
        <is>
          <t>8.06</t>
        </is>
      </c>
      <c r="T2661" t="inlineStr">
        <is>
          <t>家居生活</t>
        </is>
      </c>
      <c r="U2661" t="inlineStr">
        <is>
          <t>家具家装</t>
        </is>
      </c>
      <c r="V2661" s="3">
        <v>46112.78107638889</v>
      </c>
      <c r="W2661" t="inlineStr">
        <is>
          <t>2026-Q1</t>
        </is>
      </c>
    </row>
    <row r="2662" ht="25.5" customHeight="1">
      <c r="A2662" t="inlineStr">
        <is>
          <t>【每日仅100单】手作英式司康饼 代糖低卡饱腹早餐孕期零食代餐</t>
        </is>
      </c>
      <c r="B2662" t="inlineStr">
        <is>
          <t>recvei9USZLCt9.jpg</t>
        </is>
      </c>
      <c r="C2662" s="2" t="str">
        <f>=HYPERLINK("https://xhslink.com/m/5eHPOuyc1wR", "https://xhslink.com/m/5eHPOuyc1wR")</f>
        <v>https://xhslink.com/m/5eHPOuyc1wR</v>
      </c>
      <c r="D2662"/>
      <c r="E2662">
        <v>11000</v>
      </c>
      <c r="F2662">
        <v>20.8</v>
      </c>
      <c r="G2662">
        <v>9.9</v>
      </c>
      <c r="H2662">
        <v>100</v>
      </c>
      <c r="I2662" t="inlineStr">
        <is>
          <t>零食</t>
        </is>
      </c>
      <c r="J2662" t="inlineStr">
        <is>
          <t>0.01</t>
        </is>
      </c>
      <c r="K2662"/>
      <c r="L2662" t="inlineStr">
        <is>
          <t>福满多手作面包的店</t>
        </is>
      </c>
      <c r="M2662">
        <v>3745</v>
      </c>
      <c r="N2662">
        <v>4.46</v>
      </c>
      <c r="O2662">
        <v>65000</v>
      </c>
      <c r="P2662" t="inlineStr">
        <is>
          <t>6944f3744423c300019522ae</t>
        </is>
      </c>
      <c r="Q2662" t="inlineStr">
        <is>
          <t>🚫重复</t>
        </is>
      </c>
      <c r="R2662" t="inlineStr">
        <is>
          <t>14周</t>
        </is>
      </c>
      <c r="S2662" t="inlineStr">
        <is>
          <t>2.94</t>
        </is>
      </c>
      <c r="T2662" t="inlineStr">
        <is>
          <t>美食滋补</t>
        </is>
      </c>
      <c r="U2662" t="inlineStr">
        <is>
          <t>休闲零食</t>
        </is>
      </c>
      <c r="V2662" s="3">
        <v>46112.78107638889</v>
      </c>
      <c r="W2662" t="inlineStr">
        <is>
          <t>2026-Q1</t>
        </is>
      </c>
    </row>
    <row r="2663" ht="25.5" customHeight="1">
      <c r="A2663" t="inlineStr">
        <is>
          <t>辣条孕期可吃的麻辣豆皮孕妇零食健康休闲食品小吃营养无添加手工</t>
        </is>
      </c>
      <c r="B2663" t="inlineStr">
        <is>
          <t>recvei9USZBush.jpg</t>
        </is>
      </c>
      <c r="C2663" s="2" t="str">
        <f>=HYPERLINK("https://xhslink.com/m/AJKS0p2peWt", "https://xhslink.com/m/AJKS0p2peWt")</f>
        <v>https://xhslink.com/m/AJKS0p2peWt</v>
      </c>
      <c r="D2663"/>
      <c r="E2663">
        <v>6305</v>
      </c>
      <c r="F2663">
        <v>28.2</v>
      </c>
      <c r="G2663">
        <v>18.2</v>
      </c>
      <c r="H2663">
        <v>100</v>
      </c>
      <c r="I2663" t="inlineStr">
        <is>
          <t>零食</t>
        </is>
      </c>
      <c r="J2663" t="inlineStr">
        <is>
          <t>0.02</t>
        </is>
      </c>
      <c r="K2663"/>
      <c r="L2663" t="inlineStr">
        <is>
          <t>禾果麻麻的店</t>
        </is>
      </c>
      <c r="M2663">
        <v>3011</v>
      </c>
      <c r="N2663">
        <v>4.67</v>
      </c>
      <c r="O2663">
        <v>79000</v>
      </c>
      <c r="P2663" t="inlineStr">
        <is>
          <t>66601035f7984c0001e28b32</t>
        </is>
      </c>
      <c r="Q2663"/>
      <c r="R2663" t="inlineStr">
        <is>
          <t>14周</t>
        </is>
      </c>
      <c r="S2663" t="inlineStr">
        <is>
          <t>2.09</t>
        </is>
      </c>
      <c r="T2663" t="inlineStr">
        <is>
          <t>美食滋补</t>
        </is>
      </c>
      <c r="U2663" t="inlineStr">
        <is>
          <t>休闲零食</t>
        </is>
      </c>
      <c r="V2663" s="3">
        <v>46112.78107638889</v>
      </c>
      <c r="W2663" t="inlineStr">
        <is>
          <t>2026-Q1</t>
        </is>
      </c>
    </row>
    <row r="2664" ht="25.5" customHeight="1">
      <c r="A2664" t="inlineStr">
        <is>
          <t>随机花材草花玫瑰昆明基地每日现采直发</t>
        </is>
      </c>
      <c r="B2664" t="inlineStr">
        <is>
          <t>recvei9USZMmDI.jpg</t>
        </is>
      </c>
      <c r="C2664" s="2" t="str">
        <f>=HYPERLINK("https://xhslink.com/m/8dWzzdXanNY", "https://xhslink.com/m/8dWzzdXanNY")</f>
        <v>https://xhslink.com/m/8dWzzdXanNY</v>
      </c>
      <c r="D2664"/>
      <c r="E2664">
        <v>7651</v>
      </c>
      <c r="F2664">
        <v>22.9</v>
      </c>
      <c r="G2664">
        <v>19.9</v>
      </c>
      <c r="H2664">
        <v>100</v>
      </c>
      <c r="I2664" t="inlineStr">
        <is>
          <t>花花草草</t>
        </is>
      </c>
      <c r="J2664" t="inlineStr">
        <is>
          <t>0.01</t>
        </is>
      </c>
      <c r="K2664" t="inlineStr">
        <is>
          <t>🔥低粉爆款</t>
        </is>
      </c>
      <c r="L2664" t="inlineStr">
        <is>
          <t>云南鲜花与巷尾的店</t>
        </is>
      </c>
      <c r="M2664">
        <v>1863</v>
      </c>
      <c r="N2664">
        <v>3.98</v>
      </c>
      <c r="O2664">
        <v>10000</v>
      </c>
      <c r="P2664" t="inlineStr">
        <is>
          <t>68c42ad8c33f610001401b37</t>
        </is>
      </c>
      <c r="Q2664"/>
      <c r="R2664" t="inlineStr">
        <is>
          <t>14周</t>
        </is>
      </c>
      <c r="S2664" t="inlineStr">
        <is>
          <t>4.11</t>
        </is>
      </c>
      <c r="T2664" t="inlineStr">
        <is>
          <t>家居生活</t>
        </is>
      </c>
      <c r="U2664" t="inlineStr">
        <is>
          <t>家具家装</t>
        </is>
      </c>
      <c r="V2664" s="3">
        <v>46112.78107638889</v>
      </c>
      <c r="W2664" t="inlineStr">
        <is>
          <t>2026-Q1</t>
        </is>
      </c>
    </row>
    <row r="2665" ht="25.5" customHeight="1">
      <c r="A2665" t="inlineStr">
        <is>
          <t>凌丰 · 迷你玲珑高压锅304不锈钢3升防爆20cm按钮小压力锅焖煮锅</t>
        </is>
      </c>
      <c r="B2665" t="inlineStr">
        <is>
          <t>recvei9USZOkBS.jpg</t>
        </is>
      </c>
      <c r="C2665" s="2" t="str">
        <f>=HYPERLINK("https://xhslink.com/m/AITcKhW0luI", "https://xhslink.com/m/AITcKhW0luI")</f>
        <v>https://xhslink.com/m/AITcKhW0luI</v>
      </c>
      <c r="D2665"/>
      <c r="E2665">
        <v>10000</v>
      </c>
      <c r="F2665">
        <v>399</v>
      </c>
      <c r="G2665"/>
      <c r="H2665">
        <v>100</v>
      </c>
      <c r="I2665" t="inlineStr">
        <is>
          <t>家用</t>
        </is>
      </c>
      <c r="J2665" t="inlineStr">
        <is>
          <t>0.01</t>
        </is>
      </c>
      <c r="K2665"/>
      <c r="L2665" t="inlineStr">
        <is>
          <t>凌丰烹饪用具旗舰店</t>
        </is>
      </c>
      <c r="M2665">
        <v>15000</v>
      </c>
      <c r="N2665">
        <v>4.64</v>
      </c>
      <c r="O2665">
        <v>12000</v>
      </c>
      <c r="P2665" t="inlineStr">
        <is>
          <t>66eaeba3afa1e9000194378d</t>
        </is>
      </c>
      <c r="Q2665"/>
      <c r="R2665" t="inlineStr">
        <is>
          <t>14周</t>
        </is>
      </c>
      <c r="S2665" t="inlineStr">
        <is>
          <t>0.67</t>
        </is>
      </c>
      <c r="T2665" t="inlineStr">
        <is>
          <t>家居生活</t>
        </is>
      </c>
      <c r="U2665" t="inlineStr">
        <is>
          <t>厨房餐饮</t>
        </is>
      </c>
      <c r="V2665" s="3">
        <v>46112.78107638889</v>
      </c>
      <c r="W2665" t="inlineStr">
        <is>
          <t>2026-Q1</t>
        </is>
      </c>
    </row>
    <row r="2666" ht="25.5" customHeight="1">
      <c r="A2666" t="inlineStr">
        <is>
          <t>花梨木整木菜板实心整木原木原色健康砧板厨房无漆无蜡无醛双面用</t>
        </is>
      </c>
      <c r="B2666" t="inlineStr">
        <is>
          <t>recvei9USZEH0F.jpg</t>
        </is>
      </c>
      <c r="C2666" s="2" t="str">
        <f>=HYPERLINK("https://xhslink.com/m/9b0bRI5ppTk", "https://xhslink.com/m/9b0bRI5ppTk")</f>
        <v>https://xhslink.com/m/9b0bRI5ppTk</v>
      </c>
      <c r="D2666"/>
      <c r="E2666">
        <v>2980</v>
      </c>
      <c r="F2666">
        <v>218</v>
      </c>
      <c r="G2666">
        <v>153</v>
      </c>
      <c r="H2666">
        <v>100</v>
      </c>
      <c r="I2666" t="inlineStr">
        <is>
          <t>厨房用品</t>
        </is>
      </c>
      <c r="J2666" t="inlineStr">
        <is>
          <t>0.03</t>
        </is>
      </c>
      <c r="K2666"/>
      <c r="L2666" t="inlineStr">
        <is>
          <t>东逸整木菜板的店</t>
        </is>
      </c>
      <c r="M2666">
        <v>5606</v>
      </c>
      <c r="N2666">
        <v>4.69</v>
      </c>
      <c r="O2666">
        <v>3508</v>
      </c>
      <c r="P2666" t="inlineStr">
        <is>
          <t>6863a14d8823690001327d10</t>
        </is>
      </c>
      <c r="Q2666" t="inlineStr">
        <is>
          <t>🚫重复</t>
        </is>
      </c>
      <c r="R2666" t="inlineStr">
        <is>
          <t>14周</t>
        </is>
      </c>
      <c r="S2666" t="inlineStr">
        <is>
          <t>0.53</t>
        </is>
      </c>
      <c r="T2666" t="inlineStr">
        <is>
          <t>家居生活</t>
        </is>
      </c>
      <c r="U2666" t="inlineStr">
        <is>
          <t>厨房餐饮</t>
        </is>
      </c>
      <c r="V2666" s="3">
        <v>46112.78107638889</v>
      </c>
      <c r="W2666" t="inlineStr">
        <is>
          <t>2026-Q1</t>
        </is>
      </c>
    </row>
    <row r="2667" ht="25.5" customHeight="1">
      <c r="A2667" t="inlineStr">
        <is>
          <t>樱花家立豆勺子拼豆必备工具2.6mm适用</t>
        </is>
      </c>
      <c r="B2667" t="inlineStr">
        <is>
          <t>recvei9USZzYnI.jpg</t>
        </is>
      </c>
      <c r="C2667" s="2" t="str">
        <f>=HYPERLINK("https://xhslink.com/m/WAuMbWyk72", "https://xhslink.com/m/WAuMbWyk72")</f>
        <v>https://xhslink.com/m/WAuMbWyk72</v>
      </c>
      <c r="D2667"/>
      <c r="E2667">
        <v>4320</v>
      </c>
      <c r="F2667">
        <v>2</v>
      </c>
      <c r="G2667">
        <v>1</v>
      </c>
      <c r="H2667">
        <v>100</v>
      </c>
      <c r="I2667" t="inlineStr">
        <is>
          <t>厨房用品</t>
        </is>
      </c>
      <c r="J2667" t="inlineStr">
        <is>
          <t>0.02</t>
        </is>
      </c>
      <c r="K2667" t="inlineStr">
        <is>
          <t>🔥低粉爆款</t>
        </is>
      </c>
      <c r="L2667" t="inlineStr">
        <is>
          <t>樱花造物的店</t>
        </is>
      </c>
      <c r="M2667">
        <v>303</v>
      </c>
      <c r="N2667">
        <v>4.47</v>
      </c>
      <c r="O2667">
        <v>14000</v>
      </c>
      <c r="P2667" t="inlineStr">
        <is>
          <t>6965c90b01cb1a0001d3fc8e</t>
        </is>
      </c>
      <c r="Q2667"/>
      <c r="R2667" t="inlineStr">
        <is>
          <t>14周</t>
        </is>
      </c>
      <c r="S2667" t="inlineStr">
        <is>
          <t>14.26</t>
        </is>
      </c>
      <c r="T2667" t="inlineStr">
        <is>
          <t>家居生活</t>
        </is>
      </c>
      <c r="U2667" t="inlineStr">
        <is>
          <t>厨房餐饮</t>
        </is>
      </c>
      <c r="V2667" s="3">
        <v>46112.78107638889</v>
      </c>
      <c r="W2667" t="inlineStr">
        <is>
          <t>2026-Q1</t>
        </is>
      </c>
    </row>
    <row r="2668" ht="25.5" customHeight="1">
      <c r="A2668" t="inlineStr">
        <is>
          <t>香雪兰云南直发基地新鲜采摘新鲜好闻</t>
        </is>
      </c>
      <c r="B2668" t="inlineStr">
        <is>
          <t>recvei9USZEfcO.jpg</t>
        </is>
      </c>
      <c r="C2668" s="2" t="str">
        <f>=HYPERLINK("https://xhslink.com/m/7cZ3Aer9SKJ", "https://xhslink.com/m/7cZ3Aer9SKJ")</f>
        <v>https://xhslink.com/m/7cZ3Aer9SKJ</v>
      </c>
      <c r="D2668"/>
      <c r="E2668">
        <v>8703</v>
      </c>
      <c r="F2668">
        <v>39.8</v>
      </c>
      <c r="G2668">
        <v>35</v>
      </c>
      <c r="H2668">
        <v>100</v>
      </c>
      <c r="I2668" t="inlineStr">
        <is>
          <t>绿植</t>
        </is>
      </c>
      <c r="J2668" t="inlineStr">
        <is>
          <t>0.01</t>
        </is>
      </c>
      <c r="K2668"/>
      <c r="L2668" t="inlineStr">
        <is>
          <t>云南花庭鲜花店的店</t>
        </is>
      </c>
      <c r="M2668">
        <v>71000</v>
      </c>
      <c r="N2668">
        <v>4.62</v>
      </c>
      <c r="O2668">
        <v>180000</v>
      </c>
      <c r="P2668" t="inlineStr">
        <is>
          <t>679e1f9829b9f7000106c044</t>
        </is>
      </c>
      <c r="Q2668" t="inlineStr">
        <is>
          <t>🚫重复</t>
        </is>
      </c>
      <c r="R2668" t="inlineStr">
        <is>
          <t>14周</t>
        </is>
      </c>
      <c r="S2668" t="inlineStr">
        <is>
          <t>0.12</t>
        </is>
      </c>
      <c r="T2668" t="inlineStr">
        <is>
          <t>家居生活</t>
        </is>
      </c>
      <c r="U2668" t="inlineStr">
        <is>
          <t>家具家装</t>
        </is>
      </c>
      <c r="V2668" s="3">
        <v>46112.78107638889</v>
      </c>
      <c r="W2668" t="inlineStr">
        <is>
          <t>2026-Q1</t>
        </is>
      </c>
    </row>
    <row r="2669" ht="25.5" customHeight="1">
      <c r="A2669" t="inlineStr">
        <is>
          <t>亏本价 苗很好 2个花剑 【盲盒】蝴蝶兰都是好品种</t>
        </is>
      </c>
      <c r="B2669" t="inlineStr">
        <is>
          <t>recvei9USZ442z.jpg</t>
        </is>
      </c>
      <c r="C2669" s="2" t="str">
        <f>=HYPERLINK("https://xhslink.com/m/48WX11QiShn", "https://xhslink.com/m/48WX11QiShn")</f>
        <v>https://xhslink.com/m/48WX11QiShn</v>
      </c>
      <c r="D2669"/>
      <c r="E2669">
        <v>5386</v>
      </c>
      <c r="F2669">
        <v>16.8</v>
      </c>
      <c r="G2669"/>
      <c r="H2669">
        <v>100</v>
      </c>
      <c r="I2669" t="inlineStr">
        <is>
          <t>绿植</t>
        </is>
      </c>
      <c r="J2669" t="inlineStr">
        <is>
          <t>0.02</t>
        </is>
      </c>
      <c r="K2669"/>
      <c r="L2669" t="inlineStr">
        <is>
          <t>梦绘卷花卉的店</t>
        </is>
      </c>
      <c r="M2669">
        <v>48000</v>
      </c>
      <c r="N2669">
        <v>4.63</v>
      </c>
      <c r="O2669">
        <v>319000</v>
      </c>
      <c r="P2669" t="inlineStr">
        <is>
          <t>69aa3c724a35340001944230</t>
        </is>
      </c>
      <c r="Q2669"/>
      <c r="R2669" t="inlineStr">
        <is>
          <t>14周</t>
        </is>
      </c>
      <c r="S2669" t="inlineStr">
        <is>
          <t>0.11</t>
        </is>
      </c>
      <c r="T2669" t="inlineStr">
        <is>
          <t>运动潮玩</t>
        </is>
      </c>
      <c r="U2669" t="inlineStr">
        <is>
          <t>潮玩手办</t>
        </is>
      </c>
      <c r="V2669" s="3">
        <v>46112.78107638889</v>
      </c>
      <c r="W2669" t="inlineStr">
        <is>
          <t>2026-Q1</t>
        </is>
      </c>
    </row>
    <row r="2670" ht="25.5" customHeight="1">
      <c r="A2670" t="inlineStr">
        <is>
          <t>花言几木 · 小众威士忌梨香薰蜡烛悦己暖心治愈</t>
        </is>
      </c>
      <c r="B2670" t="inlineStr">
        <is>
          <t>recvei9USZu48o.jpg</t>
        </is>
      </c>
      <c r="C2670" s="2" t="str">
        <f>=HYPERLINK("https://xhslink.com/m/6C4uaHTRl5G", "https://xhslink.com/m/6C4uaHTRl5G")</f>
        <v>https://xhslink.com/m/6C4uaHTRl5G</v>
      </c>
      <c r="D2670"/>
      <c r="E2670">
        <v>41000</v>
      </c>
      <c r="F2670">
        <v>83.2</v>
      </c>
      <c r="G2670">
        <v>36.94</v>
      </c>
      <c r="H2670">
        <v>100</v>
      </c>
      <c r="I2670" t="inlineStr">
        <is>
          <t>香薰</t>
        </is>
      </c>
      <c r="J2670" t="inlineStr">
        <is>
          <t>0.00</t>
        </is>
      </c>
      <c r="K2670" t="inlineStr">
        <is>
          <t>🔥低粉爆款</t>
        </is>
      </c>
      <c r="L2670" t="inlineStr">
        <is>
          <t>Mood land 花言几木的店</t>
        </is>
      </c>
      <c r="M2670">
        <v>5856</v>
      </c>
      <c r="N2670">
        <v>4.66</v>
      </c>
      <c r="O2670">
        <v>43000</v>
      </c>
      <c r="P2670" t="inlineStr">
        <is>
          <t>6826f944557b38000173d1ee</t>
        </is>
      </c>
      <c r="Q2670" t="inlineStr">
        <is>
          <t>🚫重复</t>
        </is>
      </c>
      <c r="R2670" t="inlineStr">
        <is>
          <t>14周</t>
        </is>
      </c>
      <c r="S2670" t="inlineStr">
        <is>
          <t>7.00</t>
        </is>
      </c>
      <c r="T2670" t="inlineStr">
        <is>
          <t>家居生活</t>
        </is>
      </c>
      <c r="U2670" t="inlineStr">
        <is>
          <t>家居日用</t>
        </is>
      </c>
      <c r="V2670" s="3">
        <v>46112.78107638889</v>
      </c>
      <c r="W2670" t="inlineStr">
        <is>
          <t>2026-Q1</t>
        </is>
      </c>
    </row>
    <row r="2671" ht="25.5" customHeight="1">
      <c r="A2671" t="inlineStr">
        <is>
          <t>KINSCOTER · 壁炉仿真火焰香薰机小型家用加湿器逼真火焰夜灯桌面摆件创意礼物</t>
        </is>
      </c>
      <c r="B2671" t="inlineStr">
        <is>
          <t>recvei9USZEFTq.jpg</t>
        </is>
      </c>
      <c r="C2671" s="2" t="str">
        <f>=HYPERLINK("https://xhslink.com/m/1Q1j4VlDNKy", "https://xhslink.com/m/1Q1j4VlDNKy")</f>
        <v>https://xhslink.com/m/1Q1j4VlDNKy</v>
      </c>
      <c r="D2671"/>
      <c r="E2671">
        <v>26000</v>
      </c>
      <c r="F2671">
        <v>183</v>
      </c>
      <c r="G2671">
        <v>105</v>
      </c>
      <c r="H2671">
        <v>100</v>
      </c>
      <c r="I2671" t="inlineStr">
        <is>
          <t>香薰</t>
        </is>
      </c>
      <c r="J2671" t="inlineStr">
        <is>
          <t>0.00</t>
        </is>
      </c>
      <c r="K2671"/>
      <c r="L2671" t="inlineStr">
        <is>
          <t>KINSCOTER旗舰店</t>
        </is>
      </c>
      <c r="M2671">
        <v>13000</v>
      </c>
      <c r="N2671">
        <v>4.61</v>
      </c>
      <c r="O2671">
        <v>68000</v>
      </c>
      <c r="P2671" t="inlineStr">
        <is>
          <t>670cac818642640001a04b44</t>
        </is>
      </c>
      <c r="Q2671"/>
      <c r="R2671" t="inlineStr">
        <is>
          <t>14周</t>
        </is>
      </c>
      <c r="S2671" t="inlineStr">
        <is>
          <t>2.00</t>
        </is>
      </c>
      <c r="T2671" t="inlineStr">
        <is>
          <t>家居生活</t>
        </is>
      </c>
      <c r="U2671" t="inlineStr">
        <is>
          <t>家居日用</t>
        </is>
      </c>
      <c r="V2671" s="3">
        <v>46112.78107638889</v>
      </c>
      <c r="W2671" t="inlineStr">
        <is>
          <t>2026-Q1</t>
        </is>
      </c>
    </row>
    <row r="2672" ht="25.5" customHeight="1">
      <c r="A2672" t="inlineStr">
        <is>
          <t>阿济格 · 澳洲谷饲牛肋条2号（4肥6瘦），适合烧烤烤肉</t>
        </is>
      </c>
      <c r="B2672" t="inlineStr">
        <is>
          <t>recvei9USZ5LGF.jpg</t>
        </is>
      </c>
      <c r="C2672" s="2" t="str">
        <f>=HYPERLINK("https://xhslink.com/m/2PdrzEi6URN", "https://xhslink.com/m/2PdrzEi6URN")</f>
        <v>https://xhslink.com/m/2PdrzEi6URN</v>
      </c>
      <c r="D2672"/>
      <c r="E2672">
        <v>2869</v>
      </c>
      <c r="F2672">
        <v>178</v>
      </c>
      <c r="G2672">
        <v>113</v>
      </c>
      <c r="H2672">
        <v>100</v>
      </c>
      <c r="I2672" t="inlineStr">
        <is>
          <t>生鲜</t>
        </is>
      </c>
      <c r="J2672" t="inlineStr">
        <is>
          <t>0.03</t>
        </is>
      </c>
      <c r="K2672"/>
      <c r="L2672" t="inlineStr">
        <is>
          <t>东北烧烤食材（老孟）的店</t>
        </is>
      </c>
      <c r="M2672">
        <v>46000</v>
      </c>
      <c r="N2672">
        <v>4.68</v>
      </c>
      <c r="O2672">
        <v>114000</v>
      </c>
      <c r="P2672" t="inlineStr">
        <is>
          <t>66519529bd701600013c825d</t>
        </is>
      </c>
      <c r="Q2672"/>
      <c r="R2672" t="inlineStr">
        <is>
          <t>14周</t>
        </is>
      </c>
      <c r="S2672" t="inlineStr">
        <is>
          <t>0.06</t>
        </is>
      </c>
      <c r="T2672" t="inlineStr">
        <is>
          <t>美食滋补</t>
        </is>
      </c>
      <c r="U2672" t="inlineStr">
        <is>
          <t>生鲜特产</t>
        </is>
      </c>
      <c r="V2672" s="3">
        <v>46112.78107638889</v>
      </c>
      <c r="W2672" t="inlineStr">
        <is>
          <t>2026-Q1</t>
        </is>
      </c>
    </row>
    <row r="2673" ht="25.5" customHeight="1">
      <c r="A2673" t="inlineStr">
        <is>
          <t>9.9r包邮文创set盲盒</t>
        </is>
      </c>
      <c r="B2673" t="inlineStr">
        <is>
          <t>recvei9USZphNl.jpg</t>
        </is>
      </c>
      <c r="C2673" s="2" t="str">
        <f>=HYPERLINK("https://xhslink.com/m/81vccTJrweB", "https://xhslink.com/m/81vccTJrweB")</f>
        <v>https://xhslink.com/m/81vccTJrweB</v>
      </c>
      <c r="D2673"/>
      <c r="E2673">
        <v>1090</v>
      </c>
      <c r="F2673">
        <v>9.9</v>
      </c>
      <c r="G2673"/>
      <c r="H2673">
        <v>100</v>
      </c>
      <c r="I2673" t="inlineStr">
        <is>
          <t>摆件</t>
        </is>
      </c>
      <c r="J2673" t="inlineStr">
        <is>
          <t>0.09</t>
        </is>
      </c>
      <c r="K2673"/>
      <c r="L2673" t="inlineStr">
        <is>
          <t>小汤不吃香菜🍀的店</t>
        </is>
      </c>
      <c r="M2673">
        <v>5461</v>
      </c>
      <c r="N2673">
        <v>4.56</v>
      </c>
      <c r="O2673">
        <v>10000</v>
      </c>
      <c r="P2673" t="inlineStr">
        <is>
          <t>68f5a0617d3b3f00014db5da</t>
        </is>
      </c>
      <c r="Q2673"/>
      <c r="R2673" t="inlineStr">
        <is>
          <t>14周</t>
        </is>
      </c>
      <c r="S2673" t="inlineStr">
        <is>
          <t>0.20</t>
        </is>
      </c>
      <c r="T2673" t="inlineStr">
        <is>
          <t>运动潮玩</t>
        </is>
      </c>
      <c r="U2673" t="inlineStr">
        <is>
          <t>潮玩手办</t>
        </is>
      </c>
      <c r="V2673" s="3">
        <v>46112.78107638889</v>
      </c>
      <c r="W2673" t="inlineStr">
        <is>
          <t>2026-Q1</t>
        </is>
      </c>
    </row>
    <row r="2674" ht="25.5" customHeight="1">
      <c r="A2674" t="inlineStr">
        <is>
          <t>六行增运福币夺金招财进宝六联框人民币保存收藏相框画框摆件装饰</t>
        </is>
      </c>
      <c r="B2674" t="inlineStr">
        <is>
          <t>recvei9USZuudh.jpg</t>
        </is>
      </c>
      <c r="C2674" s="2" t="str">
        <f>=HYPERLINK("https://xhslink.com/m/872t0iVvqdr", "https://xhslink.com/m/872t0iVvqdr")</f>
        <v>https://xhslink.com/m/872t0iVvqdr</v>
      </c>
      <c r="D2674"/>
      <c r="E2674">
        <v>199000</v>
      </c>
      <c r="F2674">
        <v>19.89</v>
      </c>
      <c r="G2674">
        <v>9.89</v>
      </c>
      <c r="H2674">
        <v>100</v>
      </c>
      <c r="I2674" t="inlineStr">
        <is>
          <t>家居</t>
        </is>
      </c>
      <c r="J2674" t="inlineStr">
        <is>
          <t>0.00</t>
        </is>
      </c>
      <c r="K2674" t="inlineStr">
        <is>
          <t>🔥低粉爆款</t>
        </is>
      </c>
      <c r="L2674" t="inlineStr">
        <is>
          <t>大胖发财的店</t>
        </is>
      </c>
      <c r="M2674">
        <v>2040</v>
      </c>
      <c r="N2674">
        <v>4.58</v>
      </c>
      <c r="O2674">
        <v>336000</v>
      </c>
      <c r="P2674" t="inlineStr">
        <is>
          <t>690da117a113c80001a5902e</t>
        </is>
      </c>
      <c r="Q2674"/>
      <c r="R2674" t="inlineStr">
        <is>
          <t>14周</t>
        </is>
      </c>
      <c r="S2674" t="inlineStr">
        <is>
          <t>97.55</t>
        </is>
      </c>
      <c r="T2674" t="inlineStr">
        <is>
          <t>家居生活</t>
        </is>
      </c>
      <c r="U2674" t="inlineStr">
        <is>
          <t>家具家装</t>
        </is>
      </c>
      <c r="V2674" s="3">
        <v>46112.78107638889</v>
      </c>
      <c r="W2674" t="inlineStr">
        <is>
          <t>2026-Q1</t>
        </is>
      </c>
    </row>
    <row r="2675" ht="25.5" customHeight="1">
      <c r="A2675" t="inlineStr">
        <is>
          <t>全身镜子穿衣镜家用落地镜卧室简约宿舍壁挂化妆挂墙立式试衣镜</t>
        </is>
      </c>
      <c r="B2675" t="inlineStr">
        <is>
          <t>recvei9USZdDCt.jpg</t>
        </is>
      </c>
      <c r="C2675" s="2" t="str">
        <f>=HYPERLINK("https://xhslink.com/m/9gBs9CvNB4s", "https://xhslink.com/m/9gBs9CvNB4s")</f>
        <v>https://xhslink.com/m/9gBs9CvNB4s</v>
      </c>
      <c r="D2675"/>
      <c r="E2675">
        <v>28000</v>
      </c>
      <c r="F2675">
        <v>19</v>
      </c>
      <c r="G2675">
        <v>13.9</v>
      </c>
      <c r="H2675">
        <v>100</v>
      </c>
      <c r="I2675" t="inlineStr">
        <is>
          <t>家居</t>
        </is>
      </c>
      <c r="J2675" t="inlineStr">
        <is>
          <t>0.00</t>
        </is>
      </c>
      <c r="K2675" t="inlineStr">
        <is>
          <t>🔥低粉爆款</t>
        </is>
      </c>
      <c r="L2675" t="inlineStr">
        <is>
          <t>Strive Rich家居的店</t>
        </is>
      </c>
      <c r="M2675">
        <v>8884</v>
      </c>
      <c r="N2675">
        <v>4.47</v>
      </c>
      <c r="O2675">
        <v>55000</v>
      </c>
      <c r="P2675" t="inlineStr">
        <is>
          <t>6787e3d3117915000162409d</t>
        </is>
      </c>
      <c r="Q2675"/>
      <c r="R2675" t="inlineStr">
        <is>
          <t>14周</t>
        </is>
      </c>
      <c r="S2675" t="inlineStr">
        <is>
          <t>3.15</t>
        </is>
      </c>
      <c r="T2675" t="inlineStr">
        <is>
          <t>家居生活</t>
        </is>
      </c>
      <c r="U2675" t="inlineStr">
        <is>
          <t>家具家装</t>
        </is>
      </c>
      <c r="V2675" s="3">
        <v>46112.78107638889</v>
      </c>
      <c r="W2675" t="inlineStr">
        <is>
          <t>2026-Q1</t>
        </is>
      </c>
    </row>
    <row r="2676" ht="25.5" customHeight="1">
      <c r="A2676" t="inlineStr">
        <is>
          <t>福利品！！小粉家の自制巨无霸全棉有氧双层纱长条抱枕！！</t>
        </is>
      </c>
      <c r="B2676" t="inlineStr">
        <is>
          <t>recvei9USZEuUp.jpg</t>
        </is>
      </c>
      <c r="C2676" s="2" t="str">
        <f>=HYPERLINK("https://xhslink.com/m/1BpyVguUqtm", "https://xhslink.com/m/1BpyVguUqtm")</f>
        <v>https://xhslink.com/m/1BpyVguUqtm</v>
      </c>
      <c r="D2676"/>
      <c r="E2676">
        <v>66000</v>
      </c>
      <c r="F2676">
        <v>49</v>
      </c>
      <c r="G2676">
        <v>39</v>
      </c>
      <c r="H2676">
        <v>100</v>
      </c>
      <c r="I2676" t="inlineStr">
        <is>
          <t>家居</t>
        </is>
      </c>
      <c r="J2676" t="inlineStr">
        <is>
          <t>0.00</t>
        </is>
      </c>
      <c r="K2676"/>
      <c r="L2676" t="inlineStr">
        <is>
          <t>小粉家居的店</t>
        </is>
      </c>
      <c r="M2676">
        <v>127000</v>
      </c>
      <c r="N2676">
        <v>4.65</v>
      </c>
      <c r="O2676">
        <v>404000</v>
      </c>
      <c r="P2676" t="inlineStr">
        <is>
          <t>684944aef89aa5000124edf2</t>
        </is>
      </c>
      <c r="Q2676"/>
      <c r="R2676" t="inlineStr">
        <is>
          <t>14周</t>
        </is>
      </c>
      <c r="S2676" t="inlineStr">
        <is>
          <t>0.52</t>
        </is>
      </c>
      <c r="T2676" t="inlineStr">
        <is>
          <t>家居生活</t>
        </is>
      </c>
      <c r="U2676" t="inlineStr">
        <is>
          <t>家居日用</t>
        </is>
      </c>
      <c r="V2676" s="3">
        <v>46112.78107638889</v>
      </c>
      <c r="W2676" t="inlineStr">
        <is>
          <t>2026-Q1</t>
        </is>
      </c>
    </row>
    <row r="2677" ht="25.5" customHeight="1">
      <c r="A2677" t="inlineStr">
        <is>
          <t>源头工厂！全棉纯棉双层纱100棉学生春夏四季四件套</t>
        </is>
      </c>
      <c r="B2677" t="inlineStr">
        <is>
          <t>recvei9USZKYh8.jpg</t>
        </is>
      </c>
      <c r="C2677" s="2" t="str">
        <f>=HYPERLINK("https://xhslink.com/m/6m0xolZs8u2", "https://xhslink.com/m/6m0xolZs8u2")</f>
        <v>https://xhslink.com/m/6m0xolZs8u2</v>
      </c>
      <c r="D2677"/>
      <c r="E2677">
        <v>7400</v>
      </c>
      <c r="F2677">
        <v>268</v>
      </c>
      <c r="G2677">
        <v>153</v>
      </c>
      <c r="H2677">
        <v>100</v>
      </c>
      <c r="I2677" t="inlineStr">
        <is>
          <t>家居</t>
        </is>
      </c>
      <c r="J2677" t="inlineStr">
        <is>
          <t>0.01</t>
        </is>
      </c>
      <c r="K2677"/>
      <c r="L2677" t="inlineStr">
        <is>
          <t>小黄的床品四件套的店</t>
        </is>
      </c>
      <c r="M2677">
        <v>51000</v>
      </c>
      <c r="N2677">
        <v>4.55</v>
      </c>
      <c r="O2677">
        <v>373000</v>
      </c>
      <c r="P2677" t="inlineStr">
        <is>
          <t>67b1731beef182000105e942</t>
        </is>
      </c>
      <c r="Q2677"/>
      <c r="R2677" t="inlineStr">
        <is>
          <t>14周</t>
        </is>
      </c>
      <c r="S2677" t="inlineStr">
        <is>
          <t>0.15</t>
        </is>
      </c>
      <c r="T2677" t="inlineStr">
        <is>
          <t>家居生活</t>
        </is>
      </c>
      <c r="U2677" t="inlineStr">
        <is>
          <t>家居日用</t>
        </is>
      </c>
      <c r="V2677" s="3">
        <v>46112.78107638889</v>
      </c>
      <c r="W2677" t="inlineStr">
        <is>
          <t>2026-Q1</t>
        </is>
      </c>
    </row>
    <row r="2678" ht="25.5" customHeight="1">
      <c r="A2678" t="inlineStr">
        <is>
          <t>顺丰物流-星星【彩虹独角兽】变色款3.0寸杯（开放度低多花苞）</t>
        </is>
      </c>
      <c r="B2678" t="inlineStr">
        <is>
          <t>recvei9USZIh8Q.jpg</t>
        </is>
      </c>
      <c r="C2678" s="2" t="str">
        <f>=HYPERLINK("https://xhslink.com/m/9Mb87sZq9F8", "https://xhslink.com/m/9Mb87sZq9F8")</f>
        <v>https://xhslink.com/m/9Mb87sZq9F8</v>
      </c>
      <c r="D2678"/>
      <c r="E2678">
        <v>2164</v>
      </c>
      <c r="F2678">
        <v>45.8</v>
      </c>
      <c r="G2678"/>
      <c r="H2678">
        <v>100</v>
      </c>
      <c r="I2678" t="inlineStr">
        <is>
          <t>家居</t>
        </is>
      </c>
      <c r="J2678" t="inlineStr">
        <is>
          <t>0.05</t>
        </is>
      </c>
      <c r="K2678"/>
      <c r="L2678" t="inlineStr">
        <is>
          <t>星星蝴蝶兰的店</t>
        </is>
      </c>
      <c r="M2678">
        <v>32000</v>
      </c>
      <c r="N2678">
        <v>4.52</v>
      </c>
      <c r="O2678">
        <v>59000</v>
      </c>
      <c r="P2678" t="inlineStr">
        <is>
          <t>69675b47ac636e0001fd77b2</t>
        </is>
      </c>
      <c r="Q2678" t="inlineStr">
        <is>
          <t>🚫重复</t>
        </is>
      </c>
      <c r="R2678" t="inlineStr">
        <is>
          <t>14周</t>
        </is>
      </c>
      <c r="S2678" t="inlineStr">
        <is>
          <t>0.07</t>
        </is>
      </c>
      <c r="T2678" t="inlineStr">
        <is>
          <t>家居生活</t>
        </is>
      </c>
      <c r="U2678" t="inlineStr">
        <is>
          <t>厨房餐饮</t>
        </is>
      </c>
      <c r="V2678" s="3">
        <v>46112.78107638889</v>
      </c>
      <c r="W2678" t="inlineStr">
        <is>
          <t>2026-Q1</t>
        </is>
      </c>
    </row>
    <row r="2679" ht="25.5" customHeight="1">
      <c r="A2679" t="inlineStr">
        <is>
          <t>觉轻松 · 夜猫枕头玩手机枕头记忆棉枕头护颈椎分区枕枕芯笔记推荐</t>
        </is>
      </c>
      <c r="B2679" t="inlineStr">
        <is>
          <t>recvei9USZULAZ.jpg</t>
        </is>
      </c>
      <c r="C2679" s="2" t="str">
        <f>=HYPERLINK("https://xhslink.com/m/1ihDzJUoEFr", "https://xhslink.com/m/1ihDzJUoEFr")</f>
        <v>https://xhslink.com/m/1ihDzJUoEFr</v>
      </c>
      <c r="D2679"/>
      <c r="E2679">
        <v>3800</v>
      </c>
      <c r="F2679">
        <v>425</v>
      </c>
      <c r="G2679">
        <v>281</v>
      </c>
      <c r="H2679">
        <v>100</v>
      </c>
      <c r="I2679" t="inlineStr">
        <is>
          <t>家居</t>
        </is>
      </c>
      <c r="J2679" t="inlineStr">
        <is>
          <t>0.03</t>
        </is>
      </c>
      <c r="K2679"/>
      <c r="L2679" t="inlineStr">
        <is>
          <t>觉轻松旗舰店</t>
        </is>
      </c>
      <c r="M2679">
        <v>12000</v>
      </c>
      <c r="N2679">
        <v>4.73</v>
      </c>
      <c r="O2679">
        <v>58000</v>
      </c>
      <c r="P2679" t="inlineStr">
        <is>
          <t>66e2993eafa1e900018ca7ee</t>
        </is>
      </c>
      <c r="Q2679"/>
      <c r="R2679" t="inlineStr">
        <is>
          <t>14周</t>
        </is>
      </c>
      <c r="S2679" t="inlineStr">
        <is>
          <t>0.32</t>
        </is>
      </c>
      <c r="T2679" t="inlineStr">
        <is>
          <t>运动潮玩</t>
        </is>
      </c>
      <c r="U2679" t="inlineStr">
        <is>
          <t>图书文创</t>
        </is>
      </c>
      <c r="V2679" s="3">
        <v>46112.78107638889</v>
      </c>
      <c r="W2679" t="inlineStr">
        <is>
          <t>2026-Q1</t>
        </is>
      </c>
    </row>
    <row r="2680" ht="25.5" customHeight="1">
      <c r="A2680" t="inlineStr">
        <is>
          <t>【家的里物】2026新款法式ins风碎花四件套少女心床单被套四件套</t>
        </is>
      </c>
      <c r="B2680" t="inlineStr">
        <is>
          <t>recvei9USZy5SM.jpg</t>
        </is>
      </c>
      <c r="C2680" s="2" t="str">
        <f>=HYPERLINK("https://xhslink.com/m/3XNETmVsIR9", "https://xhslink.com/m/3XNETmVsIR9")</f>
        <v>https://xhslink.com/m/3XNETmVsIR9</v>
      </c>
      <c r="D2680"/>
      <c r="E2680">
        <v>1271</v>
      </c>
      <c r="F2680">
        <v>79.9</v>
      </c>
      <c r="G2680">
        <v>56.9</v>
      </c>
      <c r="H2680">
        <v>100</v>
      </c>
      <c r="I2680" t="inlineStr">
        <is>
          <t>家居</t>
        </is>
      </c>
      <c r="J2680" t="inlineStr">
        <is>
          <t>0.08</t>
        </is>
      </c>
      <c r="K2680" t="inlineStr">
        <is>
          <t>🔥低粉爆款</t>
        </is>
      </c>
      <c r="L2680" t="inlineStr">
        <is>
          <t>家的里物家居丨群溯的店</t>
        </is>
      </c>
      <c r="M2680">
        <v>368</v>
      </c>
      <c r="N2680">
        <v>4.58</v>
      </c>
      <c r="O2680">
        <v>1325</v>
      </c>
      <c r="P2680" t="inlineStr">
        <is>
          <t>695b39bfc43df9000116b4df</t>
        </is>
      </c>
      <c r="Q2680"/>
      <c r="R2680" t="inlineStr">
        <is>
          <t>14周</t>
        </is>
      </c>
      <c r="S2680" t="inlineStr">
        <is>
          <t>3.45</t>
        </is>
      </c>
      <c r="T2680" t="inlineStr">
        <is>
          <t>家居生活</t>
        </is>
      </c>
      <c r="U2680" t="inlineStr">
        <is>
          <t>家居日用</t>
        </is>
      </c>
      <c r="V2680" s="3">
        <v>46112.78107638889</v>
      </c>
      <c r="W2680" t="inlineStr">
        <is>
          <t>2026-Q1</t>
        </is>
      </c>
    </row>
    <row r="2681" ht="25.5" customHeight="1">
      <c r="A2681" t="inlineStr">
        <is>
          <t>永璞 · 可折叠收纳篮多功能桌面收纳零食 玩具 护肤品</t>
        </is>
      </c>
      <c r="B2681" t="inlineStr">
        <is>
          <t>recvei9USZ99Zj.jpg</t>
        </is>
      </c>
      <c r="C2681" s="2" t="str">
        <f>=HYPERLINK("https://xhslink.com/m/2EehJWtvnEZ", "https://xhslink.com/m/2EehJWtvnEZ")</f>
        <v>https://xhslink.com/m/2EehJWtvnEZ</v>
      </c>
      <c r="D2681"/>
      <c r="E2681">
        <v>20000</v>
      </c>
      <c r="F2681">
        <v>59.9</v>
      </c>
      <c r="G2681">
        <v>29.9</v>
      </c>
      <c r="H2681">
        <v>100</v>
      </c>
      <c r="I2681" t="inlineStr">
        <is>
          <t>家居</t>
        </is>
      </c>
      <c r="J2681" t="inlineStr">
        <is>
          <t>0.01</t>
        </is>
      </c>
      <c r="K2681"/>
      <c r="L2681" t="inlineStr">
        <is>
          <t>永璞咖啡旗舰店</t>
        </is>
      </c>
      <c r="M2681">
        <v>81000</v>
      </c>
      <c r="N2681">
        <v>4.68</v>
      </c>
      <c r="O2681">
        <v>435000</v>
      </c>
      <c r="P2681" t="inlineStr">
        <is>
          <t>6985513d8dc4b300016b13cf</t>
        </is>
      </c>
      <c r="Q2681"/>
      <c r="R2681" t="inlineStr">
        <is>
          <t>14周</t>
        </is>
      </c>
      <c r="S2681" t="inlineStr">
        <is>
          <t>0.25</t>
        </is>
      </c>
      <c r="T2681" t="inlineStr">
        <is>
          <t>美妆个护</t>
        </is>
      </c>
      <c r="U2681" t="inlineStr">
        <is>
          <t>护肤彩妆</t>
        </is>
      </c>
      <c r="V2681" s="3">
        <v>46112.78107638889</v>
      </c>
      <c r="W2681" t="inlineStr">
        <is>
          <t>2026-Q1</t>
        </is>
      </c>
    </row>
    <row r="2682" ht="25.5" customHeight="1">
      <c r="A2682" t="inlineStr">
        <is>
          <t>开学季-全棉纯棉卡通系列单人宿舍三件套卧室四件套</t>
        </is>
      </c>
      <c r="B2682" t="inlineStr">
        <is>
          <t>recvei9USZoXyJ.jpg</t>
        </is>
      </c>
      <c r="C2682" s="2" t="str">
        <f>=HYPERLINK("https://xhslink.com/m/79kldNbl0ia", "https://xhslink.com/m/79kldNbl0ia")</f>
        <v>https://xhslink.com/m/79kldNbl0ia</v>
      </c>
      <c r="D2682"/>
      <c r="E2682">
        <v>3639</v>
      </c>
      <c r="F2682">
        <v>128</v>
      </c>
      <c r="G2682">
        <v>105</v>
      </c>
      <c r="H2682">
        <v>100</v>
      </c>
      <c r="I2682" t="inlineStr">
        <is>
          <t>家居</t>
        </is>
      </c>
      <c r="J2682" t="inlineStr">
        <is>
          <t>0.03</t>
        </is>
      </c>
      <c r="K2682"/>
      <c r="L2682" t="inlineStr">
        <is>
          <t>小施和小陆的家纺小铺的店</t>
        </is>
      </c>
      <c r="M2682">
        <v>18000</v>
      </c>
      <c r="N2682">
        <v>4.51</v>
      </c>
      <c r="O2682">
        <v>14000</v>
      </c>
      <c r="P2682" t="inlineStr">
        <is>
          <t>688dc22aa7c1e30001cc8c27</t>
        </is>
      </c>
      <c r="Q2682"/>
      <c r="R2682" t="inlineStr">
        <is>
          <t>14周</t>
        </is>
      </c>
      <c r="S2682" t="inlineStr">
        <is>
          <t>0.20</t>
        </is>
      </c>
      <c r="T2682" t="inlineStr">
        <is>
          <t>家居生活</t>
        </is>
      </c>
      <c r="U2682" t="inlineStr">
        <is>
          <t>家居日用</t>
        </is>
      </c>
      <c r="V2682" s="3">
        <v>46112.78107638889</v>
      </c>
      <c r="W2682" t="inlineStr">
        <is>
          <t>2026-Q1</t>
        </is>
      </c>
    </row>
    <row r="2683" ht="25.5" customHeight="1">
      <c r="A2683" t="inlineStr">
        <is>
          <t>佛手 佛手柑-超长花期 越大越香 天然香薰 懒人必备 多为绿果</t>
        </is>
      </c>
      <c r="B2683" t="inlineStr">
        <is>
          <t>recvei9USZcImh.jpg</t>
        </is>
      </c>
      <c r="C2683" s="2" t="str">
        <f>=HYPERLINK("https://xhslink.com/m/8nyh19vBOh3", "https://xhslink.com/m/8nyh19vBOh3")</f>
        <v>https://xhslink.com/m/8nyh19vBOh3</v>
      </c>
      <c r="D2683"/>
      <c r="E2683">
        <v>21000</v>
      </c>
      <c r="F2683">
        <v>36.9</v>
      </c>
      <c r="G2683">
        <v>31.9</v>
      </c>
      <c r="H2683">
        <v>100</v>
      </c>
      <c r="I2683" t="inlineStr">
        <is>
          <t>香薰</t>
        </is>
      </c>
      <c r="J2683" t="inlineStr">
        <is>
          <t>0.00</t>
        </is>
      </c>
      <c r="K2683" t="inlineStr">
        <is>
          <t>🔥低粉爆款</t>
        </is>
      </c>
      <c r="L2683" t="inlineStr">
        <is>
          <t>云梦花语的店</t>
        </is>
      </c>
      <c r="M2683">
        <v>3182</v>
      </c>
      <c r="N2683">
        <v>4.46</v>
      </c>
      <c r="O2683">
        <v>31000</v>
      </c>
      <c r="P2683" t="inlineStr">
        <is>
          <t>68f058519176f50001644947</t>
        </is>
      </c>
      <c r="Q2683" t="inlineStr">
        <is>
          <t>🚫重复</t>
        </is>
      </c>
      <c r="R2683" t="inlineStr">
        <is>
          <t>14周</t>
        </is>
      </c>
      <c r="S2683" t="inlineStr">
        <is>
          <t>6.60</t>
        </is>
      </c>
      <c r="T2683" t="inlineStr">
        <is>
          <t>家居生活</t>
        </is>
      </c>
      <c r="U2683" t="inlineStr">
        <is>
          <t>家居日用</t>
        </is>
      </c>
      <c r="V2683" s="3">
        <v>46112.78107638889</v>
      </c>
      <c r="W2683" t="inlineStr">
        <is>
          <t>2026-Q1</t>
        </is>
      </c>
    </row>
    <row r="2684" ht="25.5" customHeight="1">
      <c r="A2684" t="inlineStr">
        <is>
          <t>花架2025新款轻奢高级感植物架客厅家用落地式阳台铁艺多层置物架</t>
        </is>
      </c>
      <c r="B2684" t="inlineStr">
        <is>
          <t>recvei9USZHvwp.jpg</t>
        </is>
      </c>
      <c r="C2684" s="2" t="str">
        <f>=HYPERLINK("https://xhslink.com/m/98gJidoAONN", "https://xhslink.com/m/98gJidoAONN")</f>
        <v>https://xhslink.com/m/98gJidoAONN</v>
      </c>
      <c r="D2684"/>
      <c r="E2684">
        <v>324</v>
      </c>
      <c r="F2684">
        <v>179</v>
      </c>
      <c r="G2684">
        <v>146</v>
      </c>
      <c r="H2684">
        <v>100</v>
      </c>
      <c r="I2684" t="inlineStr">
        <is>
          <t>绿植</t>
        </is>
      </c>
      <c r="J2684" t="inlineStr">
        <is>
          <t>0.31</t>
        </is>
      </c>
      <c r="K2684"/>
      <c r="L2684" t="inlineStr">
        <is>
          <t>Cloud House 家居的店</t>
        </is>
      </c>
      <c r="M2684">
        <v>25000</v>
      </c>
      <c r="N2684">
        <v>4.49</v>
      </c>
      <c r="O2684">
        <v>9814</v>
      </c>
      <c r="P2684" t="inlineStr">
        <is>
          <t>680f31b43aa6a600156ef7f1</t>
        </is>
      </c>
      <c r="Q2684"/>
      <c r="R2684" t="inlineStr">
        <is>
          <t>14周</t>
        </is>
      </c>
      <c r="S2684" t="inlineStr">
        <is>
          <t>0.01</t>
        </is>
      </c>
      <c r="T2684" t="inlineStr">
        <is>
          <t>家居生活</t>
        </is>
      </c>
      <c r="U2684" t="inlineStr">
        <is>
          <t>家具家装</t>
        </is>
      </c>
      <c r="V2684" s="3">
        <v>46112.78107638889</v>
      </c>
      <c r="W2684" t="inlineStr">
        <is>
          <t>2026-Q1</t>
        </is>
      </c>
    </row>
    <row r="2685" ht="25.5" customHeight="1">
      <c r="A2685" t="inlineStr">
        <is>
          <t>ROMI STUDIO · “Chill Vibe” 粗支棉肤感软糯连帽卫衣外套431W1043</t>
        </is>
      </c>
      <c r="B2685" t="inlineStr">
        <is>
          <t>recvekduUIoDZH.jpg</t>
        </is>
      </c>
      <c r="C2685" s="2" t="str">
        <f>=HYPERLINK("https://xhslink.com/m/879Vm1dl8Zy", "https://xhslink.com/m/879Vm1dl8Zy")</f>
        <v>https://xhslink.com/m/879Vm1dl8Zy</v>
      </c>
      <c r="D2685"/>
      <c r="E2685">
        <v>1609</v>
      </c>
      <c r="F2685">
        <v>330</v>
      </c>
      <c r="G2685">
        <v>315</v>
      </c>
      <c r="H2685">
        <v>100</v>
      </c>
      <c r="I2685" t="inlineStr">
        <is>
          <t>外套</t>
        </is>
      </c>
      <c r="J2685" t="inlineStr">
        <is>
          <t>0.06</t>
        </is>
      </c>
      <c r="K2685"/>
      <c r="L2685" t="inlineStr">
        <is>
          <t>ROMI STUDIO旗舰店</t>
        </is>
      </c>
      <c r="M2685">
        <v>148000</v>
      </c>
      <c r="N2685">
        <v>4.72</v>
      </c>
      <c r="O2685">
        <v>220000</v>
      </c>
      <c r="P2685" t="inlineStr">
        <is>
          <t>695e0f7a8a5a370001f99b75</t>
        </is>
      </c>
      <c r="Q2685"/>
      <c r="R2685" t="inlineStr">
        <is>
          <t>14周</t>
        </is>
      </c>
      <c r="S2685" t="inlineStr">
        <is>
          <t>0.01</t>
        </is>
      </c>
      <c r="T2685" t="inlineStr">
        <is>
          <t>服饰穿搭</t>
        </is>
      </c>
      <c r="U2685" t="inlineStr">
        <is>
          <t>女装</t>
        </is>
      </c>
      <c r="V2685" s="3">
        <v>46112.78107638889</v>
      </c>
      <c r="W2685" t="inlineStr">
        <is>
          <t>2026-Q1</t>
        </is>
      </c>
    </row>
    <row r="2686" ht="25.5" customHeight="1">
      <c r="A2686" t="inlineStr">
        <is>
          <t>snowelf · 覆古厚底德训鞋子女2026新款春季爆款百搭轻便增高透气运动休闲</t>
        </is>
      </c>
      <c r="B2686" t="inlineStr">
        <is>
          <t>recvekduUInBlZ.jpg</t>
        </is>
      </c>
      <c r="C2686" s="2" t="str">
        <f>=HYPERLINK("https://xhslink.com/m/9AWJYUsv3lQ", "https://xhslink.com/m/9AWJYUsv3lQ")</f>
        <v>https://xhslink.com/m/9AWJYUsv3lQ</v>
      </c>
      <c r="D2686"/>
      <c r="E2686">
        <v>5299</v>
      </c>
      <c r="F2686">
        <v>318.99</v>
      </c>
      <c r="G2686">
        <v>253.99</v>
      </c>
      <c r="H2686">
        <v>100</v>
      </c>
      <c r="I2686" t="inlineStr">
        <is>
          <t>鞋靴</t>
        </is>
      </c>
      <c r="J2686" t="inlineStr">
        <is>
          <t>0.02</t>
        </is>
      </c>
      <c r="K2686"/>
      <c r="L2686" t="inlineStr">
        <is>
          <t>snowelf定制女鞋的店</t>
        </is>
      </c>
      <c r="M2686">
        <v>14000</v>
      </c>
      <c r="N2686">
        <v>4.52</v>
      </c>
      <c r="O2686">
        <v>25000</v>
      </c>
      <c r="P2686" t="inlineStr">
        <is>
          <t>693f64770ae0090001704315</t>
        </is>
      </c>
      <c r="Q2686" t="inlineStr">
        <is>
          <t>🚫重复</t>
        </is>
      </c>
      <c r="R2686" t="inlineStr">
        <is>
          <t>14周</t>
        </is>
      </c>
      <c r="S2686" t="inlineStr">
        <is>
          <t>0.38</t>
        </is>
      </c>
      <c r="T2686" t="inlineStr">
        <is>
          <t>服饰穿搭</t>
        </is>
      </c>
      <c r="U2686" t="inlineStr">
        <is>
          <t>鞋靴箱包</t>
        </is>
      </c>
      <c r="V2686" s="3">
        <v>46112.78107638889</v>
      </c>
      <c r="W2686" t="inlineStr">
        <is>
          <t>2026-Q1</t>
        </is>
      </c>
    </row>
    <row r="2687" ht="25.5" customHeight="1">
      <c r="A2687" t="inlineStr">
        <is>
          <t>韩茜茜「复古粗跟」魔术贴运动轮胎底乐福鞋女5cm英伦风小皮鞋女</t>
        </is>
      </c>
      <c r="B2687" t="inlineStr">
        <is>
          <t>recvekduUI5Mmc.jpg</t>
        </is>
      </c>
      <c r="C2687" s="2" t="str">
        <f>=HYPERLINK("https://xhslink.com/m/x0A2YcH8b8", "https://xhslink.com/m/x0A2YcH8b8")</f>
        <v>https://xhslink.com/m/x0A2YcH8b8</v>
      </c>
      <c r="D2687"/>
      <c r="E2687">
        <v>23000</v>
      </c>
      <c r="F2687">
        <v>178</v>
      </c>
      <c r="G2687">
        <v>76.8</v>
      </c>
      <c r="H2687">
        <v>100</v>
      </c>
      <c r="I2687" t="inlineStr">
        <is>
          <t>鞋靴</t>
        </is>
      </c>
      <c r="J2687" t="inlineStr">
        <is>
          <t>0.00</t>
        </is>
      </c>
      <c r="K2687" t="inlineStr">
        <is>
          <t>🔥低粉爆款</t>
        </is>
      </c>
      <c r="L2687" t="inlineStr">
        <is>
          <t>韩茜茜🌻的店</t>
        </is>
      </c>
      <c r="M2687">
        <v>7589</v>
      </c>
      <c r="N2687">
        <v>4.59</v>
      </c>
      <c r="O2687">
        <v>36000</v>
      </c>
      <c r="P2687" t="inlineStr">
        <is>
          <t>6902230742726100014ab1e0</t>
        </is>
      </c>
      <c r="Q2687" t="inlineStr">
        <is>
          <t>🚫重复</t>
        </is>
      </c>
      <c r="R2687" t="inlineStr">
        <is>
          <t>14周</t>
        </is>
      </c>
      <c r="S2687" t="inlineStr">
        <is>
          <t>3.03</t>
        </is>
      </c>
      <c r="T2687" t="inlineStr">
        <is>
          <t>服饰穿搭</t>
        </is>
      </c>
      <c r="U2687" t="inlineStr">
        <is>
          <t>鞋靴箱包</t>
        </is>
      </c>
      <c r="V2687" s="3">
        <v>46112.78107638889</v>
      </c>
      <c r="W2687" t="inlineStr">
        <is>
          <t>2026-Q1</t>
        </is>
      </c>
    </row>
    <row r="2688" ht="25.5" customHeight="1">
      <c r="A2688" t="inlineStr">
        <is>
          <t>甜喵家 2026新款百搭休闲增高学生板鞋厚底小白鞋百搭鞋子</t>
        </is>
      </c>
      <c r="B2688" t="inlineStr">
        <is>
          <t>recvekduUIBtCZ.jpg</t>
        </is>
      </c>
      <c r="C2688" s="2" t="str">
        <f>=HYPERLINK("https://xhslink.com/m/6LrsDE7P4nK", "https://xhslink.com/m/6LrsDE7P4nK")</f>
        <v>https://xhslink.com/m/6LrsDE7P4nK</v>
      </c>
      <c r="D2688"/>
      <c r="E2688">
        <v>22000</v>
      </c>
      <c r="F2688">
        <v>89.8</v>
      </c>
      <c r="G2688">
        <v>51.8</v>
      </c>
      <c r="H2688">
        <v>100</v>
      </c>
      <c r="I2688" t="inlineStr">
        <is>
          <t>鞋靴</t>
        </is>
      </c>
      <c r="J2688" t="inlineStr">
        <is>
          <t>0.00</t>
        </is>
      </c>
      <c r="K2688" t="inlineStr">
        <is>
          <t>🔥低粉爆款</t>
        </is>
      </c>
      <c r="L2688" t="inlineStr">
        <is>
          <t>喵呜甜鞋日记的店</t>
        </is>
      </c>
      <c r="M2688">
        <v>2684</v>
      </c>
      <c r="N2688">
        <v>4.36</v>
      </c>
      <c r="O2688">
        <v>48000</v>
      </c>
      <c r="P2688" t="inlineStr">
        <is>
          <t>69705742306dc500012fda5a</t>
        </is>
      </c>
      <c r="Q2688" t="inlineStr">
        <is>
          <t>🚫重复</t>
        </is>
      </c>
      <c r="R2688" t="inlineStr">
        <is>
          <t>14周</t>
        </is>
      </c>
      <c r="S2688" t="inlineStr">
        <is>
          <t>8.20</t>
        </is>
      </c>
      <c r="T2688" t="inlineStr">
        <is>
          <t>服饰穿搭</t>
        </is>
      </c>
      <c r="U2688" t="inlineStr">
        <is>
          <t>鞋靴箱包</t>
        </is>
      </c>
      <c r="V2688" s="3">
        <v>46112.78107638889</v>
      </c>
      <c r="W2688" t="inlineStr">
        <is>
          <t>2026-Q1</t>
        </is>
      </c>
    </row>
    <row r="2689" ht="25.5" customHeight="1">
      <c r="A2689" t="inlineStr">
        <is>
          <t>六也· 牛翻绒魔术贴运动皮鞋百搭拼色休闲日常通勤5cm单鞋女L593</t>
        </is>
      </c>
      <c r="B2689" t="inlineStr">
        <is>
          <t>recvekduUIBcor.jpg</t>
        </is>
      </c>
      <c r="C2689" s="2" t="str">
        <f>=HYPERLINK("https://xhslink.com/m/9lP0XTqiQ7A", "https://xhslink.com/m/9lP0XTqiQ7A")</f>
        <v>https://xhslink.com/m/9lP0XTqiQ7A</v>
      </c>
      <c r="D2689"/>
      <c r="E2689">
        <v>15000</v>
      </c>
      <c r="F2689">
        <v>338</v>
      </c>
      <c r="G2689">
        <v>273</v>
      </c>
      <c r="H2689">
        <v>100</v>
      </c>
      <c r="I2689" t="inlineStr">
        <is>
          <t>鞋靴</t>
        </is>
      </c>
      <c r="J2689" t="inlineStr">
        <is>
          <t>0.01</t>
        </is>
      </c>
      <c r="K2689"/>
      <c r="L2689" t="inlineStr">
        <is>
          <t>六也的店</t>
        </is>
      </c>
      <c r="M2689">
        <v>349000</v>
      </c>
      <c r="N2689">
        <v>4.59</v>
      </c>
      <c r="O2689">
        <v>217000</v>
      </c>
      <c r="P2689" t="inlineStr">
        <is>
          <t>684fa4aa57fa160001dba466</t>
        </is>
      </c>
      <c r="Q2689"/>
      <c r="R2689" t="inlineStr">
        <is>
          <t>14周</t>
        </is>
      </c>
      <c r="S2689" t="inlineStr">
        <is>
          <t>0.04</t>
        </is>
      </c>
      <c r="T2689" t="inlineStr">
        <is>
          <t>服饰穿搭</t>
        </is>
      </c>
      <c r="U2689" t="inlineStr">
        <is>
          <t>鞋靴箱包</t>
        </is>
      </c>
      <c r="V2689" s="3">
        <v>46112.78107638889</v>
      </c>
      <c r="W2689" t="inlineStr">
        <is>
          <t>2026-Q1</t>
        </is>
      </c>
    </row>
    <row r="2690" ht="25.5" customHeight="1">
      <c r="A2690" t="inlineStr">
        <is>
          <t>【杨镘镘】气质白色高跟鞋女细跟不累脚软皮尖头工作职业单鞋A166</t>
        </is>
      </c>
      <c r="B2690" t="inlineStr">
        <is>
          <t>recvekduUIM6CL.jpg</t>
        </is>
      </c>
      <c r="C2690" s="2" t="str">
        <f>=HYPERLINK("https://xhslink.com/m/2C3D7TQmgKj", "https://xhslink.com/m/2C3D7TQmgKj")</f>
        <v>https://xhslink.com/m/2C3D7TQmgKj</v>
      </c>
      <c r="D2690"/>
      <c r="E2690">
        <v>11000</v>
      </c>
      <c r="F2690">
        <v>98</v>
      </c>
      <c r="G2690">
        <v>83.24</v>
      </c>
      <c r="H2690">
        <v>100</v>
      </c>
      <c r="I2690" t="inlineStr">
        <is>
          <t>鞋靴</t>
        </is>
      </c>
      <c r="J2690" t="inlineStr">
        <is>
          <t>0.01</t>
        </is>
      </c>
      <c r="K2690"/>
      <c r="L2690" t="inlineStr">
        <is>
          <t>镘镘不慢的店</t>
        </is>
      </c>
      <c r="M2690">
        <v>12000</v>
      </c>
      <c r="N2690">
        <v>4.69</v>
      </c>
      <c r="O2690">
        <v>59000</v>
      </c>
      <c r="P2690" t="inlineStr">
        <is>
          <t>65ed9f79ebd7dc0001f229d9</t>
        </is>
      </c>
      <c r="Q2690"/>
      <c r="R2690" t="inlineStr">
        <is>
          <t>14周</t>
        </is>
      </c>
      <c r="S2690" t="inlineStr">
        <is>
          <t>0.92</t>
        </is>
      </c>
      <c r="T2690" t="inlineStr">
        <is>
          <t>服饰穿搭</t>
        </is>
      </c>
      <c r="U2690" t="inlineStr">
        <is>
          <t>鞋靴箱包</t>
        </is>
      </c>
      <c r="V2690" s="3">
        <v>46112.78107638889</v>
      </c>
      <c r="W2690" t="inlineStr">
        <is>
          <t>2026-Q1</t>
        </is>
      </c>
    </row>
    <row r="2691" ht="25.5" customHeight="1">
      <c r="A2691" t="inlineStr">
        <is>
          <t>多巴胺色系平底德训鞋女双鞋带休闲鞋女式运动鞋</t>
        </is>
      </c>
      <c r="B2691" t="inlineStr">
        <is>
          <t>recvekduUIvVjD.jpg</t>
        </is>
      </c>
      <c r="C2691" s="2" t="str">
        <f>=HYPERLINK("https://xhslink.com/m/9V8FHymyExV", "https://xhslink.com/m/9V8FHymyExV")</f>
        <v>https://xhslink.com/m/9V8FHymyExV</v>
      </c>
      <c r="D2691"/>
      <c r="E2691">
        <v>3882</v>
      </c>
      <c r="F2691">
        <v>59.9</v>
      </c>
      <c r="G2691">
        <v>39.9</v>
      </c>
      <c r="H2691">
        <v>100</v>
      </c>
      <c r="I2691" t="inlineStr">
        <is>
          <t>鞋靴</t>
        </is>
      </c>
      <c r="J2691" t="inlineStr">
        <is>
          <t>0.03</t>
        </is>
      </c>
      <c r="K2691"/>
      <c r="L2691" t="inlineStr">
        <is>
          <t>小美の鞋社🌟的店</t>
        </is>
      </c>
      <c r="M2691">
        <v>1328</v>
      </c>
      <c r="N2691">
        <v>3.77</v>
      </c>
      <c r="O2691">
        <v>9115</v>
      </c>
      <c r="P2691" t="inlineStr">
        <is>
          <t>68a7ed33670dcf0015a94706</t>
        </is>
      </c>
      <c r="Q2691" t="inlineStr">
        <is>
          <t>🚫重复</t>
        </is>
      </c>
      <c r="R2691" t="inlineStr">
        <is>
          <t>14周</t>
        </is>
      </c>
      <c r="S2691" t="inlineStr">
        <is>
          <t>2.92</t>
        </is>
      </c>
      <c r="T2691" t="inlineStr">
        <is>
          <t>服饰穿搭</t>
        </is>
      </c>
      <c r="U2691" t="inlineStr">
        <is>
          <t>鞋靴箱包</t>
        </is>
      </c>
      <c r="V2691" s="3">
        <v>46112.78107638889</v>
      </c>
      <c r="W2691" t="inlineStr">
        <is>
          <t>2026-Q1</t>
        </is>
      </c>
    </row>
    <row r="2692" ht="25.5" customHeight="1">
      <c r="A2692" t="inlineStr">
        <is>
          <t>Melissa · 赵露丝同款梅丽莎包头罗马凉鞋果冻鞋镂空圆头时尚百搭沙滩鞋夏季</t>
        </is>
      </c>
      <c r="B2692" t="inlineStr">
        <is>
          <t>recvekduUI2cwv.jpg</t>
        </is>
      </c>
      <c r="C2692" s="2" t="str">
        <f>=HYPERLINK("https://xhslink.com/m/6irUV5nlp2X", "https://xhslink.com/m/6irUV5nlp2X")</f>
        <v>https://xhslink.com/m/6irUV5nlp2X</v>
      </c>
      <c r="D2692"/>
      <c r="E2692">
        <v>7059</v>
      </c>
      <c r="F2692">
        <v>228</v>
      </c>
      <c r="G2692">
        <v>183</v>
      </c>
      <c r="H2692">
        <v>100</v>
      </c>
      <c r="I2692" t="inlineStr">
        <is>
          <t>鞋靴</t>
        </is>
      </c>
      <c r="J2692" t="inlineStr">
        <is>
          <t>0.01</t>
        </is>
      </c>
      <c r="K2692"/>
      <c r="L2692" t="inlineStr">
        <is>
          <t>Angel巴西梅丽莎的店</t>
        </is>
      </c>
      <c r="M2692">
        <v>15000</v>
      </c>
      <c r="N2692">
        <v>4.74</v>
      </c>
      <c r="O2692">
        <v>27000</v>
      </c>
      <c r="P2692" t="inlineStr">
        <is>
          <t>6645c114fa6f2900018824f5</t>
        </is>
      </c>
      <c r="Q2692" t="inlineStr">
        <is>
          <t>🚫重复</t>
        </is>
      </c>
      <c r="R2692" t="inlineStr">
        <is>
          <t>14周</t>
        </is>
      </c>
      <c r="S2692" t="inlineStr">
        <is>
          <t>0.47</t>
        </is>
      </c>
      <c r="T2692" t="inlineStr">
        <is>
          <t>服饰穿搭</t>
        </is>
      </c>
      <c r="U2692" t="inlineStr">
        <is>
          <t>鞋靴箱包</t>
        </is>
      </c>
      <c r="V2692" s="3">
        <v>46112.78107638889</v>
      </c>
      <c r="W2692" t="inlineStr">
        <is>
          <t>2026-Q1</t>
        </is>
      </c>
    </row>
    <row r="2693" ht="25.5" customHeight="1">
      <c r="A2693" t="inlineStr">
        <is>
          <t>Cakeitty法式超高跟鞋2026新款一字带时尚漆皮玛丽珍浅口粗跟单鞋</t>
        </is>
      </c>
      <c r="B2693" t="inlineStr">
        <is>
          <t>recvekduUIqqA6.jpg</t>
        </is>
      </c>
      <c r="C2693" s="2" t="str">
        <f>=HYPERLINK("https://xhslink.com/m/9TtcClDfnoL", "https://xhslink.com/m/9TtcClDfnoL")</f>
        <v>https://xhslink.com/m/9TtcClDfnoL</v>
      </c>
      <c r="D2693"/>
      <c r="E2693">
        <v>11000</v>
      </c>
      <c r="F2693">
        <v>96.8</v>
      </c>
      <c r="G2693">
        <v>73.8</v>
      </c>
      <c r="H2693">
        <v>100</v>
      </c>
      <c r="I2693" t="inlineStr">
        <is>
          <t>鞋靴</t>
        </is>
      </c>
      <c r="J2693" t="inlineStr">
        <is>
          <t>0.01</t>
        </is>
      </c>
      <c r="K2693"/>
      <c r="L2693" t="inlineStr">
        <is>
          <t>Cakeitty的店</t>
        </is>
      </c>
      <c r="M2693">
        <v>102000</v>
      </c>
      <c r="N2693">
        <v>4.58</v>
      </c>
      <c r="O2693">
        <v>199000</v>
      </c>
      <c r="P2693" t="inlineStr">
        <is>
          <t>677046ebca77f50001911d64</t>
        </is>
      </c>
      <c r="Q2693"/>
      <c r="R2693" t="inlineStr">
        <is>
          <t>14周</t>
        </is>
      </c>
      <c r="S2693" t="inlineStr">
        <is>
          <t>0.11</t>
        </is>
      </c>
      <c r="T2693" t="inlineStr">
        <is>
          <t>服饰穿搭</t>
        </is>
      </c>
      <c r="U2693" t="inlineStr">
        <is>
          <t>鞋靴箱包</t>
        </is>
      </c>
      <c r="V2693" s="3">
        <v>46112.78107638889</v>
      </c>
      <c r="W2693" t="inlineStr">
        <is>
          <t>2026-Q1</t>
        </is>
      </c>
    </row>
    <row r="2694" ht="25.5" customHeight="1">
      <c r="A2694" t="inlineStr">
        <is>
          <t>361° · 酥饼板鞋2.0 运动鞋女新款百搭防滑革面鞋子休闲鞋女鞋682616612</t>
        </is>
      </c>
      <c r="B2694" t="inlineStr">
        <is>
          <t>recvekduUIFT08.jpg</t>
        </is>
      </c>
      <c r="C2694" s="2" t="str">
        <f>=HYPERLINK("https://xhslink.com/m/9FUS6y5oD1B", "https://xhslink.com/m/9FUS6y5oD1B")</f>
        <v>https://xhslink.com/m/9FUS6y5oD1B</v>
      </c>
      <c r="D2694"/>
      <c r="E2694">
        <v>556</v>
      </c>
      <c r="F2694">
        <v>349</v>
      </c>
      <c r="G2694">
        <v>135.99</v>
      </c>
      <c r="H2694">
        <v>100</v>
      </c>
      <c r="I2694" t="inlineStr">
        <is>
          <t>鞋靴</t>
        </is>
      </c>
      <c r="J2694" t="inlineStr">
        <is>
          <t>0.18</t>
        </is>
      </c>
      <c r="K2694"/>
      <c r="L2694" t="inlineStr">
        <is>
          <t>361°旗舰店</t>
        </is>
      </c>
      <c r="M2694">
        <v>40000</v>
      </c>
      <c r="N2694">
        <v>4.41</v>
      </c>
      <c r="O2694">
        <v>123000</v>
      </c>
      <c r="P2694" t="inlineStr">
        <is>
          <t>690ade80bc668f0015726f1f</t>
        </is>
      </c>
      <c r="Q2694" t="inlineStr">
        <is>
          <t>🚫重复</t>
        </is>
      </c>
      <c r="R2694" t="inlineStr">
        <is>
          <t>14周</t>
        </is>
      </c>
      <c r="S2694" t="inlineStr">
        <is>
          <t>0.01</t>
        </is>
      </c>
      <c r="T2694" t="inlineStr">
        <is>
          <t>服饰穿搭</t>
        </is>
      </c>
      <c r="U2694" t="inlineStr">
        <is>
          <t>鞋靴箱包</t>
        </is>
      </c>
      <c r="V2694" s="3">
        <v>46112.78107638889</v>
      </c>
      <c r="W2694" t="inlineStr">
        <is>
          <t>2026-Q1</t>
        </is>
      </c>
    </row>
    <row r="2695" ht="25.5" customHeight="1">
      <c r="A2695" t="inlineStr">
        <is>
          <t>复古褶皱堆堆靴两穿长靴女长筒棕色靴子牛仔靴骑士靴</t>
        </is>
      </c>
      <c r="B2695" t="inlineStr">
        <is>
          <t>recvekduUIFy8d.jpg</t>
        </is>
      </c>
      <c r="C2695" s="2" t="str">
        <f>=HYPERLINK("https://xhslink.com/m/5iOYon4MOiz", "https://xhslink.com/m/5iOYon4MOiz")</f>
        <v>https://xhslink.com/m/5iOYon4MOiz</v>
      </c>
      <c r="D2695"/>
      <c r="E2695">
        <v>21000</v>
      </c>
      <c r="F2695">
        <v>139.9</v>
      </c>
      <c r="G2695">
        <v>116.9</v>
      </c>
      <c r="H2695">
        <v>100</v>
      </c>
      <c r="I2695" t="inlineStr">
        <is>
          <t>鞋靴</t>
        </is>
      </c>
      <c r="J2695" t="inlineStr">
        <is>
          <t>0.00</t>
        </is>
      </c>
      <c r="K2695"/>
      <c r="L2695" t="inlineStr">
        <is>
          <t>穗穗工作室的店</t>
        </is>
      </c>
      <c r="M2695">
        <v>30000</v>
      </c>
      <c r="N2695">
        <v>4.4</v>
      </c>
      <c r="O2695">
        <v>238000</v>
      </c>
      <c r="P2695" t="inlineStr">
        <is>
          <t>6677b2677d94b20001249b71</t>
        </is>
      </c>
      <c r="Q2695" t="inlineStr">
        <is>
          <t>🚫重复</t>
        </is>
      </c>
      <c r="R2695" t="inlineStr">
        <is>
          <t>14周</t>
        </is>
      </c>
      <c r="S2695" t="inlineStr">
        <is>
          <t>0.70</t>
        </is>
      </c>
      <c r="T2695" t="inlineStr">
        <is>
          <t>服饰穿搭</t>
        </is>
      </c>
      <c r="U2695" t="inlineStr">
        <is>
          <t>鞋靴箱包</t>
        </is>
      </c>
      <c r="V2695" s="3">
        <v>46112.78107638889</v>
      </c>
      <c r="W2695" t="inlineStr">
        <is>
          <t>2026-Q1</t>
        </is>
      </c>
    </row>
    <row r="2696" ht="25.5" customHeight="1">
      <c r="A2696" t="inlineStr">
        <is>
          <t>真皮底！切割白tabi羊皮分趾鞋 户外休闲</t>
        </is>
      </c>
      <c r="B2696" t="inlineStr">
        <is>
          <t>recvekduUIiuy7.jpg</t>
        </is>
      </c>
      <c r="C2696" s="2" t="str">
        <f>=HYPERLINK("https://xhslink.com/m/5YqKHsK0dcO", "https://xhslink.com/m/5YqKHsK0dcO")</f>
        <v>https://xhslink.com/m/5YqKHsK0dcO</v>
      </c>
      <c r="D2696"/>
      <c r="E2696">
        <v>5233</v>
      </c>
      <c r="F2696">
        <v>750</v>
      </c>
      <c r="G2696">
        <v>313</v>
      </c>
      <c r="H2696">
        <v>100</v>
      </c>
      <c r="I2696" t="inlineStr">
        <is>
          <t>鞋靴</t>
        </is>
      </c>
      <c r="J2696" t="inlineStr">
        <is>
          <t>0.02</t>
        </is>
      </c>
      <c r="K2696"/>
      <c r="L2696" t="inlineStr">
        <is>
          <t>拉拉拉拉拉拉拉的店店的店</t>
        </is>
      </c>
      <c r="M2696">
        <v>721000</v>
      </c>
      <c r="N2696">
        <v>4.45</v>
      </c>
      <c r="O2696">
        <v>393000</v>
      </c>
      <c r="P2696" t="inlineStr">
        <is>
          <t>682048846d54370001abe76f</t>
        </is>
      </c>
      <c r="Q2696" t="inlineStr">
        <is>
          <t>🚫重复</t>
        </is>
      </c>
      <c r="R2696" t="inlineStr">
        <is>
          <t>14周</t>
        </is>
      </c>
      <c r="S2696" t="inlineStr">
        <is>
          <t>0.01</t>
        </is>
      </c>
      <c r="T2696" t="inlineStr">
        <is>
          <t>服饰穿搭</t>
        </is>
      </c>
      <c r="U2696" t="inlineStr">
        <is>
          <t>鞋靴箱包</t>
        </is>
      </c>
      <c r="V2696" s="3">
        <v>46112.78107638889</v>
      </c>
      <c r="W2696" t="inlineStr">
        <is>
          <t>2026-Q1</t>
        </is>
      </c>
    </row>
    <row r="2697" ht="25.5" customHeight="1">
      <c r="A2697" t="inlineStr">
        <is>
          <t>法式银色玛丽珍单鞋女2026春季新款百搭浅口配裙子小皮鞋女平底鞋</t>
        </is>
      </c>
      <c r="B2697" t="inlineStr">
        <is>
          <t>recvekduUIHvdD.jpg</t>
        </is>
      </c>
      <c r="C2697" s="2" t="str">
        <f>=HYPERLINK("https://xhslink.com/m/4rqQhzZ7T3z", "https://xhslink.com/m/4rqQhzZ7T3z")</f>
        <v>https://xhslink.com/m/4rqQhzZ7T3z</v>
      </c>
      <c r="D2697"/>
      <c r="E2697">
        <v>4092</v>
      </c>
      <c r="F2697">
        <v>58.8</v>
      </c>
      <c r="G2697">
        <v>55.8</v>
      </c>
      <c r="H2697">
        <v>100</v>
      </c>
      <c r="I2697" t="inlineStr">
        <is>
          <t>鞋靴</t>
        </is>
      </c>
      <c r="J2697" t="inlineStr">
        <is>
          <t>0.02</t>
        </is>
      </c>
      <c r="K2697"/>
      <c r="L2697" t="inlineStr">
        <is>
          <t>肥麦麦的店</t>
        </is>
      </c>
      <c r="M2697">
        <v>18000</v>
      </c>
      <c r="N2697">
        <v>4.59</v>
      </c>
      <c r="O2697">
        <v>308000</v>
      </c>
      <c r="P2697" t="inlineStr">
        <is>
          <t>6832e2350bed5600011ee22f</t>
        </is>
      </c>
      <c r="Q2697" t="inlineStr">
        <is>
          <t>🚫重复</t>
        </is>
      </c>
      <c r="R2697" t="inlineStr">
        <is>
          <t>14周</t>
        </is>
      </c>
      <c r="S2697" t="inlineStr">
        <is>
          <t>0.23</t>
        </is>
      </c>
      <c r="T2697" t="inlineStr">
        <is>
          <t>服饰穿搭</t>
        </is>
      </c>
      <c r="U2697" t="inlineStr">
        <is>
          <t>鞋靴箱包</t>
        </is>
      </c>
      <c r="V2697" s="3">
        <v>46112.78107638889</v>
      </c>
      <c r="W2697" t="inlineStr">
        <is>
          <t>2026-Q1</t>
        </is>
      </c>
    </row>
    <row r="2698" ht="25.5" customHeight="1">
      <c r="A2698" t="inlineStr">
        <is>
          <t>内增高8cm芭蕾德训鞋小个子增高厚底鞋春夏透气老爹鞋运动休闲鞋</t>
        </is>
      </c>
      <c r="B2698" t="inlineStr">
        <is>
          <t>recvekduUIi80H.jpg</t>
        </is>
      </c>
      <c r="C2698" s="2" t="str">
        <f>=HYPERLINK("https://xhslink.com/m/8KFJb4uOjiJ", "https://xhslink.com/m/8KFJb4uOjiJ")</f>
        <v>https://xhslink.com/m/8KFJb4uOjiJ</v>
      </c>
      <c r="D2698"/>
      <c r="E2698">
        <v>1560</v>
      </c>
      <c r="F2698">
        <v>178</v>
      </c>
      <c r="G2698">
        <v>163</v>
      </c>
      <c r="H2698">
        <v>100</v>
      </c>
      <c r="I2698" t="inlineStr">
        <is>
          <t>鞋靴</t>
        </is>
      </c>
      <c r="J2698" t="inlineStr">
        <is>
          <t>0.06</t>
        </is>
      </c>
      <c r="K2698"/>
      <c r="L2698" t="inlineStr">
        <is>
          <t>Nancy囡囡的店</t>
        </is>
      </c>
      <c r="M2698">
        <v>9901</v>
      </c>
      <c r="N2698">
        <v>4.74</v>
      </c>
      <c r="O2698">
        <v>38000</v>
      </c>
      <c r="P2698" t="inlineStr">
        <is>
          <t>682489e510039a00013cf390</t>
        </is>
      </c>
      <c r="Q2698" t="inlineStr">
        <is>
          <t>🚫重复</t>
        </is>
      </c>
      <c r="R2698" t="inlineStr">
        <is>
          <t>14周</t>
        </is>
      </c>
      <c r="S2698" t="inlineStr">
        <is>
          <t>0.16</t>
        </is>
      </c>
      <c r="T2698" t="inlineStr">
        <is>
          <t>服饰穿搭</t>
        </is>
      </c>
      <c r="U2698" t="inlineStr">
        <is>
          <t>鞋靴箱包</t>
        </is>
      </c>
      <c r="V2698" s="3">
        <v>46112.78107638889</v>
      </c>
      <c r="W2698" t="inlineStr">
        <is>
          <t>2026-Q1</t>
        </is>
      </c>
    </row>
    <row r="2699" ht="25.5" customHeight="1">
      <c r="A2699" t="inlineStr">
        <is>
          <t>黑色微喇牛仔裤女2026 春季新款高腰宽松显瘦弹力不贴腿喇叭裤</t>
        </is>
      </c>
      <c r="B2699" t="inlineStr">
        <is>
          <t>recvekduUIdF9e.jpg</t>
        </is>
      </c>
      <c r="C2699" s="2" t="str">
        <f>=HYPERLINK("https://xhslink.com/m/7FjJkLfyi3Y", "https://xhslink.com/m/7FjJkLfyi3Y")</f>
        <v>https://xhslink.com/m/7FjJkLfyi3Y</v>
      </c>
      <c r="D2699"/>
      <c r="E2699">
        <v>16000</v>
      </c>
      <c r="F2699">
        <v>88</v>
      </c>
      <c r="G2699">
        <v>85</v>
      </c>
      <c r="H2699">
        <v>100</v>
      </c>
      <c r="I2699" t="inlineStr">
        <is>
          <t>牛仔裤</t>
        </is>
      </c>
      <c r="J2699" t="inlineStr">
        <is>
          <t>0.01</t>
        </is>
      </c>
      <c r="K2699" t="inlineStr">
        <is>
          <t>🔥低粉爆款</t>
        </is>
      </c>
      <c r="L2699" t="inlineStr">
        <is>
          <t>小菜耶的店</t>
        </is>
      </c>
      <c r="M2699">
        <v>3793</v>
      </c>
      <c r="N2699">
        <v>4.67</v>
      </c>
      <c r="O2699">
        <v>50000</v>
      </c>
      <c r="P2699" t="inlineStr">
        <is>
          <t>6963ab68b7b54000010721ef</t>
        </is>
      </c>
      <c r="Q2699" t="inlineStr">
        <is>
          <t>🚫重复</t>
        </is>
      </c>
      <c r="R2699" t="inlineStr">
        <is>
          <t>14周</t>
        </is>
      </c>
      <c r="S2699" t="inlineStr">
        <is>
          <t>4.22</t>
        </is>
      </c>
      <c r="T2699" t="inlineStr">
        <is>
          <t>服饰穿搭</t>
        </is>
      </c>
      <c r="U2699" t="inlineStr">
        <is>
          <t>女装</t>
        </is>
      </c>
      <c r="V2699" s="3">
        <v>46112.78107638889</v>
      </c>
      <c r="W2699" t="inlineStr">
        <is>
          <t>2026-Q1</t>
        </is>
      </c>
    </row>
    <row r="2700" ht="25.5" customHeight="1">
      <c r="A2700" t="inlineStr">
        <is>
          <t>春夏复古蓝不贴腿微喇折痕低腰牛仔裤宽松显瘦窄版垂感阔腿拖地裤</t>
        </is>
      </c>
      <c r="B2700" t="inlineStr">
        <is>
          <t>recvekduUIfHC5.jpg</t>
        </is>
      </c>
      <c r="C2700" s="2" t="str">
        <f>=HYPERLINK("https://xhslink.com/m/8dHVme687Gl", "https://xhslink.com/m/8dHVme687Gl")</f>
        <v>https://xhslink.com/m/8dHVme687Gl</v>
      </c>
      <c r="D2700"/>
      <c r="E2700">
        <v>11000</v>
      </c>
      <c r="F2700">
        <v>99.9</v>
      </c>
      <c r="G2700">
        <v>86.9</v>
      </c>
      <c r="H2700">
        <v>100</v>
      </c>
      <c r="I2700" t="inlineStr">
        <is>
          <t>牛仔裤</t>
        </is>
      </c>
      <c r="J2700" t="inlineStr">
        <is>
          <t>0.01</t>
        </is>
      </c>
      <c r="K2700" t="inlineStr">
        <is>
          <t>🔥低粉爆款</t>
        </is>
      </c>
      <c r="L2700" t="inlineStr">
        <is>
          <t>發财冰美式服装的店</t>
        </is>
      </c>
      <c r="M2700">
        <v>3049</v>
      </c>
      <c r="N2700">
        <v>4.38</v>
      </c>
      <c r="O2700">
        <v>31000</v>
      </c>
      <c r="P2700" t="inlineStr">
        <is>
          <t>66d155c40cfd4b00012751f2</t>
        </is>
      </c>
      <c r="Q2700"/>
      <c r="R2700" t="inlineStr">
        <is>
          <t>14周</t>
        </is>
      </c>
      <c r="S2700" t="inlineStr">
        <is>
          <t>3.61</t>
        </is>
      </c>
      <c r="T2700" t="inlineStr">
        <is>
          <t>服饰穿搭</t>
        </is>
      </c>
      <c r="U2700" t="inlineStr">
        <is>
          <t>女装</t>
        </is>
      </c>
      <c r="V2700" s="3">
        <v>46112.78107638889</v>
      </c>
      <c r="W2700" t="inlineStr">
        <is>
          <t>2026-Q1</t>
        </is>
      </c>
    </row>
    <row r="2701" ht="25.5" customHeight="1">
      <c r="A2701" t="inlineStr">
        <is>
          <t>不贴腿宽松高腰微喇牛仔裤女显瘦显腿长百搭休闲弹力复古拖地裤</t>
        </is>
      </c>
      <c r="B2701" t="inlineStr">
        <is>
          <t>recvekduUIPiQK.jpg</t>
        </is>
      </c>
      <c r="C2701" s="2" t="str">
        <f>=HYPERLINK("https://xhslink.com/m/8D7idLj41Ui", "https://xhslink.com/m/8D7idLj41Ui")</f>
        <v>https://xhslink.com/m/8D7idLj41Ui</v>
      </c>
      <c r="D2701"/>
      <c r="E2701">
        <v>1185</v>
      </c>
      <c r="F2701">
        <v>98</v>
      </c>
      <c r="G2701">
        <v>95</v>
      </c>
      <c r="H2701">
        <v>100</v>
      </c>
      <c r="I2701" t="inlineStr">
        <is>
          <t>牛仔裤</t>
        </is>
      </c>
      <c r="J2701" t="inlineStr">
        <is>
          <t>0.08</t>
        </is>
      </c>
      <c r="K2701" t="inlineStr">
        <is>
          <t>🔥低粉爆款</t>
        </is>
      </c>
      <c r="L2701" t="inlineStr">
        <is>
          <t>MY铭洋服饰的店</t>
        </is>
      </c>
      <c r="M2701">
        <v>367</v>
      </c>
      <c r="N2701">
        <v>4.5</v>
      </c>
      <c r="O2701">
        <v>4073</v>
      </c>
      <c r="P2701" t="inlineStr">
        <is>
          <t>697ed5521b20000001a0f5ca</t>
        </is>
      </c>
      <c r="Q2701"/>
      <c r="R2701" t="inlineStr">
        <is>
          <t>14周</t>
        </is>
      </c>
      <c r="S2701" t="inlineStr">
        <is>
          <t>3.23</t>
        </is>
      </c>
      <c r="T2701" t="inlineStr">
        <is>
          <t>服饰穿搭</t>
        </is>
      </c>
      <c r="U2701" t="inlineStr">
        <is>
          <t>女装</t>
        </is>
      </c>
      <c r="V2701" s="3">
        <v>46112.78107638889</v>
      </c>
      <c r="W2701" t="inlineStr">
        <is>
          <t>2026-Q1</t>
        </is>
      </c>
    </row>
    <row r="2702" ht="25.5" customHeight="1">
      <c r="A2702" t="inlineStr">
        <is>
          <t>【长腿法则】冰皮360°弹力微喇牛仔裤夏季薄款双排扣高腰百搭显瘦</t>
        </is>
      </c>
      <c r="B2702" t="inlineStr">
        <is>
          <t>recvekduUIB2V3.jpg</t>
        </is>
      </c>
      <c r="C2702" s="2" t="str">
        <f>=HYPERLINK("https://xhslink.com/m/9ttGTeRAXvt", "https://xhslink.com/m/9ttGTeRAXvt")</f>
        <v>https://xhslink.com/m/9ttGTeRAXvt</v>
      </c>
      <c r="D2702"/>
      <c r="E2702">
        <v>3112</v>
      </c>
      <c r="F2702">
        <v>199</v>
      </c>
      <c r="G2702">
        <v>154</v>
      </c>
      <c r="H2702">
        <v>100</v>
      </c>
      <c r="I2702" t="inlineStr">
        <is>
          <t>牛仔裤</t>
        </is>
      </c>
      <c r="J2702" t="inlineStr">
        <is>
          <t>0.03</t>
        </is>
      </c>
      <c r="K2702"/>
      <c r="L2702" t="inlineStr">
        <is>
          <t>中山高端精品牛仔工厂的店</t>
        </is>
      </c>
      <c r="M2702">
        <v>35000</v>
      </c>
      <c r="N2702">
        <v>4.66</v>
      </c>
      <c r="O2702">
        <v>112000</v>
      </c>
      <c r="P2702" t="inlineStr">
        <is>
          <t>6851097b619a890015204f04</t>
        </is>
      </c>
      <c r="Q2702"/>
      <c r="R2702" t="inlineStr">
        <is>
          <t>14周</t>
        </is>
      </c>
      <c r="S2702" t="inlineStr">
        <is>
          <t>0.09</t>
        </is>
      </c>
      <c r="T2702" t="inlineStr">
        <is>
          <t>服饰穿搭</t>
        </is>
      </c>
      <c r="U2702" t="inlineStr">
        <is>
          <t>女装</t>
        </is>
      </c>
      <c r="V2702" s="3">
        <v>46112.78107638889</v>
      </c>
      <c r="W2702" t="inlineStr">
        <is>
          <t>2026-Q1</t>
        </is>
      </c>
    </row>
    <row r="2703" ht="25.5" customHeight="1">
      <c r="A2703" t="inlineStr">
        <is>
          <t>6103#大码白色高腰阔腿牛仔裤女宽松秋冬季新款高端直筒裤女</t>
        </is>
      </c>
      <c r="B2703" t="inlineStr">
        <is>
          <t>recvekduUIy35B.jpg</t>
        </is>
      </c>
      <c r="C2703" s="2" t="str">
        <f>=HYPERLINK("https://xhslink.com/m/91M5TDmYtq8", "https://xhslink.com/m/91M5TDmYtq8")</f>
        <v>https://xhslink.com/m/91M5TDmYtq8</v>
      </c>
      <c r="D2703"/>
      <c r="E2703">
        <v>6963</v>
      </c>
      <c r="F2703">
        <v>139.99</v>
      </c>
      <c r="G2703">
        <v>86.99</v>
      </c>
      <c r="H2703">
        <v>100</v>
      </c>
      <c r="I2703" t="inlineStr">
        <is>
          <t>牛仔裤</t>
        </is>
      </c>
      <c r="J2703" t="inlineStr">
        <is>
          <t>0.01</t>
        </is>
      </c>
      <c r="K2703"/>
      <c r="L2703" t="inlineStr">
        <is>
          <t>洋洋梨形穿搭的店</t>
        </is>
      </c>
      <c r="M2703">
        <v>24000</v>
      </c>
      <c r="N2703">
        <v>4.43</v>
      </c>
      <c r="O2703">
        <v>142000</v>
      </c>
      <c r="P2703" t="inlineStr">
        <is>
          <t>672814d1b43c000001e88d94</t>
        </is>
      </c>
      <c r="Q2703" t="inlineStr">
        <is>
          <t>🚫重复</t>
        </is>
      </c>
      <c r="R2703" t="inlineStr">
        <is>
          <t>14周</t>
        </is>
      </c>
      <c r="S2703" t="inlineStr">
        <is>
          <t>0.29</t>
        </is>
      </c>
      <c r="T2703" t="inlineStr">
        <is>
          <t>服饰穿搭</t>
        </is>
      </c>
      <c r="U2703" t="inlineStr">
        <is>
          <t>女装</t>
        </is>
      </c>
      <c r="V2703" s="3">
        <v>46112.78107638889</v>
      </c>
      <c r="W2703" t="inlineStr">
        <is>
          <t>2026-Q1</t>
        </is>
      </c>
    </row>
    <row r="2704" ht="25.5" customHeight="1">
      <c r="A2704" t="inlineStr">
        <is>
          <t>山东千层馒头老面发酵纯手工馍馍不加糖油【包分层】150g/个4个装</t>
        </is>
      </c>
      <c r="B2704" t="inlineStr">
        <is>
          <t>recvekduUICa63.jpg</t>
        </is>
      </c>
      <c r="C2704" s="2" t="str">
        <f>=HYPERLINK("https://xhslink.com/m/tZs5PwoX2N", "https://xhslink.com/m/tZs5PwoX2N")</f>
        <v>https://xhslink.com/m/tZs5PwoX2N</v>
      </c>
      <c r="D2704"/>
      <c r="E2704">
        <v>41000</v>
      </c>
      <c r="F2704">
        <v>31.8</v>
      </c>
      <c r="G2704">
        <v>21.8</v>
      </c>
      <c r="H2704">
        <v>100</v>
      </c>
      <c r="I2704" t="inlineStr">
        <is>
          <t>速食冻品</t>
        </is>
      </c>
      <c r="J2704" t="inlineStr">
        <is>
          <t>0.00</t>
        </is>
      </c>
      <c r="K2704" t="inlineStr">
        <is>
          <t>🔥低粉爆款</t>
        </is>
      </c>
      <c r="L2704" t="inlineStr">
        <is>
          <t>碳水研究所的店</t>
        </is>
      </c>
      <c r="M2704">
        <v>6453</v>
      </c>
      <c r="N2704">
        <v>4.67</v>
      </c>
      <c r="O2704">
        <v>178000</v>
      </c>
      <c r="P2704" t="inlineStr">
        <is>
          <t>687fbc96ebefca0001c5b53a</t>
        </is>
      </c>
      <c r="Q2704" t="inlineStr">
        <is>
          <t>🚫重复</t>
        </is>
      </c>
      <c r="R2704" t="inlineStr">
        <is>
          <t>14周</t>
        </is>
      </c>
      <c r="S2704" t="inlineStr">
        <is>
          <t>6.35</t>
        </is>
      </c>
      <c r="T2704" t="inlineStr">
        <is>
          <t>美食滋补</t>
        </is>
      </c>
      <c r="U2704" t="inlineStr">
        <is>
          <t>休闲零食</t>
        </is>
      </c>
      <c r="V2704" s="3">
        <v>46112.78107638889</v>
      </c>
      <c r="W2704" t="inlineStr">
        <is>
          <t>2026-Q1</t>
        </is>
      </c>
    </row>
    <row r="2705" ht="25.5" customHeight="1">
      <c r="A2705" t="inlineStr">
        <is>
          <t>【顺丰冷链包邮】正宗汕头潮汕墨鱼丸纯手工美食火锅食材</t>
        </is>
      </c>
      <c r="B2705" t="inlineStr">
        <is>
          <t>recvekduUIvtgq.jpg</t>
        </is>
      </c>
      <c r="C2705" s="2" t="str">
        <f>=HYPERLINK("https://xhslink.com/m/6Vnpb9tCrMS", "https://xhslink.com/m/6Vnpb9tCrMS")</f>
        <v>https://xhslink.com/m/6Vnpb9tCrMS</v>
      </c>
      <c r="D2705"/>
      <c r="E2705">
        <v>13000</v>
      </c>
      <c r="F2705">
        <v>92</v>
      </c>
      <c r="G2705">
        <v>72</v>
      </c>
      <c r="H2705">
        <v>100</v>
      </c>
      <c r="I2705" t="inlineStr">
        <is>
          <t>速食冻品</t>
        </is>
      </c>
      <c r="J2705" t="inlineStr">
        <is>
          <t>0.01</t>
        </is>
      </c>
      <c r="K2705"/>
      <c r="L2705" t="inlineStr">
        <is>
          <t>汕头龙北市场牛肉丸的店</t>
        </is>
      </c>
      <c r="M2705">
        <v>6590</v>
      </c>
      <c r="N2705">
        <v>4.69</v>
      </c>
      <c r="O2705">
        <v>22000</v>
      </c>
      <c r="P2705" t="inlineStr">
        <is>
          <t>691ad97260f5970001701122</t>
        </is>
      </c>
      <c r="Q2705"/>
      <c r="R2705" t="inlineStr">
        <is>
          <t>14周</t>
        </is>
      </c>
      <c r="S2705" t="inlineStr">
        <is>
          <t>1.97</t>
        </is>
      </c>
      <c r="T2705" t="inlineStr">
        <is>
          <t>家居生活</t>
        </is>
      </c>
      <c r="U2705" t="inlineStr">
        <is>
          <t>厨房餐饮</t>
        </is>
      </c>
      <c r="V2705" s="3">
        <v>46112.78107638889</v>
      </c>
      <c r="W2705" t="inlineStr">
        <is>
          <t>2026-Q1</t>
        </is>
      </c>
    </row>
    <row r="2706" ht="25.5" customHeight="1">
      <c r="A2706" t="inlineStr">
        <is>
          <t>潮汕手工墨鱼丸0糖1%淀粉无添加猪油低卡减脂低碳水 顺丰包邮</t>
        </is>
      </c>
      <c r="B2706" t="inlineStr">
        <is>
          <t>recvekduUI1XRf.jpg</t>
        </is>
      </c>
      <c r="C2706" s="2" t="str">
        <f>=HYPERLINK("https://xhslink.com/m/1EfpvEIMeu3", "https://xhslink.com/m/1EfpvEIMeu3")</f>
        <v>https://xhslink.com/m/1EfpvEIMeu3</v>
      </c>
      <c r="D2706"/>
      <c r="E2706">
        <v>11000</v>
      </c>
      <c r="F2706">
        <v>46</v>
      </c>
      <c r="G2706">
        <v>39</v>
      </c>
      <c r="H2706">
        <v>100</v>
      </c>
      <c r="I2706" t="inlineStr">
        <is>
          <t>速食冻品</t>
        </is>
      </c>
      <c r="J2706" t="inlineStr">
        <is>
          <t>0.01</t>
        </is>
      </c>
      <c r="K2706" t="inlineStr">
        <is>
          <t>🔥低粉爆款</t>
        </is>
      </c>
      <c r="L2706" t="inlineStr">
        <is>
          <t>姚记优选潮汕正宗墨鱼丸的店</t>
        </is>
      </c>
      <c r="M2706">
        <v>505</v>
      </c>
      <c r="N2706">
        <v>4.77</v>
      </c>
      <c r="O2706">
        <v>11000</v>
      </c>
      <c r="P2706" t="inlineStr">
        <is>
          <t>68f044fa2990490001263bd4</t>
        </is>
      </c>
      <c r="Q2706" t="inlineStr">
        <is>
          <t>🚫重复</t>
        </is>
      </c>
      <c r="R2706" t="inlineStr">
        <is>
          <t>14周</t>
        </is>
      </c>
      <c r="S2706" t="inlineStr">
        <is>
          <t>21.78</t>
        </is>
      </c>
      <c r="T2706" t="inlineStr">
        <is>
          <t>美食滋补</t>
        </is>
      </c>
      <c r="U2706" t="inlineStr">
        <is>
          <t>休闲零食</t>
        </is>
      </c>
      <c r="V2706" s="3">
        <v>46112.78107638889</v>
      </c>
      <c r="W2706" t="inlineStr">
        <is>
          <t>2026-Q1</t>
        </is>
      </c>
    </row>
    <row r="2707" ht="25.5" customHeight="1">
      <c r="A2707" t="inlineStr">
        <is>
          <t>一旬一味 · 【手工纸皮烧麦】网红大只纸皮糯米烧卖学生儿童营养速食方便早餐</t>
        </is>
      </c>
      <c r="B2707" t="inlineStr">
        <is>
          <t>recvekduUIwAks.jpg</t>
        </is>
      </c>
      <c r="C2707" s="2" t="str">
        <f>=HYPERLINK("https://xhslink.com/m/4GgqHHLEoIb", "https://xhslink.com/m/4GgqHHLEoIb")</f>
        <v>https://xhslink.com/m/4GgqHHLEoIb</v>
      </c>
      <c r="D2707"/>
      <c r="E2707">
        <v>104000</v>
      </c>
      <c r="F2707">
        <v>129.9</v>
      </c>
      <c r="G2707">
        <v>97.9</v>
      </c>
      <c r="H2707">
        <v>100</v>
      </c>
      <c r="I2707" t="inlineStr">
        <is>
          <t>速食冻品</t>
        </is>
      </c>
      <c r="J2707" t="inlineStr">
        <is>
          <t>0.00</t>
        </is>
      </c>
      <c r="K2707" t="inlineStr">
        <is>
          <t>🔥低粉爆款</t>
        </is>
      </c>
      <c r="L2707" t="inlineStr">
        <is>
          <t>一旬一味旗舰店</t>
        </is>
      </c>
      <c r="M2707">
        <v>28000</v>
      </c>
      <c r="N2707">
        <v>4.36</v>
      </c>
      <c r="O2707">
        <v>247000</v>
      </c>
      <c r="P2707" t="inlineStr">
        <is>
          <t>63636cfcccd4c30001c44c38</t>
        </is>
      </c>
      <c r="Q2707" t="inlineStr">
        <is>
          <t>🚫重复</t>
        </is>
      </c>
      <c r="R2707" t="inlineStr">
        <is>
          <t>14周</t>
        </is>
      </c>
      <c r="S2707" t="inlineStr">
        <is>
          <t>3.71</t>
        </is>
      </c>
      <c r="T2707" t="inlineStr">
        <is>
          <t>美食滋补</t>
        </is>
      </c>
      <c r="U2707" t="inlineStr">
        <is>
          <t>休闲零食</t>
        </is>
      </c>
      <c r="V2707" s="3">
        <v>46112.78107638889</v>
      </c>
      <c r="W2707" t="inlineStr">
        <is>
          <t>2026-Q1</t>
        </is>
      </c>
    </row>
    <row r="2708" ht="25.5" customHeight="1">
      <c r="A2708" t="inlineStr">
        <is>
          <t>顺丰包邮原味不加糖无油山东纯手工纸皮豆沙包老式南瓜红豆包早餐</t>
        </is>
      </c>
      <c r="B2708" t="inlineStr">
        <is>
          <t>recvekduUIkDkq.jpg</t>
        </is>
      </c>
      <c r="C2708" s="2" t="str">
        <f>=HYPERLINK("https://xhslink.com/m/1yAWaj6Ion3", "https://xhslink.com/m/1yAWaj6Ion3")</f>
        <v>https://xhslink.com/m/1yAWaj6Ion3</v>
      </c>
      <c r="D2708"/>
      <c r="E2708">
        <v>31000</v>
      </c>
      <c r="F2708">
        <v>45.9</v>
      </c>
      <c r="G2708">
        <v>30.9</v>
      </c>
      <c r="H2708">
        <v>100</v>
      </c>
      <c r="I2708" t="inlineStr">
        <is>
          <t>速食冻品</t>
        </is>
      </c>
      <c r="J2708" t="inlineStr">
        <is>
          <t>0.00</t>
        </is>
      </c>
      <c r="K2708" t="inlineStr">
        <is>
          <t>🔥低粉爆款</t>
        </is>
      </c>
      <c r="L2708" t="inlineStr">
        <is>
          <t>80麦田食品的店</t>
        </is>
      </c>
      <c r="M2708">
        <v>934</v>
      </c>
      <c r="N2708">
        <v>4.66</v>
      </c>
      <c r="O2708">
        <v>36000</v>
      </c>
      <c r="P2708" t="inlineStr">
        <is>
          <t>68ba2aa2a303300001f28842</t>
        </is>
      </c>
      <c r="Q2708" t="inlineStr">
        <is>
          <t>🚫重复</t>
        </is>
      </c>
      <c r="R2708" t="inlineStr">
        <is>
          <t>14周</t>
        </is>
      </c>
      <c r="S2708" t="inlineStr">
        <is>
          <t>33.19</t>
        </is>
      </c>
      <c r="T2708" t="inlineStr">
        <is>
          <t>美食滋补</t>
        </is>
      </c>
      <c r="U2708" t="inlineStr">
        <is>
          <t>休闲零食</t>
        </is>
      </c>
      <c r="V2708" s="3">
        <v>46112.78107638889</v>
      </c>
      <c r="W2708" t="inlineStr">
        <is>
          <t>2026-Q1</t>
        </is>
      </c>
    </row>
    <row r="2709" ht="25.5" customHeight="1">
      <c r="A2709" t="inlineStr">
        <is>
          <t>薄皮纯手工小馄饨套餐5盒（五个不同口味）每盒15个带料包</t>
        </is>
      </c>
      <c r="B2709" t="inlineStr">
        <is>
          <t>recvekduUIHZel.jpg</t>
        </is>
      </c>
      <c r="C2709" s="2" t="str">
        <f>=HYPERLINK("https://xhslink.com/m/9TqU9jFFaJW", "https://xhslink.com/m/9TqU9jFFaJW")</f>
        <v>https://xhslink.com/m/9TqU9jFFaJW</v>
      </c>
      <c r="D2709"/>
      <c r="E2709">
        <v>57000</v>
      </c>
      <c r="F2709">
        <v>50.9</v>
      </c>
      <c r="G2709">
        <v>39.9</v>
      </c>
      <c r="H2709">
        <v>100</v>
      </c>
      <c r="I2709" t="inlineStr">
        <is>
          <t>速食冻品</t>
        </is>
      </c>
      <c r="J2709" t="inlineStr">
        <is>
          <t>0.00</t>
        </is>
      </c>
      <c r="K2709" t="inlineStr">
        <is>
          <t>🔥低粉爆款</t>
        </is>
      </c>
      <c r="L2709" t="inlineStr">
        <is>
          <t>笨笨家馄饨的店</t>
        </is>
      </c>
      <c r="M2709">
        <v>11000</v>
      </c>
      <c r="N2709">
        <v>4.63</v>
      </c>
      <c r="O2709">
        <v>122000</v>
      </c>
      <c r="P2709" t="inlineStr">
        <is>
          <t>66afa37ddf6161000180d13c</t>
        </is>
      </c>
      <c r="Q2709"/>
      <c r="R2709" t="inlineStr">
        <is>
          <t>14周</t>
        </is>
      </c>
      <c r="S2709" t="inlineStr">
        <is>
          <t>5.18</t>
        </is>
      </c>
      <c r="T2709" t="inlineStr">
        <is>
          <t>美食滋补</t>
        </is>
      </c>
      <c r="U2709" t="inlineStr">
        <is>
          <t>休闲零食</t>
        </is>
      </c>
      <c r="V2709" s="3">
        <v>46112.78107638889</v>
      </c>
      <c r="W2709" t="inlineStr">
        <is>
          <t>2026-Q1</t>
        </is>
      </c>
    </row>
    <row r="2710" ht="25.5" customHeight="1">
      <c r="A2710" t="inlineStr">
        <is>
          <t>山东新中式馒头纯手工花卷车轮卷紫米芋泥抹茶早餐</t>
        </is>
      </c>
      <c r="B2710" t="inlineStr">
        <is>
          <t>recvekduUIm4hL.jpg</t>
        </is>
      </c>
      <c r="C2710" s="2" t="str">
        <f>=HYPERLINK("https://xhslink.com/m/dL5lNoslHS", "https://xhslink.com/m/dL5lNoslHS")</f>
        <v>https://xhslink.com/m/dL5lNoslHS</v>
      </c>
      <c r="D2710"/>
      <c r="E2710">
        <v>10000</v>
      </c>
      <c r="F2710">
        <v>29.9</v>
      </c>
      <c r="G2710">
        <v>19.9</v>
      </c>
      <c r="H2710">
        <v>100</v>
      </c>
      <c r="I2710" t="inlineStr">
        <is>
          <t>速食冻品</t>
        </is>
      </c>
      <c r="J2710" t="inlineStr">
        <is>
          <t>0.01</t>
        </is>
      </c>
      <c r="K2710" t="inlineStr">
        <is>
          <t>🔥低粉爆款</t>
        </is>
      </c>
      <c r="L2710" t="inlineStr">
        <is>
          <t>李小馒的店</t>
        </is>
      </c>
      <c r="M2710">
        <v>1367</v>
      </c>
      <c r="N2710">
        <v>4.58</v>
      </c>
      <c r="O2710">
        <v>14000</v>
      </c>
      <c r="P2710" t="inlineStr">
        <is>
          <t>68dcf0bb702da100016537b9</t>
        </is>
      </c>
      <c r="Q2710" t="inlineStr">
        <is>
          <t>🚫重复</t>
        </is>
      </c>
      <c r="R2710" t="inlineStr">
        <is>
          <t>14周</t>
        </is>
      </c>
      <c r="S2710" t="inlineStr">
        <is>
          <t>7.32</t>
        </is>
      </c>
      <c r="T2710" t="inlineStr">
        <is>
          <t>美食滋补</t>
        </is>
      </c>
      <c r="U2710" t="inlineStr">
        <is>
          <t>休闲零食</t>
        </is>
      </c>
      <c r="V2710" s="3">
        <v>46112.78107638889</v>
      </c>
      <c r="W2710" t="inlineStr">
        <is>
          <t>2026-Q1</t>
        </is>
      </c>
    </row>
    <row r="2711" ht="25.5" customHeight="1">
      <c r="A2711" t="inlineStr">
        <is>
          <t>【千层麦香火烧】软杠子头面食硬面低脂健康麦香烧饼馒头速食火烧</t>
        </is>
      </c>
      <c r="B2711" t="inlineStr">
        <is>
          <t>recvekduUIwYdj.jpg</t>
        </is>
      </c>
      <c r="C2711" s="2" t="str">
        <f>=HYPERLINK("https://xhslink.com/m/9JSBrQsS5MG", "https://xhslink.com/m/9JSBrQsS5MG")</f>
        <v>https://xhslink.com/m/9JSBrQsS5MG</v>
      </c>
      <c r="D2711"/>
      <c r="E2711">
        <v>13000</v>
      </c>
      <c r="F2711">
        <v>42.8</v>
      </c>
      <c r="G2711">
        <v>22.8</v>
      </c>
      <c r="H2711">
        <v>100</v>
      </c>
      <c r="I2711" t="inlineStr">
        <is>
          <t>速食冻品</t>
        </is>
      </c>
      <c r="J2711" t="inlineStr">
        <is>
          <t>0.01</t>
        </is>
      </c>
      <c r="K2711"/>
      <c r="L2711" t="inlineStr">
        <is>
          <t>穗穗手作的店</t>
        </is>
      </c>
      <c r="M2711">
        <v>7131</v>
      </c>
      <c r="N2711">
        <v>4.54</v>
      </c>
      <c r="O2711">
        <v>85000</v>
      </c>
      <c r="P2711" t="inlineStr">
        <is>
          <t>688c37079e83740001a3aaec</t>
        </is>
      </c>
      <c r="Q2711" t="inlineStr">
        <is>
          <t>🚫重复</t>
        </is>
      </c>
      <c r="R2711" t="inlineStr">
        <is>
          <t>14周</t>
        </is>
      </c>
      <c r="S2711" t="inlineStr">
        <is>
          <t>1.82</t>
        </is>
      </c>
      <c r="T2711" t="inlineStr">
        <is>
          <t>美食滋补</t>
        </is>
      </c>
      <c r="U2711" t="inlineStr">
        <is>
          <t>休闲零食</t>
        </is>
      </c>
      <c r="V2711" s="3">
        <v>46112.78107638889</v>
      </c>
      <c r="W2711" t="inlineStr">
        <is>
          <t>2026-Q1</t>
        </is>
      </c>
    </row>
    <row r="2712" ht="25.5" customHeight="1">
      <c r="A2712" t="inlineStr">
        <is>
          <t>【千层馒头】奶皮子千层·抹茶千层山东手工馒头</t>
        </is>
      </c>
      <c r="B2712" t="inlineStr">
        <is>
          <t>recvekduUIoGHV.jpg</t>
        </is>
      </c>
      <c r="C2712" s="2" t="str">
        <f>=HYPERLINK("https://xhslink.com/m/2AYMJn0jCUX", "https://xhslink.com/m/2AYMJn0jCUX")</f>
        <v>https://xhslink.com/m/2AYMJn0jCUX</v>
      </c>
      <c r="D2712"/>
      <c r="E2712">
        <v>7494</v>
      </c>
      <c r="F2712">
        <v>46.8</v>
      </c>
      <c r="G2712">
        <v>26.8</v>
      </c>
      <c r="H2712">
        <v>100</v>
      </c>
      <c r="I2712" t="inlineStr">
        <is>
          <t>速食冻品</t>
        </is>
      </c>
      <c r="J2712" t="inlineStr">
        <is>
          <t>0.01</t>
        </is>
      </c>
      <c r="K2712"/>
      <c r="L2712" t="inlineStr">
        <is>
          <t>穗穗手作的店</t>
        </is>
      </c>
      <c r="M2712">
        <v>7131</v>
      </c>
      <c r="N2712">
        <v>4.54</v>
      </c>
      <c r="O2712">
        <v>85000</v>
      </c>
      <c r="P2712" t="inlineStr">
        <is>
          <t>68fa24a1b8a4f60001d01067</t>
        </is>
      </c>
      <c r="Q2712" t="inlineStr">
        <is>
          <t>🚫重复</t>
        </is>
      </c>
      <c r="R2712" t="inlineStr">
        <is>
          <t>14周</t>
        </is>
      </c>
      <c r="S2712" t="inlineStr">
        <is>
          <t>1.05</t>
        </is>
      </c>
      <c r="T2712" t="inlineStr">
        <is>
          <t>美食滋补</t>
        </is>
      </c>
      <c r="U2712" t="inlineStr">
        <is>
          <t>休闲零食</t>
        </is>
      </c>
      <c r="V2712" s="3">
        <v>46112.78107638889</v>
      </c>
      <c r="W2712" t="inlineStr">
        <is>
          <t>2026-Q1</t>
        </is>
      </c>
    </row>
    <row r="2713" ht="25.5" customHeight="1">
      <c r="A2713" t="inlineStr">
        <is>
          <t>锋味派 · 酥皮馅饼安格斯牛肉馅饼黑猪肉煎饼早餐冷冻方便速食半成品早饭</t>
        </is>
      </c>
      <c r="B2713" t="inlineStr">
        <is>
          <t>recvekduUIEeAa.jpg</t>
        </is>
      </c>
      <c r="C2713" s="2" t="str">
        <f>=HYPERLINK("https://xhslink.com/m/3t0J493GY7a", "https://xhslink.com/m/3t0J493GY7a")</f>
        <v>https://xhslink.com/m/3t0J493GY7a</v>
      </c>
      <c r="D2713"/>
      <c r="E2713">
        <v>24000</v>
      </c>
      <c r="F2713">
        <v>179</v>
      </c>
      <c r="G2713">
        <v>149</v>
      </c>
      <c r="H2713">
        <v>100</v>
      </c>
      <c r="I2713" t="inlineStr">
        <is>
          <t>速食冻品</t>
        </is>
      </c>
      <c r="J2713" t="inlineStr">
        <is>
          <t>0.00</t>
        </is>
      </c>
      <c r="K2713"/>
      <c r="L2713" t="inlineStr">
        <is>
          <t>锋味派旗舰店</t>
        </is>
      </c>
      <c r="M2713">
        <v>352000</v>
      </c>
      <c r="N2713">
        <v>4.77</v>
      </c>
      <c r="O2713">
        <v>548000</v>
      </c>
      <c r="P2713" t="inlineStr">
        <is>
          <t>67c54e92cb5e420001787565</t>
        </is>
      </c>
      <c r="Q2713" t="inlineStr">
        <is>
          <t>🚫重复</t>
        </is>
      </c>
      <c r="R2713" t="inlineStr">
        <is>
          <t>14周</t>
        </is>
      </c>
      <c r="S2713" t="inlineStr">
        <is>
          <t>0.07</t>
        </is>
      </c>
      <c r="T2713" t="inlineStr">
        <is>
          <t>家居生活</t>
        </is>
      </c>
      <c r="U2713" t="inlineStr">
        <is>
          <t>厨房餐饮</t>
        </is>
      </c>
      <c r="V2713" s="3">
        <v>46112.78107638889</v>
      </c>
      <c r="W2713" t="inlineStr">
        <is>
          <t>2026-Q1</t>
        </is>
      </c>
    </row>
    <row r="2714" ht="25.5" customHeight="1">
      <c r="A2714" t="inlineStr">
        <is>
          <t>馒头超人 · 【新】乌米香肠卷 ·手工老面馒头 组合套餐</t>
        </is>
      </c>
      <c r="B2714" t="inlineStr">
        <is>
          <t>recvekduUIYXWz.jpg</t>
        </is>
      </c>
      <c r="C2714" s="2" t="str">
        <f>=HYPERLINK("https://xhslink.com/m/5sXa55awPFw", "https://xhslink.com/m/5sXa55awPFw")</f>
        <v>https://xhslink.com/m/5sXa55awPFw</v>
      </c>
      <c r="D2714"/>
      <c r="E2714">
        <v>7632</v>
      </c>
      <c r="F2714">
        <v>48.8</v>
      </c>
      <c r="G2714"/>
      <c r="H2714">
        <v>100</v>
      </c>
      <c r="I2714" t="inlineStr">
        <is>
          <t>速食冻品</t>
        </is>
      </c>
      <c r="J2714" t="inlineStr">
        <is>
          <t>0.01</t>
        </is>
      </c>
      <c r="K2714"/>
      <c r="L2714" t="inlineStr">
        <is>
          <t>馒头超人supermantou的店</t>
        </is>
      </c>
      <c r="M2714">
        <v>99000</v>
      </c>
      <c r="N2714">
        <v>4.41</v>
      </c>
      <c r="O2714">
        <v>472000</v>
      </c>
      <c r="P2714" t="inlineStr">
        <is>
          <t>694cf4076fadb7000118dbc5</t>
        </is>
      </c>
      <c r="Q2714"/>
      <c r="R2714" t="inlineStr">
        <is>
          <t>14周</t>
        </is>
      </c>
      <c r="S2714" t="inlineStr">
        <is>
          <t>0.08</t>
        </is>
      </c>
      <c r="T2714" t="inlineStr">
        <is>
          <t>美食滋补</t>
        </is>
      </c>
      <c r="U2714" t="inlineStr">
        <is>
          <t>休闲零食</t>
        </is>
      </c>
      <c r="V2714" s="3">
        <v>46112.78107638889</v>
      </c>
      <c r="W2714" t="inlineStr">
        <is>
          <t>2026-Q1</t>
        </is>
      </c>
    </row>
    <row r="2715" ht="25.5" customHeight="1">
      <c r="A2715" t="inlineStr">
        <is>
          <t>遂香记 · 【无麸质饺子】山粉饺芋饺红薯粉芋头纯手工水饺蒸饺丽水特产美食</t>
        </is>
      </c>
      <c r="B2715" t="inlineStr">
        <is>
          <t>recvekduUIww5v.jpg</t>
        </is>
      </c>
      <c r="C2715" s="2" t="str">
        <f>=HYPERLINK("https://xhslink.com/m/7vRZFbykH5G", "https://xhslink.com/m/7vRZFbykH5G")</f>
        <v>https://xhslink.com/m/7vRZFbykH5G</v>
      </c>
      <c r="D2715"/>
      <c r="E2715">
        <v>6731</v>
      </c>
      <c r="F2715">
        <v>79</v>
      </c>
      <c r="G2715"/>
      <c r="H2715">
        <v>100</v>
      </c>
      <c r="I2715" t="inlineStr">
        <is>
          <t>速食冻品</t>
        </is>
      </c>
      <c r="J2715" t="inlineStr">
        <is>
          <t>0.01</t>
        </is>
      </c>
      <c r="K2715"/>
      <c r="L2715" t="inlineStr">
        <is>
          <t>遂香记的店</t>
        </is>
      </c>
      <c r="M2715">
        <v>22000</v>
      </c>
      <c r="N2715">
        <v>4.68</v>
      </c>
      <c r="O2715">
        <v>272000</v>
      </c>
      <c r="P2715" t="inlineStr">
        <is>
          <t>67fa2d07b2c30c00018b01c2</t>
        </is>
      </c>
      <c r="Q2715" t="inlineStr">
        <is>
          <t>🚫重复</t>
        </is>
      </c>
      <c r="R2715" t="inlineStr">
        <is>
          <t>14周</t>
        </is>
      </c>
      <c r="S2715" t="inlineStr">
        <is>
          <t>0.31</t>
        </is>
      </c>
      <c r="T2715" t="inlineStr">
        <is>
          <t>美食滋补</t>
        </is>
      </c>
      <c r="U2715" t="inlineStr">
        <is>
          <t>生鲜特产</t>
        </is>
      </c>
      <c r="V2715" s="3">
        <v>46112.78107638889</v>
      </c>
      <c r="W2715" t="inlineStr">
        <is>
          <t>2026-Q1</t>
        </is>
      </c>
    </row>
    <row r="2716" ht="25.5" customHeight="1">
      <c r="A2716" t="inlineStr">
        <is>
          <t>【独立包装】山东千层馒头老面发酵手工不加糖油早餐100g/个</t>
        </is>
      </c>
      <c r="B2716" t="inlineStr">
        <is>
          <t>recvekduUILGp7.jpg</t>
        </is>
      </c>
      <c r="C2716" s="2" t="str">
        <f>=HYPERLINK("https://xhslink.com/m/5I9dKUwGRHU", "https://xhslink.com/m/5I9dKUwGRHU")</f>
        <v>https://xhslink.com/m/5I9dKUwGRHU</v>
      </c>
      <c r="D2716"/>
      <c r="E2716">
        <v>3055</v>
      </c>
      <c r="F2716">
        <v>22.9</v>
      </c>
      <c r="G2716">
        <v>10.9</v>
      </c>
      <c r="H2716">
        <v>100</v>
      </c>
      <c r="I2716" t="inlineStr">
        <is>
          <t>速食冻品</t>
        </is>
      </c>
      <c r="J2716" t="inlineStr">
        <is>
          <t>0.03</t>
        </is>
      </c>
      <c r="K2716"/>
      <c r="L2716" t="inlineStr">
        <is>
          <t>碳水研究所的店</t>
        </is>
      </c>
      <c r="M2716">
        <v>6453</v>
      </c>
      <c r="N2716">
        <v>4.67</v>
      </c>
      <c r="O2716">
        <v>178000</v>
      </c>
      <c r="P2716" t="inlineStr">
        <is>
          <t>695f946fdfff0400017247d3</t>
        </is>
      </c>
      <c r="Q2716" t="inlineStr">
        <is>
          <t>🚫重复</t>
        </is>
      </c>
      <c r="R2716" t="inlineStr">
        <is>
          <t>14周</t>
        </is>
      </c>
      <c r="S2716" t="inlineStr">
        <is>
          <t>0.47</t>
        </is>
      </c>
      <c r="T2716" t="inlineStr">
        <is>
          <t>美食滋补</t>
        </is>
      </c>
      <c r="U2716" t="inlineStr">
        <is>
          <t>休闲零食</t>
        </is>
      </c>
      <c r="V2716" s="3">
        <v>46112.78107638889</v>
      </c>
      <c r="W2716" t="inlineStr">
        <is>
          <t>2026-Q1</t>
        </is>
      </c>
    </row>
    <row r="2717" ht="25.5" customHeight="1">
      <c r="A2717" t="inlineStr">
        <is>
          <t>【现掰直发】云南金银水果玉米甜脆爆浆新鲜甜玉米可生吃现摘现发</t>
        </is>
      </c>
      <c r="B2717" t="inlineStr">
        <is>
          <t>recvekduUILqnN.jpg</t>
        </is>
      </c>
      <c r="C2717" s="2" t="str">
        <f>=HYPERLINK("https://xhslink.com/m/12BsWQuCWFv", "https://xhslink.com/m/12BsWQuCWFv")</f>
        <v>https://xhslink.com/m/12BsWQuCWFv</v>
      </c>
      <c r="D2717"/>
      <c r="E2717">
        <v>128000</v>
      </c>
      <c r="F2717">
        <v>23.8</v>
      </c>
      <c r="G2717">
        <v>18.6</v>
      </c>
      <c r="H2717">
        <v>100</v>
      </c>
      <c r="I2717" t="inlineStr">
        <is>
          <t>蔬菜</t>
        </is>
      </c>
      <c r="J2717" t="inlineStr">
        <is>
          <t>0.00</t>
        </is>
      </c>
      <c r="K2717" t="inlineStr">
        <is>
          <t>🔥低粉爆款</t>
        </is>
      </c>
      <c r="L2717" t="inlineStr">
        <is>
          <t>慵懒合作社的店</t>
        </is>
      </c>
      <c r="M2717">
        <v>2192</v>
      </c>
      <c r="N2717">
        <v>4.7</v>
      </c>
      <c r="O2717">
        <v>129000</v>
      </c>
      <c r="P2717" t="inlineStr">
        <is>
          <t>68150037c883af000128b00f</t>
        </is>
      </c>
      <c r="Q2717"/>
      <c r="R2717" t="inlineStr">
        <is>
          <t>14周</t>
        </is>
      </c>
      <c r="S2717" t="inlineStr">
        <is>
          <t>58.39</t>
        </is>
      </c>
      <c r="T2717" t="inlineStr">
        <is>
          <t>美食滋补</t>
        </is>
      </c>
      <c r="U2717" t="inlineStr">
        <is>
          <t>生鲜特产</t>
        </is>
      </c>
      <c r="V2717" s="3">
        <v>46112.78107638889</v>
      </c>
      <c r="W2717" t="inlineStr">
        <is>
          <t>2026-Q1</t>
        </is>
      </c>
    </row>
    <row r="2718" ht="25.5" customHeight="1">
      <c r="A2718" t="inlineStr">
        <is>
          <t>DDD攀枝花多彩小番茄/玲珑小番茄/皇冠水果小番茄酸甜爆汁</t>
        </is>
      </c>
      <c r="B2718" t="inlineStr">
        <is>
          <t>recvekduUITCa8.jpg</t>
        </is>
      </c>
      <c r="C2718" s="2" t="str">
        <f>=HYPERLINK("https://xhslink.com/m/1Gka51OuO0L", "https://xhslink.com/m/1Gka51OuO0L")</f>
        <v>https://xhslink.com/m/1Gka51OuO0L</v>
      </c>
      <c r="D2718"/>
      <c r="E2718">
        <v>134000</v>
      </c>
      <c r="F2718">
        <v>29.9</v>
      </c>
      <c r="G2718"/>
      <c r="H2718">
        <v>100</v>
      </c>
      <c r="I2718" t="inlineStr">
        <is>
          <t>蔬菜</t>
        </is>
      </c>
      <c r="J2718" t="inlineStr">
        <is>
          <t>0.00</t>
        </is>
      </c>
      <c r="K2718"/>
      <c r="L2718" t="inlineStr">
        <is>
          <t>李丹丹DDD的店</t>
        </is>
      </c>
      <c r="M2718">
        <v>76000</v>
      </c>
      <c r="N2718">
        <v>4.49</v>
      </c>
      <c r="O2718">
        <v>953000</v>
      </c>
      <c r="P2718" t="inlineStr">
        <is>
          <t>6974821c43eb760001e390fb</t>
        </is>
      </c>
      <c r="Q2718" t="inlineStr">
        <is>
          <t>🚫重复</t>
        </is>
      </c>
      <c r="R2718" t="inlineStr">
        <is>
          <t>14周</t>
        </is>
      </c>
      <c r="S2718" t="inlineStr">
        <is>
          <t>1.76</t>
        </is>
      </c>
      <c r="T2718" t="inlineStr">
        <is>
          <t>美食滋补</t>
        </is>
      </c>
      <c r="U2718" t="inlineStr">
        <is>
          <t>生鲜特产</t>
        </is>
      </c>
      <c r="V2718" s="3">
        <v>46112.78107638889</v>
      </c>
      <c r="W2718" t="inlineStr">
        <is>
          <t>2026-Q1</t>
        </is>
      </c>
    </row>
    <row r="2719" ht="25.5" customHeight="1">
      <c r="A2719" t="inlineStr">
        <is>
          <t>降降降！云南高山露天长寿仁新鲜豌豆 现摘现发</t>
        </is>
      </c>
      <c r="B2719" t="inlineStr">
        <is>
          <t>recvekduUIyxv0.jpg</t>
        </is>
      </c>
      <c r="C2719" s="2" t="str">
        <f>=HYPERLINK("https://xhslink.com/m/8YjLvc9inm", "https://xhslink.com/m/8YjLvc9inm")</f>
        <v>https://xhslink.com/m/8YjLvc9inm</v>
      </c>
      <c r="D2719"/>
      <c r="E2719">
        <v>56000</v>
      </c>
      <c r="F2719">
        <v>41.8</v>
      </c>
      <c r="G2719">
        <v>27.3</v>
      </c>
      <c r="H2719">
        <v>100</v>
      </c>
      <c r="I2719" t="inlineStr">
        <is>
          <t>蔬菜</t>
        </is>
      </c>
      <c r="J2719" t="inlineStr">
        <is>
          <t>0.00</t>
        </is>
      </c>
      <c r="K2719" t="inlineStr">
        <is>
          <t>🔥低粉爆款</t>
        </is>
      </c>
      <c r="L2719" t="inlineStr">
        <is>
          <t>云南山菜王的店</t>
        </is>
      </c>
      <c r="M2719">
        <v>8018</v>
      </c>
      <c r="N2719">
        <v>4.57</v>
      </c>
      <c r="O2719">
        <v>122000</v>
      </c>
      <c r="P2719" t="inlineStr">
        <is>
          <t>695c7d97aae2940001494665</t>
        </is>
      </c>
      <c r="Q2719"/>
      <c r="R2719" t="inlineStr">
        <is>
          <t>14周</t>
        </is>
      </c>
      <c r="S2719" t="inlineStr">
        <is>
          <t>6.98</t>
        </is>
      </c>
      <c r="T2719" t="inlineStr">
        <is>
          <t>美食滋补</t>
        </is>
      </c>
      <c r="U2719" t="inlineStr">
        <is>
          <t>生鲜特产</t>
        </is>
      </c>
      <c r="V2719" s="3">
        <v>46112.78107638889</v>
      </c>
      <c r="W2719" t="inlineStr">
        <is>
          <t>2026-Q1</t>
        </is>
      </c>
    </row>
    <row r="2720" ht="25.5" customHeight="1">
      <c r="A2720" t="inlineStr">
        <is>
          <t>【顺丰包邮】七彩小番茄盲盒露天千禧果水果小番茄西红柿轻食水果</t>
        </is>
      </c>
      <c r="B2720" t="inlineStr">
        <is>
          <t>recvekduUIWgxb.jpg</t>
        </is>
      </c>
      <c r="C2720" s="2" t="str">
        <f>=HYPERLINK("https://xhslink.com/m/8DF4lsD8OQl", "https://xhslink.com/m/8DF4lsD8OQl")</f>
        <v>https://xhslink.com/m/8DF4lsD8OQl</v>
      </c>
      <c r="D2720"/>
      <c r="E2720">
        <v>129000</v>
      </c>
      <c r="F2720">
        <v>48.8</v>
      </c>
      <c r="G2720"/>
      <c r="H2720">
        <v>100</v>
      </c>
      <c r="I2720" t="inlineStr">
        <is>
          <t>蔬菜</t>
        </is>
      </c>
      <c r="J2720" t="inlineStr">
        <is>
          <t>0.00</t>
        </is>
      </c>
      <c r="K2720"/>
      <c r="L2720" t="inlineStr">
        <is>
          <t>洋洋乡村生活~的店</t>
        </is>
      </c>
      <c r="M2720">
        <v>146000</v>
      </c>
      <c r="N2720">
        <v>4.62</v>
      </c>
      <c r="O2720">
        <v>1773000</v>
      </c>
      <c r="P2720" t="inlineStr">
        <is>
          <t>6359546ba046e10001aff8ac</t>
        </is>
      </c>
      <c r="Q2720" t="inlineStr">
        <is>
          <t>🚫重复</t>
        </is>
      </c>
      <c r="R2720" t="inlineStr">
        <is>
          <t>14周</t>
        </is>
      </c>
      <c r="S2720" t="inlineStr">
        <is>
          <t>0.88</t>
        </is>
      </c>
      <c r="T2720" t="inlineStr">
        <is>
          <t>美食滋补</t>
        </is>
      </c>
      <c r="U2720" t="inlineStr">
        <is>
          <t>休闲零食</t>
        </is>
      </c>
      <c r="V2720" s="3">
        <v>46112.78107638889</v>
      </c>
      <c r="W2720" t="inlineStr">
        <is>
          <t>2026-Q1</t>
        </is>
      </c>
    </row>
    <row r="2721" ht="25.5" customHeight="1">
      <c r="A2721" t="inlineStr">
        <is>
          <t>云南高山露天红皮黄心粉糯土豆新鲜蔬菜农家现挖产地直发</t>
        </is>
      </c>
      <c r="B2721" t="inlineStr">
        <is>
          <t>recvekduUIKuTz.jpg</t>
        </is>
      </c>
      <c r="C2721" s="2" t="str">
        <f>=HYPERLINK("https://xhslink.com/m/5ad07oFFQbF", "https://xhslink.com/m/5ad07oFFQbF")</f>
        <v>https://xhslink.com/m/5ad07oFFQbF</v>
      </c>
      <c r="D2721"/>
      <c r="E2721">
        <v>44000</v>
      </c>
      <c r="F2721">
        <v>27.8</v>
      </c>
      <c r="G2721">
        <v>18.8</v>
      </c>
      <c r="H2721">
        <v>100</v>
      </c>
      <c r="I2721" t="inlineStr">
        <is>
          <t>蔬菜</t>
        </is>
      </c>
      <c r="J2721" t="inlineStr">
        <is>
          <t>0.00</t>
        </is>
      </c>
      <c r="K2721" t="inlineStr">
        <is>
          <t>🔥低粉爆款</t>
        </is>
      </c>
      <c r="L2721" t="inlineStr">
        <is>
          <t>振义回村记的店</t>
        </is>
      </c>
      <c r="M2721">
        <v>8423</v>
      </c>
      <c r="N2721">
        <v>4.68</v>
      </c>
      <c r="O2721">
        <v>199000</v>
      </c>
      <c r="P2721" t="inlineStr">
        <is>
          <t>683b1f39f078780001ed304f</t>
        </is>
      </c>
      <c r="Q2721"/>
      <c r="R2721" t="inlineStr">
        <is>
          <t>14周</t>
        </is>
      </c>
      <c r="S2721" t="inlineStr">
        <is>
          <t>5.22</t>
        </is>
      </c>
      <c r="T2721" t="inlineStr">
        <is>
          <t>美食滋补</t>
        </is>
      </c>
      <c r="U2721" t="inlineStr">
        <is>
          <t>生鲜特产</t>
        </is>
      </c>
      <c r="V2721" s="3">
        <v>46112.78107638889</v>
      </c>
      <c r="W2721" t="inlineStr">
        <is>
          <t>2026-Q1</t>
        </is>
      </c>
    </row>
    <row r="2722" ht="25.5" customHeight="1">
      <c r="A2722" t="inlineStr">
        <is>
          <t>【顺丰包邮】番茄盲盒系列/五色番茄/三色番茄/迷恋/糖珀虎</t>
        </is>
      </c>
      <c r="B2722" t="inlineStr">
        <is>
          <t>recvekduUIOXuX.jpg</t>
        </is>
      </c>
      <c r="C2722" s="2" t="str">
        <f>=HYPERLINK("https://xhslink.com/m/8OgEQHV8SkD", "https://xhslink.com/m/8OgEQHV8SkD")</f>
        <v>https://xhslink.com/m/8OgEQHV8SkD</v>
      </c>
      <c r="D2722"/>
      <c r="E2722">
        <v>57000</v>
      </c>
      <c r="F2722">
        <v>28.9</v>
      </c>
      <c r="G2722">
        <v>17.9</v>
      </c>
      <c r="H2722">
        <v>100</v>
      </c>
      <c r="I2722" t="inlineStr">
        <is>
          <t>蔬菜</t>
        </is>
      </c>
      <c r="J2722" t="inlineStr">
        <is>
          <t>0.00</t>
        </is>
      </c>
      <c r="K2722" t="inlineStr">
        <is>
          <t>🔥低粉爆款</t>
        </is>
      </c>
      <c r="L2722" t="inlineStr">
        <is>
          <t>番倍快乐的店</t>
        </is>
      </c>
      <c r="M2722">
        <v>11000</v>
      </c>
      <c r="N2722">
        <v>4.49</v>
      </c>
      <c r="O2722">
        <v>63000</v>
      </c>
      <c r="P2722" t="inlineStr">
        <is>
          <t>6888f82a6d60540001aff6ab</t>
        </is>
      </c>
      <c r="Q2722"/>
      <c r="R2722" t="inlineStr">
        <is>
          <t>14周</t>
        </is>
      </c>
      <c r="S2722" t="inlineStr">
        <is>
          <t>5.18</t>
        </is>
      </c>
      <c r="T2722" t="inlineStr">
        <is>
          <t>运动潮玩</t>
        </is>
      </c>
      <c r="U2722" t="inlineStr">
        <is>
          <t>潮玩手办</t>
        </is>
      </c>
      <c r="V2722" s="3">
        <v>46112.78107638889</v>
      </c>
      <c r="W2722" t="inlineStr">
        <is>
          <t>2026-Q1</t>
        </is>
      </c>
    </row>
    <row r="2723" ht="25.5" customHeight="1">
      <c r="A2723" t="inlineStr">
        <is>
          <t>山东特产各种红薯（哈密白薯，烟薯25，四华黄金蜜）</t>
        </is>
      </c>
      <c r="B2723" t="inlineStr">
        <is>
          <t>recvekduUIryN4.jpg</t>
        </is>
      </c>
      <c r="C2723" s="2" t="str">
        <f>=HYPERLINK("https://xhslink.com/m/9esTNpUQMlI", "https://xhslink.com/m/9esTNpUQMlI")</f>
        <v>https://xhslink.com/m/9esTNpUQMlI</v>
      </c>
      <c r="D2723"/>
      <c r="E2723">
        <v>21000</v>
      </c>
      <c r="F2723">
        <v>31.8</v>
      </c>
      <c r="G2723"/>
      <c r="H2723">
        <v>100</v>
      </c>
      <c r="I2723" t="inlineStr">
        <is>
          <t>蔬菜</t>
        </is>
      </c>
      <c r="J2723" t="inlineStr">
        <is>
          <t>0.00</t>
        </is>
      </c>
      <c r="K2723"/>
      <c r="L2723" t="inlineStr">
        <is>
          <t>派派农场的店</t>
        </is>
      </c>
      <c r="M2723">
        <v>10000</v>
      </c>
      <c r="N2723">
        <v>4.62</v>
      </c>
      <c r="O2723">
        <v>98000</v>
      </c>
      <c r="P2723" t="inlineStr">
        <is>
          <t>67b99bceeef1820001e933a4</t>
        </is>
      </c>
      <c r="Q2723"/>
      <c r="R2723" t="inlineStr">
        <is>
          <t>14周</t>
        </is>
      </c>
      <c r="S2723" t="inlineStr">
        <is>
          <t>2.10</t>
        </is>
      </c>
      <c r="T2723" t="inlineStr">
        <is>
          <t>美食滋补</t>
        </is>
      </c>
      <c r="U2723" t="inlineStr">
        <is>
          <t>生鲜特产</t>
        </is>
      </c>
      <c r="V2723" s="3">
        <v>46112.78107638889</v>
      </c>
      <c r="W2723" t="inlineStr">
        <is>
          <t>2026-Q1</t>
        </is>
      </c>
    </row>
    <row r="2724" ht="25.5" customHeight="1">
      <c r="A2724" t="inlineStr">
        <is>
          <t>芋喜人家 · 去芯木薯黄心木薯先挖现拨糖水专用</t>
        </is>
      </c>
      <c r="B2724" t="inlineStr">
        <is>
          <t>recvekduUI22IM.jpg</t>
        </is>
      </c>
      <c r="C2724" s="2" t="str">
        <f>=HYPERLINK("https://xhslink.com/m/92obD522tVN", "https://xhslink.com/m/92obD522tVN")</f>
        <v>https://xhslink.com/m/92obD522tVN</v>
      </c>
      <c r="D2724"/>
      <c r="E2724">
        <v>28000</v>
      </c>
      <c r="F2724">
        <v>36</v>
      </c>
      <c r="G2724">
        <v>28.8</v>
      </c>
      <c r="H2724">
        <v>100</v>
      </c>
      <c r="I2724" t="inlineStr">
        <is>
          <t>蔬菜</t>
        </is>
      </c>
      <c r="J2724" t="inlineStr">
        <is>
          <t>0.00</t>
        </is>
      </c>
      <c r="K2724" t="inlineStr">
        <is>
          <t>🔥低粉爆款</t>
        </is>
      </c>
      <c r="L2724" t="inlineStr">
        <is>
          <t>芋喜人家（自然本味）的店</t>
        </is>
      </c>
      <c r="M2724">
        <v>5619</v>
      </c>
      <c r="N2724">
        <v>4.77</v>
      </c>
      <c r="O2724">
        <v>44000</v>
      </c>
      <c r="P2724" t="inlineStr">
        <is>
          <t>67e35a7360845d0001a3151f</t>
        </is>
      </c>
      <c r="Q2724" t="inlineStr">
        <is>
          <t>🚫重复</t>
        </is>
      </c>
      <c r="R2724" t="inlineStr">
        <is>
          <t>14周</t>
        </is>
      </c>
      <c r="S2724" t="inlineStr">
        <is>
          <t>4.98</t>
        </is>
      </c>
      <c r="T2724" t="inlineStr">
        <is>
          <t>美食滋补</t>
        </is>
      </c>
      <c r="U2724" t="inlineStr">
        <is>
          <t>生鲜特产</t>
        </is>
      </c>
      <c r="V2724" s="3">
        <v>46112.78107638889</v>
      </c>
      <c r="W2724" t="inlineStr">
        <is>
          <t>2026-Q1</t>
        </is>
      </c>
    </row>
    <row r="2725" ht="25.5" customHeight="1">
      <c r="A2725" t="inlineStr">
        <is>
          <t>东方甄选 · 牛奶芋头3/5斤当季新鲜蔬菜早餐速食蒸煮两用生鲜农产品 坏果包赔</t>
        </is>
      </c>
      <c r="B2725" t="inlineStr">
        <is>
          <t>recvekduUIGnF5.jpg</t>
        </is>
      </c>
      <c r="C2725" s="2" t="str">
        <f>=HYPERLINK("https://xhslink.com/m/2Rx5zTSxPKQ", "https://xhslink.com/m/2Rx5zTSxPKQ")</f>
        <v>https://xhslink.com/m/2Rx5zTSxPKQ</v>
      </c>
      <c r="D2725"/>
      <c r="E2725">
        <v>10000</v>
      </c>
      <c r="F2725">
        <v>24.9</v>
      </c>
      <c r="G2725"/>
      <c r="H2725">
        <v>100</v>
      </c>
      <c r="I2725" t="inlineStr">
        <is>
          <t>蔬菜</t>
        </is>
      </c>
      <c r="J2725" t="inlineStr">
        <is>
          <t>0.01</t>
        </is>
      </c>
      <c r="K2725"/>
      <c r="L2725" t="inlineStr">
        <is>
          <t>东方甄选旗舰店</t>
        </is>
      </c>
      <c r="M2725">
        <v>991000</v>
      </c>
      <c r="N2725">
        <v>4.72</v>
      </c>
      <c r="O2725">
        <v>1711000</v>
      </c>
      <c r="P2725" t="inlineStr">
        <is>
          <t>68d6671c002e7e0001c284bd</t>
        </is>
      </c>
      <c r="Q2725" t="inlineStr">
        <is>
          <t>🚫重复</t>
        </is>
      </c>
      <c r="R2725" t="inlineStr">
        <is>
          <t>14周</t>
        </is>
      </c>
      <c r="S2725" t="inlineStr">
        <is>
          <t>0.01</t>
        </is>
      </c>
      <c r="T2725" t="inlineStr">
        <is>
          <t>美食滋补</t>
        </is>
      </c>
      <c r="U2725" t="inlineStr">
        <is>
          <t>休闲零食</t>
        </is>
      </c>
      <c r="V2725" s="3">
        <v>46112.78107638889</v>
      </c>
      <c r="W2725" t="inlineStr">
        <is>
          <t>2026-Q1</t>
        </is>
      </c>
    </row>
    <row r="2726" ht="25.5" customHeight="1">
      <c r="A2726" t="inlineStr">
        <is>
          <t>【发顺丰】2026年新鲜现挖现发春笋雷笋3斤5斤装去老根发货时令菜</t>
        </is>
      </c>
      <c r="B2726" t="inlineStr">
        <is>
          <t>recvekduUIlJN4.jpg</t>
        </is>
      </c>
      <c r="C2726" s="2" t="str">
        <f>=HYPERLINK("https://xhslink.com/m/5uvHreqIufE", "https://xhslink.com/m/5uvHreqIufE")</f>
        <v>https://xhslink.com/m/5uvHreqIufE</v>
      </c>
      <c r="D2726"/>
      <c r="E2726">
        <v>6850</v>
      </c>
      <c r="F2726">
        <v>38.9</v>
      </c>
      <c r="G2726">
        <v>28.9</v>
      </c>
      <c r="H2726">
        <v>100</v>
      </c>
      <c r="I2726" t="inlineStr">
        <is>
          <t>蔬菜</t>
        </is>
      </c>
      <c r="J2726" t="inlineStr">
        <is>
          <t>0.01</t>
        </is>
      </c>
      <c r="K2726"/>
      <c r="L2726" t="inlineStr">
        <is>
          <t>80后的乡村守护人的店</t>
        </is>
      </c>
      <c r="M2726">
        <v>3728</v>
      </c>
      <c r="N2726">
        <v>4.71</v>
      </c>
      <c r="O2726">
        <v>11000</v>
      </c>
      <c r="P2726" t="inlineStr">
        <is>
          <t>67d283f05339580001dfa12b</t>
        </is>
      </c>
      <c r="Q2726"/>
      <c r="R2726" t="inlineStr">
        <is>
          <t>14周</t>
        </is>
      </c>
      <c r="S2726" t="inlineStr">
        <is>
          <t>1.84</t>
        </is>
      </c>
      <c r="T2726" t="inlineStr">
        <is>
          <t>美食滋补</t>
        </is>
      </c>
      <c r="U2726" t="inlineStr">
        <is>
          <t>生鲜特产</t>
        </is>
      </c>
      <c r="V2726" s="3">
        <v>46112.78107638889</v>
      </c>
      <c r="W2726" t="inlineStr">
        <is>
          <t>2026-Q1</t>
        </is>
      </c>
    </row>
    <row r="2727" ht="25.5" customHeight="1">
      <c r="A2727" t="inlineStr">
        <is>
          <t>崎崎缤 · 新疆乌斯玛草眼睫毛增长液浓密眉毛营养液生长滋养纤长防水男女au</t>
        </is>
      </c>
      <c r="B2727" t="inlineStr">
        <is>
          <t>recvekduUIIrk4.jpg</t>
        </is>
      </c>
      <c r="C2727" s="2" t="str">
        <f>=HYPERLINK("https://xhslink.com/m/BAELhfB4fW", "https://xhslink.com/m/BAELhfB4fW")</f>
        <v>https://xhslink.com/m/BAELhfB4fW</v>
      </c>
      <c r="D2727"/>
      <c r="E2727">
        <v>494</v>
      </c>
      <c r="F2727">
        <v>38.9</v>
      </c>
      <c r="G2727">
        <v>34.23</v>
      </c>
      <c r="H2727">
        <v>100</v>
      </c>
      <c r="I2727" t="inlineStr">
        <is>
          <t>睫毛生长液</t>
        </is>
      </c>
      <c r="J2727" t="inlineStr">
        <is>
          <t>0.20</t>
        </is>
      </c>
      <c r="K2727"/>
      <c r="L2727" t="inlineStr">
        <is>
          <t>崎崎缤旗舰店</t>
        </is>
      </c>
      <c r="M2727">
        <v>549</v>
      </c>
      <c r="N2727">
        <v>4.57</v>
      </c>
      <c r="O2727">
        <v>5416</v>
      </c>
      <c r="P2727" t="inlineStr">
        <is>
          <t>69883aeeb6ceb40001a55ebe</t>
        </is>
      </c>
      <c r="Q2727"/>
      <c r="R2727" t="inlineStr">
        <is>
          <t>14周</t>
        </is>
      </c>
      <c r="S2727" t="inlineStr">
        <is>
          <t>0.90</t>
        </is>
      </c>
      <c r="T2727" t="inlineStr">
        <is>
          <t>美妆个护</t>
        </is>
      </c>
      <c r="U2727" t="inlineStr">
        <is>
          <t>护肤彩妆</t>
        </is>
      </c>
      <c r="V2727" s="3">
        <v>46112.78107638889</v>
      </c>
      <c r="W2727" t="inlineStr">
        <is>
          <t>2026-Q1</t>
        </is>
      </c>
    </row>
    <row r="2728" ht="25.5" customHeight="1">
      <c r="A2728" t="inlineStr">
        <is>
          <t>revitalash · 保税仓发！睫毛眉毛精华液睫毛营养液美国瑞瓦德Revitalash美睫</t>
        </is>
      </c>
      <c r="B2728" t="inlineStr">
        <is>
          <t>recvekduUItzkW.jpg</t>
        </is>
      </c>
      <c r="C2728" s="2" t="str">
        <f>=HYPERLINK("https://xhslink.com/m/PgvFVoaS8S", "https://xhslink.com/m/PgvFVoaS8S")</f>
        <v>https://xhslink.com/m/PgvFVoaS8S</v>
      </c>
      <c r="D2728"/>
      <c r="E2728">
        <v>9871</v>
      </c>
      <c r="F2728">
        <v>568</v>
      </c>
      <c r="G2728">
        <v>339</v>
      </c>
      <c r="H2728">
        <v>100</v>
      </c>
      <c r="I2728" t="inlineStr">
        <is>
          <t>睫毛生长液</t>
        </is>
      </c>
      <c r="J2728" t="inlineStr">
        <is>
          <t>0.01</t>
        </is>
      </c>
      <c r="K2728" t="inlineStr">
        <is>
          <t>🔥低粉爆款</t>
        </is>
      </c>
      <c r="L2728" t="inlineStr">
        <is>
          <t>朵儿美护严选的店</t>
        </is>
      </c>
      <c r="M2728">
        <v>1407</v>
      </c>
      <c r="N2728">
        <v>4.71</v>
      </c>
      <c r="O2728">
        <v>54000</v>
      </c>
      <c r="P2728" t="inlineStr">
        <is>
          <t>6627606fe076150001445e71</t>
        </is>
      </c>
      <c r="Q2728" t="inlineStr">
        <is>
          <t>🚫重复</t>
        </is>
      </c>
      <c r="R2728" t="inlineStr">
        <is>
          <t>14周</t>
        </is>
      </c>
      <c r="S2728" t="inlineStr">
        <is>
          <t>7.02</t>
        </is>
      </c>
      <c r="T2728" t="inlineStr">
        <is>
          <t>美妆个护</t>
        </is>
      </c>
      <c r="U2728" t="inlineStr">
        <is>
          <t>护肤彩妆</t>
        </is>
      </c>
      <c r="V2728" s="3">
        <v>46112.78107638889</v>
      </c>
      <c r="W2728" t="inlineStr">
        <is>
          <t>2026-Q1</t>
        </is>
      </c>
    </row>
    <row r="2729" ht="25.5" customHeight="1">
      <c r="A2729" t="inlineStr">
        <is>
          <t>Find it · 小圆瓶车载香薰汽车香水淡香味祛异味持久留香</t>
        </is>
      </c>
      <c r="B2729" t="inlineStr">
        <is>
          <t>recvekduUI8jn5.jpg</t>
        </is>
      </c>
      <c r="C2729" s="2" t="str">
        <f>=HYPERLINK("https://xhslink.com/m/2HumuHBWM5l", "https://xhslink.com/m/2HumuHBWM5l")</f>
        <v>https://xhslink.com/m/2HumuHBWM5l</v>
      </c>
      <c r="D2729"/>
      <c r="E2729">
        <v>40000</v>
      </c>
      <c r="F2729">
        <v>59</v>
      </c>
      <c r="G2729"/>
      <c r="H2729">
        <v>100</v>
      </c>
      <c r="I2729" t="inlineStr">
        <is>
          <t>车载香薰</t>
        </is>
      </c>
      <c r="J2729" t="inlineStr">
        <is>
          <t>0.00</t>
        </is>
      </c>
      <c r="K2729" t="inlineStr">
        <is>
          <t>🔥低粉爆款</t>
        </is>
      </c>
      <c r="L2729" t="inlineStr">
        <is>
          <t>Find it车载香薰的店</t>
        </is>
      </c>
      <c r="M2729">
        <v>1701</v>
      </c>
      <c r="N2729">
        <v>3.89</v>
      </c>
      <c r="O2729">
        <v>47000</v>
      </c>
      <c r="P2729" t="inlineStr">
        <is>
          <t>6642cfd4308cb70001b2053c</t>
        </is>
      </c>
      <c r="Q2729" t="inlineStr">
        <is>
          <t>🚫重复</t>
        </is>
      </c>
      <c r="R2729" t="inlineStr">
        <is>
          <t>14周</t>
        </is>
      </c>
      <c r="S2729" t="inlineStr">
        <is>
          <t>23.52</t>
        </is>
      </c>
      <c r="T2729" t="inlineStr">
        <is>
          <t>家居生活</t>
        </is>
      </c>
      <c r="U2729" t="inlineStr">
        <is>
          <t>家居日用</t>
        </is>
      </c>
      <c r="V2729" s="3">
        <v>46112.78107638889</v>
      </c>
      <c r="W2729" t="inlineStr">
        <is>
          <t>2026-Q1</t>
        </is>
      </c>
    </row>
    <row r="2730" ht="25.5" customHeight="1">
      <c r="A2730" t="inlineStr">
        <is>
          <t>原创反光星星雨伞女晴雨两用自动超好看防风防晒紫外线太阳伞ins</t>
        </is>
      </c>
      <c r="B2730" t="inlineStr">
        <is>
          <t>recvekduUI1jKo.jpg</t>
        </is>
      </c>
      <c r="C2730" s="2" t="str">
        <f>=HYPERLINK("https://xhslink.com/m/4H5ziWPnGei", "https://xhslink.com/m/4H5ziWPnGei")</f>
        <v>https://xhslink.com/m/4H5ziWPnGei</v>
      </c>
      <c r="D2730"/>
      <c r="E2730">
        <v>3253</v>
      </c>
      <c r="F2730">
        <v>42.9</v>
      </c>
      <c r="G2730">
        <v>37.75</v>
      </c>
      <c r="H2730">
        <v>100</v>
      </c>
      <c r="I2730" t="inlineStr">
        <is>
          <t>伞</t>
        </is>
      </c>
      <c r="J2730" t="inlineStr">
        <is>
          <t>0.03</t>
        </is>
      </c>
      <c r="K2730"/>
      <c r="L2730" t="inlineStr">
        <is>
          <t>卖伞的阿渔。的店</t>
        </is>
      </c>
      <c r="M2730">
        <v>2249</v>
      </c>
      <c r="N2730">
        <v>4.61</v>
      </c>
      <c r="O2730">
        <v>17000</v>
      </c>
      <c r="P2730" t="inlineStr">
        <is>
          <t>68776add64e96a00011af137</t>
        </is>
      </c>
      <c r="Q2730" t="inlineStr">
        <is>
          <t>🚫重复</t>
        </is>
      </c>
      <c r="R2730" t="inlineStr">
        <is>
          <t>14周</t>
        </is>
      </c>
      <c r="S2730" t="inlineStr">
        <is>
          <t>1.45</t>
        </is>
      </c>
      <c r="T2730" t="inlineStr">
        <is>
          <t>家居生活</t>
        </is>
      </c>
      <c r="U2730" t="inlineStr">
        <is>
          <t>家居日用</t>
        </is>
      </c>
      <c r="V2730" s="3">
        <v>46112.78107638889</v>
      </c>
      <c r="W2730" t="inlineStr">
        <is>
          <t>2026-Q1</t>
        </is>
      </c>
    </row>
    <row r="2731" ht="25.5" customHeight="1">
      <c r="A2731" t="inlineStr">
        <is>
          <t>知伞 · 【氧气泡泡小鱼】海洋系清透晴雨两用伞遮阳伞太阳伞防晒小巧学生</t>
        </is>
      </c>
      <c r="B2731" t="inlineStr">
        <is>
          <t>recvekduUIta1j.jpg</t>
        </is>
      </c>
      <c r="C2731" s="2" t="str">
        <f>=HYPERLINK("https://xhslink.com/m/4RL2A0KdbyX", "https://xhslink.com/m/4RL2A0KdbyX")</f>
        <v>https://xhslink.com/m/4RL2A0KdbyX</v>
      </c>
      <c r="D2731"/>
      <c r="E2731">
        <v>39000</v>
      </c>
      <c r="F2731">
        <v>34.8</v>
      </c>
      <c r="G2731"/>
      <c r="H2731">
        <v>100</v>
      </c>
      <c r="I2731" t="inlineStr">
        <is>
          <t>伞</t>
        </is>
      </c>
      <c r="J2731" t="inlineStr">
        <is>
          <t>0.00</t>
        </is>
      </c>
      <c r="K2731"/>
      <c r="L2731" t="inlineStr">
        <is>
          <t>知伞-Rain Cut的店</t>
        </is>
      </c>
      <c r="M2731">
        <v>26000</v>
      </c>
      <c r="N2731">
        <v>4.53</v>
      </c>
      <c r="O2731">
        <v>140000</v>
      </c>
      <c r="P2731" t="inlineStr">
        <is>
          <t>67e88c9c5020170001961c00</t>
        </is>
      </c>
      <c r="Q2731"/>
      <c r="R2731" t="inlineStr">
        <is>
          <t>14周</t>
        </is>
      </c>
      <c r="S2731" t="inlineStr">
        <is>
          <t>1.50</t>
        </is>
      </c>
      <c r="T2731" t="inlineStr">
        <is>
          <t>家居生活</t>
        </is>
      </c>
      <c r="U2731" t="inlineStr">
        <is>
          <t>家居日用</t>
        </is>
      </c>
      <c r="V2731" s="3">
        <v>46112.78107638889</v>
      </c>
      <c r="W2731" t="inlineStr">
        <is>
          <t>2026-Q1</t>
        </is>
      </c>
    </row>
    <row r="2732" ht="25.5" customHeight="1">
      <c r="A2732" t="inlineStr">
        <is>
          <t>（最后500名恢复原价)超轻胶囊伞UPF50+八骨五折晴雨两用黑胶遮</t>
        </is>
      </c>
      <c r="B2732" t="inlineStr">
        <is>
          <t>recvekduUIhyfh.jpg</t>
        </is>
      </c>
      <c r="C2732" s="2" t="str">
        <f>=HYPERLINK("https://xhslink.com/m/64C4zFb1bWb", "https://xhslink.com/m/64C4zFb1bWb")</f>
        <v>https://xhslink.com/m/64C4zFb1bWb</v>
      </c>
      <c r="D2732"/>
      <c r="E2732">
        <v>13000</v>
      </c>
      <c r="F2732">
        <v>25.5</v>
      </c>
      <c r="G2732">
        <v>18.5</v>
      </c>
      <c r="H2732">
        <v>100</v>
      </c>
      <c r="I2732" t="inlineStr">
        <is>
          <t>伞</t>
        </is>
      </c>
      <c r="J2732" t="inlineStr">
        <is>
          <t>0.01</t>
        </is>
      </c>
      <c r="K2732" t="inlineStr">
        <is>
          <t>🔥低粉爆款</t>
        </is>
      </c>
      <c r="L2732" t="inlineStr">
        <is>
          <t>夏天的宝藏的店</t>
        </is>
      </c>
      <c r="M2732">
        <v>554</v>
      </c>
      <c r="N2732">
        <v>4.43</v>
      </c>
      <c r="O2732">
        <v>15000</v>
      </c>
      <c r="P2732" t="inlineStr">
        <is>
          <t>67f3493e2dd3d10001cbc003</t>
        </is>
      </c>
      <c r="Q2732" t="inlineStr">
        <is>
          <t>🚫重复</t>
        </is>
      </c>
      <c r="R2732" t="inlineStr">
        <is>
          <t>14周</t>
        </is>
      </c>
      <c r="S2732" t="inlineStr">
        <is>
          <t>23.47</t>
        </is>
      </c>
      <c r="T2732" t="inlineStr">
        <is>
          <t>家居生活</t>
        </is>
      </c>
      <c r="U2732" t="inlineStr">
        <is>
          <t>家居日用</t>
        </is>
      </c>
      <c r="V2732" s="3">
        <v>46112.78107638889</v>
      </c>
      <c r="W2732" t="inlineStr">
        <is>
          <t>2026-Q1</t>
        </is>
      </c>
    </row>
    <row r="2733" ht="25.5" customHeight="1">
      <c r="A2733" t="inlineStr">
        <is>
          <t>日单小鹿 全身网眼孔透气  男女连帽防晒衣外套</t>
        </is>
      </c>
      <c r="B2733" t="inlineStr">
        <is>
          <t>recveqrflnocPE.jpg</t>
        </is>
      </c>
      <c r="C2733" s="2" t="str">
        <f>=HYPERLINK("https://xhslink.com/m/4oKyCN7DhS4", "https://xhslink.com/m/4oKyCN7DhS4")</f>
        <v>https://xhslink.com/m/4oKyCN7DhS4</v>
      </c>
      <c r="D2733"/>
      <c r="E2733">
        <v>573</v>
      </c>
      <c r="F2733">
        <v>69</v>
      </c>
      <c r="G2733"/>
      <c r="H2733">
        <v>100</v>
      </c>
      <c r="I2733" t="inlineStr">
        <is>
          <t>外套</t>
        </is>
      </c>
      <c r="J2733" t="inlineStr">
        <is>
          <t>0.17</t>
        </is>
      </c>
      <c r="K2733"/>
      <c r="L2733" t="inlineStr">
        <is>
          <t>初心出品外贸2号的店</t>
        </is>
      </c>
      <c r="M2733">
        <v>16000</v>
      </c>
      <c r="N2733">
        <v>4.4</v>
      </c>
      <c r="O2733">
        <v>45000</v>
      </c>
      <c r="P2733" t="inlineStr">
        <is>
          <t>68d0a6806d080800153fc068</t>
        </is>
      </c>
      <c r="Q2733"/>
      <c r="R2733" t="inlineStr">
        <is>
          <t>14周</t>
        </is>
      </c>
      <c r="S2733" t="inlineStr">
        <is>
          <t>0.04</t>
        </is>
      </c>
      <c r="T2733" t="inlineStr">
        <is>
          <t>服饰穿搭</t>
        </is>
      </c>
      <c r="U2733" t="inlineStr">
        <is>
          <t>女装</t>
        </is>
      </c>
      <c r="V2733" s="3">
        <v>46112.78107638889</v>
      </c>
      <c r="W2733" t="inlineStr">
        <is>
          <t>2026-Q1</t>
        </is>
      </c>
    </row>
    <row r="2734" ht="25.5" customHeight="1">
      <c r="A2734" t="inlineStr">
        <is>
          <t>运动户外美式！！秋季男女速干吸汗健身训练服速干长袖T恤</t>
        </is>
      </c>
      <c r="B2734" t="inlineStr">
        <is>
          <t>recveqrflniZyt.jpg</t>
        </is>
      </c>
      <c r="C2734" s="2" t="str">
        <f>=HYPERLINK("https://xhslink.com/m/7YaLJvZ6FaV", "https://xhslink.com/m/7YaLJvZ6FaV")</f>
        <v>https://xhslink.com/m/7YaLJvZ6FaV</v>
      </c>
      <c r="D2734"/>
      <c r="E2734">
        <v>9774</v>
      </c>
      <c r="F2734">
        <v>78</v>
      </c>
      <c r="G2734">
        <v>39.9</v>
      </c>
      <c r="H2734">
        <v>100</v>
      </c>
      <c r="I2734" t="inlineStr">
        <is>
          <t>速干长袖</t>
        </is>
      </c>
      <c r="J2734" t="inlineStr">
        <is>
          <t>0.01</t>
        </is>
      </c>
      <c r="K2734"/>
      <c r="L2734" t="inlineStr">
        <is>
          <t>大苏和小薄的店</t>
        </is>
      </c>
      <c r="M2734">
        <v>38000</v>
      </c>
      <c r="N2734">
        <v>4.49</v>
      </c>
      <c r="O2734">
        <v>350000</v>
      </c>
      <c r="P2734" t="inlineStr">
        <is>
          <t>68482d3d0da50d0001b9f966</t>
        </is>
      </c>
      <c r="Q2734" t="inlineStr">
        <is>
          <t>🚫重复</t>
        </is>
      </c>
      <c r="R2734" t="inlineStr">
        <is>
          <t>14周</t>
        </is>
      </c>
      <c r="S2734" t="inlineStr">
        <is>
          <t>0.26</t>
        </is>
      </c>
      <c r="T2734" t="inlineStr">
        <is>
          <t>服饰穿搭</t>
        </is>
      </c>
      <c r="U2734" t="inlineStr">
        <is>
          <t>女装</t>
        </is>
      </c>
      <c r="V2734" s="3">
        <v>46112.78107638889</v>
      </c>
      <c r="W2734" t="inlineStr">
        <is>
          <t>2026-Q1</t>
        </is>
      </c>
    </row>
    <row r="2735" ht="25.5" customHeight="1">
      <c r="A2735" t="inlineStr">
        <is>
          <t>10.14秋季新款松紧腰系带拼色直通弹力显瘦百搭针织牛仔裤C705204</t>
        </is>
      </c>
      <c r="B2735" t="inlineStr">
        <is>
          <t>recveqrflnsDKX.jpg</t>
        </is>
      </c>
      <c r="C2735" s="2" t="str">
        <f>=HYPERLINK("https://xhslink.com/m/7bBeTP3vpVi", "https://xhslink.com/m/7bBeTP3vpVi")</f>
        <v>https://xhslink.com/m/7bBeTP3vpVi</v>
      </c>
      <c r="D2735"/>
      <c r="E2735">
        <v>20000</v>
      </c>
      <c r="F2735">
        <v>34.99</v>
      </c>
      <c r="G2735"/>
      <c r="H2735">
        <v>100</v>
      </c>
      <c r="I2735" t="inlineStr">
        <is>
          <t>牛仔裤</t>
        </is>
      </c>
      <c r="J2735" t="inlineStr">
        <is>
          <t>0.01</t>
        </is>
      </c>
      <c r="K2735"/>
      <c r="L2735" t="inlineStr">
        <is>
          <t>裂诺888的店</t>
        </is>
      </c>
      <c r="M2735">
        <v>28000</v>
      </c>
      <c r="N2735">
        <v>4.65</v>
      </c>
      <c r="O2735">
        <v>160000</v>
      </c>
      <c r="P2735" t="inlineStr">
        <is>
          <t>6978c9fa3d52b20001fec30a</t>
        </is>
      </c>
      <c r="Q2735" t="inlineStr">
        <is>
          <t>🚫重复</t>
        </is>
      </c>
      <c r="R2735" t="inlineStr">
        <is>
          <t>14周</t>
        </is>
      </c>
      <c r="S2735" t="inlineStr">
        <is>
          <t>0.71</t>
        </is>
      </c>
      <c r="T2735" t="inlineStr">
        <is>
          <t>服饰穿搭</t>
        </is>
      </c>
      <c r="U2735" t="inlineStr">
        <is>
          <t>女装</t>
        </is>
      </c>
      <c r="V2735" s="3">
        <v>46112.78107638889</v>
      </c>
      <c r="W2735" t="inlineStr">
        <is>
          <t>2026-Q1</t>
        </is>
      </c>
    </row>
    <row r="2736" ht="25.5" customHeight="1">
      <c r="A2736" t="inlineStr">
        <is>
          <t>乐拉 · 撞色哈苏线宽松吸湿速干柔软秋季户外运动长袖CX3354</t>
        </is>
      </c>
      <c r="B2736" t="inlineStr">
        <is>
          <t>recveqrflnPsJQ.jpg</t>
        </is>
      </c>
      <c r="C2736" s="2" t="str">
        <f>=HYPERLINK("https://xhslink.com/m/9BO127mChKv", "https://xhslink.com/m/9BO127mChKv")</f>
        <v>https://xhslink.com/m/9BO127mChKv</v>
      </c>
      <c r="D2736"/>
      <c r="E2736">
        <v>3243</v>
      </c>
      <c r="F2736">
        <v>119.9</v>
      </c>
      <c r="G2736">
        <v>69.9</v>
      </c>
      <c r="H2736">
        <v>100</v>
      </c>
      <c r="I2736" t="inlineStr">
        <is>
          <t>T恤</t>
        </is>
      </c>
      <c r="J2736" t="inlineStr">
        <is>
          <t>0.03</t>
        </is>
      </c>
      <c r="K2736"/>
      <c r="L2736" t="inlineStr">
        <is>
          <t>Leorrey乐拉旗舰店</t>
        </is>
      </c>
      <c r="M2736">
        <v>12000</v>
      </c>
      <c r="N2736">
        <v>4.73</v>
      </c>
      <c r="O2736">
        <v>410000</v>
      </c>
      <c r="P2736" t="inlineStr">
        <is>
          <t>6969d40330cc0500012c1506</t>
        </is>
      </c>
      <c r="Q2736" t="inlineStr">
        <is>
          <t>🚫重复</t>
        </is>
      </c>
      <c r="R2736" t="inlineStr">
        <is>
          <t>14周</t>
        </is>
      </c>
      <c r="S2736" t="inlineStr">
        <is>
          <t>0.27</t>
        </is>
      </c>
      <c r="T2736" t="inlineStr">
        <is>
          <t>服饰穿搭</t>
        </is>
      </c>
      <c r="U2736" t="inlineStr">
        <is>
          <t>女装</t>
        </is>
      </c>
      <c r="V2736" s="3">
        <v>46112.78107638889</v>
      </c>
      <c r="W2736" t="inlineStr">
        <is>
          <t>2026-Q1</t>
        </is>
      </c>
    </row>
    <row r="2737" ht="25.5" customHeight="1">
      <c r="A2737" t="inlineStr">
        <is>
          <t>寻上 · 彈力贴合·抗UV透气吸汗·大帽檐(10cm长)跑步运动空顶帽</t>
        </is>
      </c>
      <c r="B2737" t="inlineStr">
        <is>
          <t>recveqrfln9sI5.jpg</t>
        </is>
      </c>
      <c r="C2737" s="2" t="str">
        <f>=HYPERLINK("https://xhslink.com/m/4aaM3QW74wA", "https://xhslink.com/m/4aaM3QW74wA")</f>
        <v>https://xhslink.com/m/4aaM3QW74wA</v>
      </c>
      <c r="D2737"/>
      <c r="E2737">
        <v>16000</v>
      </c>
      <c r="F2737">
        <v>89</v>
      </c>
      <c r="G2737">
        <v>83</v>
      </c>
      <c r="H2737">
        <v>100</v>
      </c>
      <c r="I2737" t="inlineStr">
        <is>
          <t>T恤</t>
        </is>
      </c>
      <c r="J2737" t="inlineStr">
        <is>
          <t>0.01</t>
        </is>
      </c>
      <c r="K2737" t="inlineStr">
        <is>
          <t>🔥低粉爆款</t>
        </is>
      </c>
      <c r="L2737" t="inlineStr">
        <is>
          <t>HXH－功夫帽子的店</t>
        </is>
      </c>
      <c r="M2737">
        <v>3120</v>
      </c>
      <c r="N2737">
        <v>4.57</v>
      </c>
      <c r="O2737">
        <v>19000</v>
      </c>
      <c r="P2737" t="inlineStr">
        <is>
          <t>6616915996376d00018cb153</t>
        </is>
      </c>
      <c r="Q2737"/>
      <c r="R2737" t="inlineStr">
        <is>
          <t>14周</t>
        </is>
      </c>
      <c r="S2737" t="inlineStr">
        <is>
          <t>5.13</t>
        </is>
      </c>
      <c r="T2737" t="inlineStr">
        <is>
          <t>运动潮玩</t>
        </is>
      </c>
      <c r="U2737" t="inlineStr">
        <is>
          <t>运动户外装备</t>
        </is>
      </c>
      <c r="V2737" s="3">
        <v>46112.78107638889</v>
      </c>
      <c r="W2737" t="inlineStr">
        <is>
          <t>2026-Q1</t>
        </is>
      </c>
    </row>
    <row r="2738" ht="25.5" customHeight="1">
      <c r="A2738" t="inlineStr">
        <is>
          <t>休闲轻量化弯裤百搭立体剪裁宽松长裤TZS-5050SS</t>
        </is>
      </c>
      <c r="B2738" t="inlineStr">
        <is>
          <t>recveqrflnTP4f.jpg</t>
        </is>
      </c>
      <c r="C2738" s="2" t="str">
        <f>=HYPERLINK("https://xhslink.com/m/7xzS4PT0Dp5", "https://xhslink.com/m/7xzS4PT0Dp5")</f>
        <v>https://xhslink.com/m/7xzS4PT0Dp5</v>
      </c>
      <c r="D2738"/>
      <c r="E2738">
        <v>469</v>
      </c>
      <c r="F2738">
        <v>89.9</v>
      </c>
      <c r="G2738"/>
      <c r="H2738">
        <v>100</v>
      </c>
      <c r="I2738" t="inlineStr">
        <is>
          <t>T恤</t>
        </is>
      </c>
      <c r="J2738" t="inlineStr">
        <is>
          <t>0.21</t>
        </is>
      </c>
      <c r="K2738" t="inlineStr">
        <is>
          <t>🔥低粉爆款</t>
        </is>
      </c>
      <c r="L2738" t="inlineStr">
        <is>
          <t>MIN SAN JIN山系的店</t>
        </is>
      </c>
      <c r="M2738">
        <v>66</v>
      </c>
      <c r="N2738">
        <v>4.49</v>
      </c>
      <c r="O2738">
        <v>20000</v>
      </c>
      <c r="P2738" t="inlineStr">
        <is>
          <t>69b4078a28de740015e3ae11</t>
        </is>
      </c>
      <c r="Q2738" t="inlineStr">
        <is>
          <t>🚫重复</t>
        </is>
      </c>
      <c r="R2738" t="inlineStr">
        <is>
          <t>14周</t>
        </is>
      </c>
      <c r="S2738" t="inlineStr">
        <is>
          <t>7.11</t>
        </is>
      </c>
      <c r="T2738" t="inlineStr">
        <is>
          <t>服饰穿搭</t>
        </is>
      </c>
      <c r="U2738" t="inlineStr">
        <is>
          <t>女装</t>
        </is>
      </c>
      <c r="V2738" s="3">
        <v>46112.78107638889</v>
      </c>
      <c r="W2738" t="inlineStr">
        <is>
          <t>2026-Q1</t>
        </is>
      </c>
    </row>
    <row r="2739" ht="25.5" customHeight="1">
      <c r="A2739" t="inlineStr">
        <is>
          <t>【锁骨瘦瘦T】螺纹棉高克重休闲百搭纯色U领短袖正肩T恤 1261</t>
        </is>
      </c>
      <c r="B2739" t="inlineStr">
        <is>
          <t>recveqrflnPyZt.jpg</t>
        </is>
      </c>
      <c r="C2739" s="2" t="str">
        <f>=HYPERLINK("https://xhslink.com/m/5ZbTIbWJxlA", "https://xhslink.com/m/5ZbTIbWJxlA")</f>
        <v>https://xhslink.com/m/5ZbTIbWJxlA</v>
      </c>
      <c r="D2739"/>
      <c r="E2739">
        <v>8793</v>
      </c>
      <c r="F2739">
        <v>39.9</v>
      </c>
      <c r="G2739"/>
      <c r="H2739">
        <v>100</v>
      </c>
      <c r="I2739" t="inlineStr">
        <is>
          <t>T恤</t>
        </is>
      </c>
      <c r="J2739" t="inlineStr">
        <is>
          <t>0.01</t>
        </is>
      </c>
      <c r="K2739"/>
      <c r="L2739" t="inlineStr">
        <is>
          <t>牛牛有小厂的店</t>
        </is>
      </c>
      <c r="M2739">
        <v>140000</v>
      </c>
      <c r="N2739">
        <v>4.65</v>
      </c>
      <c r="O2739">
        <v>114000</v>
      </c>
      <c r="P2739" t="inlineStr">
        <is>
          <t>67d83d9bba9cf80001086b5c</t>
        </is>
      </c>
      <c r="Q2739"/>
      <c r="R2739" t="inlineStr">
        <is>
          <t>14周</t>
        </is>
      </c>
      <c r="S2739" t="inlineStr">
        <is>
          <t>0.06</t>
        </is>
      </c>
      <c r="T2739" t="inlineStr">
        <is>
          <t>服饰穿搭</t>
        </is>
      </c>
      <c r="U2739" t="inlineStr">
        <is>
          <t>女装</t>
        </is>
      </c>
      <c r="V2739" s="3">
        <v>46112.78107638889</v>
      </c>
      <c r="W2739" t="inlineStr">
        <is>
          <t>2026-Q1</t>
        </is>
      </c>
    </row>
    <row r="2740" ht="25.5" customHeight="1">
      <c r="A2740" t="inlineStr">
        <is>
          <t>TANGTANG 【纸片人】毛边卷边UV领纯棉修身显瘦圆领长袖T恤打底衫</t>
        </is>
      </c>
      <c r="B2740" t="inlineStr">
        <is>
          <t>recveqrfln6PmB.jpg</t>
        </is>
      </c>
      <c r="C2740" s="2" t="str">
        <f>=HYPERLINK("https://xhslink.com/m/vNi3ZZ5rSN", "https://xhslink.com/m/vNi3ZZ5rSN")</f>
        <v>https://xhslink.com/m/vNi3ZZ5rSN</v>
      </c>
      <c r="D2740"/>
      <c r="E2740">
        <v>739</v>
      </c>
      <c r="F2740">
        <v>109</v>
      </c>
      <c r="G2740">
        <v>79</v>
      </c>
      <c r="H2740">
        <v>100</v>
      </c>
      <c r="I2740" t="inlineStr">
        <is>
          <t>T恤</t>
        </is>
      </c>
      <c r="J2740" t="inlineStr">
        <is>
          <t>0.14</t>
        </is>
      </c>
      <c r="K2740"/>
      <c r="L2740" t="inlineStr">
        <is>
          <t>Tangtang舒展穿搭的店</t>
        </is>
      </c>
      <c r="M2740">
        <v>188000</v>
      </c>
      <c r="N2740">
        <v>4.55</v>
      </c>
      <c r="O2740">
        <v>314000</v>
      </c>
      <c r="P2740" t="inlineStr">
        <is>
          <t>69b26d0905ddcd0001bfd0ec</t>
        </is>
      </c>
      <c r="Q2740" t="inlineStr">
        <is>
          <t>🚫重复</t>
        </is>
      </c>
      <c r="R2740" t="inlineStr">
        <is>
          <t>14周</t>
        </is>
      </c>
      <c r="S2740" t="inlineStr">
        <is>
          <t>0.00</t>
        </is>
      </c>
      <c r="T2740" t="inlineStr">
        <is>
          <t>服饰穿搭</t>
        </is>
      </c>
      <c r="U2740" t="inlineStr">
        <is>
          <t>女装</t>
        </is>
      </c>
      <c r="V2740" s="3">
        <v>46112.78107638889</v>
      </c>
      <c r="W2740" t="inlineStr">
        <is>
          <t>2026-Q1</t>
        </is>
      </c>
    </row>
    <row r="2741" ht="25.5" customHeight="1">
      <c r="A2741" t="inlineStr">
        <is>
          <t>巨实穿!!短绒小圆领Tee~万能打底衫白色保暖收腰T恤上衣女秋冬</t>
        </is>
      </c>
      <c r="B2741" t="inlineStr">
        <is>
          <t>recveqrflnZ0Oh.jpg</t>
        </is>
      </c>
      <c r="C2741" s="2" t="str">
        <f>=HYPERLINK("https://xhslink.com/m/17QtZXkpxWI", "https://xhslink.com/m/17QtZXkpxWI")</f>
        <v>https://xhslink.com/m/17QtZXkpxWI</v>
      </c>
      <c r="D2741"/>
      <c r="E2741">
        <v>83000</v>
      </c>
      <c r="F2741">
        <v>29.9</v>
      </c>
      <c r="G2741">
        <v>26.31</v>
      </c>
      <c r="H2741">
        <v>100</v>
      </c>
      <c r="I2741" t="inlineStr">
        <is>
          <t>T恤</t>
        </is>
      </c>
      <c r="J2741" t="inlineStr">
        <is>
          <t>0.00</t>
        </is>
      </c>
      <c r="K2741"/>
      <c r="L2741" t="inlineStr">
        <is>
          <t>海鸥服装厂的店</t>
        </is>
      </c>
      <c r="M2741">
        <v>77000</v>
      </c>
      <c r="N2741">
        <v>4.46</v>
      </c>
      <c r="O2741">
        <v>1003000</v>
      </c>
      <c r="P2741" t="inlineStr">
        <is>
          <t>690dd3c081ef5a000157a7ae</t>
        </is>
      </c>
      <c r="Q2741" t="inlineStr">
        <is>
          <t>🚫重复</t>
        </is>
      </c>
      <c r="R2741" t="inlineStr">
        <is>
          <t>14周</t>
        </is>
      </c>
      <c r="S2741" t="inlineStr">
        <is>
          <t>1.08</t>
        </is>
      </c>
      <c r="T2741" t="inlineStr">
        <is>
          <t>服饰穿搭</t>
        </is>
      </c>
      <c r="U2741" t="inlineStr">
        <is>
          <t>女装</t>
        </is>
      </c>
      <c r="V2741" s="3">
        <v>46112.78107638889</v>
      </c>
      <c r="W2741" t="inlineStr">
        <is>
          <t>2026-Q1</t>
        </is>
      </c>
    </row>
    <row r="2742" ht="25.5" customHeight="1">
      <c r="A2742" t="inlineStr">
        <is>
          <t>金喜家-【多巴胺条纹】春夏款麻感棉韩系多巴胺色系圆领条纹T恤</t>
        </is>
      </c>
      <c r="B2742" t="inlineStr">
        <is>
          <t>recveqrflniLpM.jpg</t>
        </is>
      </c>
      <c r="C2742" s="2" t="str">
        <f>=HYPERLINK("https://xhslink.com/m/9AdtabEA8NV", "https://xhslink.com/m/9AdtabEA8NV")</f>
        <v>https://xhslink.com/m/9AdtabEA8NV</v>
      </c>
      <c r="D2742"/>
      <c r="E2742">
        <v>5570</v>
      </c>
      <c r="F2742">
        <v>499</v>
      </c>
      <c r="G2742"/>
      <c r="H2742">
        <v>100</v>
      </c>
      <c r="I2742" t="inlineStr">
        <is>
          <t>T恤</t>
        </is>
      </c>
      <c r="J2742" t="inlineStr">
        <is>
          <t>0.02</t>
        </is>
      </c>
      <c r="K2742"/>
      <c r="L2742" t="inlineStr">
        <is>
          <t>喜喜studio韩系穿搭的店</t>
        </is>
      </c>
      <c r="M2742">
        <v>91000</v>
      </c>
      <c r="N2742">
        <v>4.48</v>
      </c>
      <c r="O2742">
        <v>50000</v>
      </c>
      <c r="P2742" t="inlineStr">
        <is>
          <t>699eb623b113e40015a3a053</t>
        </is>
      </c>
      <c r="Q2742" t="inlineStr">
        <is>
          <t>🚫重复</t>
        </is>
      </c>
      <c r="R2742" t="inlineStr">
        <is>
          <t>14周</t>
        </is>
      </c>
      <c r="S2742" t="inlineStr">
        <is>
          <t>0.06</t>
        </is>
      </c>
      <c r="T2742" t="inlineStr">
        <is>
          <t>服饰穿搭</t>
        </is>
      </c>
      <c r="U2742" t="inlineStr">
        <is>
          <t>女装</t>
        </is>
      </c>
      <c r="V2742" s="3">
        <v>46112.78107638889</v>
      </c>
      <c r="W2742" t="inlineStr">
        <is>
          <t>2026-Q1</t>
        </is>
      </c>
    </row>
    <row r="2743" ht="25.5" customHeight="1">
      <c r="A2743" t="inlineStr">
        <is>
          <t>小花朵松弛山系设计宽版工装阔腿休闲裤MD-K738SS</t>
        </is>
      </c>
      <c r="B2743" t="inlineStr">
        <is>
          <t>recveqrflnLzgx.jpg</t>
        </is>
      </c>
      <c r="C2743" s="2" t="str">
        <f>=HYPERLINK("https://xhslink.com/m/pjZGj6RKwR", "https://xhslink.com/m/pjZGj6RKwR")</f>
        <v>https://xhslink.com/m/pjZGj6RKwR</v>
      </c>
      <c r="D2743"/>
      <c r="E2743">
        <v>347</v>
      </c>
      <c r="F2743">
        <v>119</v>
      </c>
      <c r="G2743"/>
      <c r="H2743">
        <v>100</v>
      </c>
      <c r="I2743" t="inlineStr">
        <is>
          <t>T恤</t>
        </is>
      </c>
      <c r="J2743" t="inlineStr">
        <is>
          <t>0.29</t>
        </is>
      </c>
      <c r="K2743"/>
      <c r="L2743" t="inlineStr">
        <is>
          <t>MIN SAN JIN供应链的店</t>
        </is>
      </c>
      <c r="M2743">
        <v>1098</v>
      </c>
      <c r="N2743">
        <v>4.41</v>
      </c>
      <c r="O2743">
        <v>99000</v>
      </c>
      <c r="P2743" t="inlineStr">
        <is>
          <t>69a438fecabb460001f9e1fc</t>
        </is>
      </c>
      <c r="Q2743"/>
      <c r="R2743" t="inlineStr">
        <is>
          <t>14周</t>
        </is>
      </c>
      <c r="S2743" t="inlineStr">
        <is>
          <t>0.32</t>
        </is>
      </c>
      <c r="T2743" t="inlineStr">
        <is>
          <t>服饰穿搭</t>
        </is>
      </c>
      <c r="U2743" t="inlineStr">
        <is>
          <t>女装</t>
        </is>
      </c>
      <c r="V2743" s="3">
        <v>46112.78107638889</v>
      </c>
      <c r="W2743" t="inlineStr">
        <is>
          <t>2026-Q1</t>
        </is>
      </c>
    </row>
    <row r="2744" ht="25.5" customHeight="1">
      <c r="A2744" t="inlineStr">
        <is>
          <t>打底衫慵懒风纯色长袖T恤女秋冬加绒宽松显瘦百搭休闲内搭上衣</t>
        </is>
      </c>
      <c r="B2744" t="inlineStr">
        <is>
          <t>recveqrflnS5rK.jpg</t>
        </is>
      </c>
      <c r="C2744" s="2" t="str">
        <f>=HYPERLINK("https://xhslink.com/m/AMwFiYVlUsi", "https://xhslink.com/m/AMwFiYVlUsi")</f>
        <v>https://xhslink.com/m/AMwFiYVlUsi</v>
      </c>
      <c r="D2744"/>
      <c r="E2744">
        <v>40000</v>
      </c>
      <c r="F2744">
        <v>79.9</v>
      </c>
      <c r="G2744">
        <v>59.9</v>
      </c>
      <c r="H2744">
        <v>100</v>
      </c>
      <c r="I2744" t="inlineStr">
        <is>
          <t>T恤</t>
        </is>
      </c>
      <c r="J2744" t="inlineStr">
        <is>
          <t>0.00</t>
        </is>
      </c>
      <c r="K2744" t="inlineStr">
        <is>
          <t>🔥低粉爆款</t>
        </is>
      </c>
      <c r="L2744" t="inlineStr">
        <is>
          <t>大耳朵藏不住的店</t>
        </is>
      </c>
      <c r="M2744">
        <v>6982</v>
      </c>
      <c r="N2744">
        <v>4.65</v>
      </c>
      <c r="O2744">
        <v>291000</v>
      </c>
      <c r="P2744" t="inlineStr">
        <is>
          <t>68dde0087c1a030001305dd1</t>
        </is>
      </c>
      <c r="Q2744" t="inlineStr">
        <is>
          <t>🚫重复</t>
        </is>
      </c>
      <c r="R2744" t="inlineStr">
        <is>
          <t>14周</t>
        </is>
      </c>
      <c r="S2744" t="inlineStr">
        <is>
          <t>5.73</t>
        </is>
      </c>
      <c r="T2744" t="inlineStr">
        <is>
          <t>服饰穿搭</t>
        </is>
      </c>
      <c r="U2744" t="inlineStr">
        <is>
          <t>女装</t>
        </is>
      </c>
      <c r="V2744" s="3">
        <v>46112.78107638889</v>
      </c>
      <c r="W2744" t="inlineStr">
        <is>
          <t>2026-Q1</t>
        </is>
      </c>
    </row>
    <row r="2745" ht="25.5" customHeight="1">
      <c r="A2745" t="inlineStr">
        <is>
          <t>DY【面膜卫衣】太舒服了亲肤柔软透气螺纹设计廓形显瘦打底卫衣</t>
        </is>
      </c>
      <c r="B2745" t="inlineStr">
        <is>
          <t>recveqrflnZu3L.jpg</t>
        </is>
      </c>
      <c r="C2745" s="2" t="str">
        <f>=HYPERLINK("https://xhslink.com/m/HXg2MlLUoY", "https://xhslink.com/m/HXg2MlLUoY")</f>
        <v>https://xhslink.com/m/HXg2MlLUoY</v>
      </c>
      <c r="D2745"/>
      <c r="E2745">
        <v>3222</v>
      </c>
      <c r="F2745">
        <v>79.9</v>
      </c>
      <c r="G2745"/>
      <c r="H2745">
        <v>100</v>
      </c>
      <c r="I2745" t="inlineStr">
        <is>
          <t>卫衣</t>
        </is>
      </c>
      <c r="J2745" t="inlineStr">
        <is>
          <t>0.03</t>
        </is>
      </c>
      <c r="K2745"/>
      <c r="L2745" t="inlineStr">
        <is>
          <t>大瑶女装的店</t>
        </is>
      </c>
      <c r="M2745">
        <v>36000</v>
      </c>
      <c r="N2745">
        <v>4.64</v>
      </c>
      <c r="O2745">
        <v>59000</v>
      </c>
      <c r="P2745" t="inlineStr">
        <is>
          <t>689fe11f5251bf00012ce509</t>
        </is>
      </c>
      <c r="Q2745"/>
      <c r="R2745" t="inlineStr">
        <is>
          <t>14周</t>
        </is>
      </c>
      <c r="S2745" t="inlineStr">
        <is>
          <t>0.09</t>
        </is>
      </c>
      <c r="T2745" t="inlineStr">
        <is>
          <t>服饰穿搭</t>
        </is>
      </c>
      <c r="U2745" t="inlineStr">
        <is>
          <t>女装</t>
        </is>
      </c>
      <c r="V2745" s="3">
        <v>46112.78107638889</v>
      </c>
      <c r="W2745" t="inlineStr">
        <is>
          <t>2026-Q1</t>
        </is>
      </c>
    </row>
    <row r="2746" ht="25.5" customHeight="1">
      <c r="A2746" t="inlineStr">
        <is>
          <t>一体式运动背心女防震撸铁瑜伽内衣普拉提训练健身服上衣瑜伽5044</t>
        </is>
      </c>
      <c r="B2746" t="inlineStr">
        <is>
          <t>recveqrfln2ncy.jpg</t>
        </is>
      </c>
      <c r="C2746" s="2" t="str">
        <f>=HYPERLINK("https://xhslink.com/m/2zNZT1Hdai5", "https://xhslink.com/m/2zNZT1Hdai5")</f>
        <v>https://xhslink.com/m/2zNZT1Hdai5</v>
      </c>
      <c r="D2746"/>
      <c r="E2746">
        <v>11000</v>
      </c>
      <c r="F2746">
        <v>79.99</v>
      </c>
      <c r="G2746">
        <v>59.99</v>
      </c>
      <c r="H2746">
        <v>100</v>
      </c>
      <c r="I2746" t="inlineStr">
        <is>
          <t>运动内衣</t>
        </is>
      </c>
      <c r="J2746" t="inlineStr">
        <is>
          <t>0.01</t>
        </is>
      </c>
      <c r="K2746"/>
      <c r="L2746" t="inlineStr">
        <is>
          <t>小杨yoga的店</t>
        </is>
      </c>
      <c r="M2746">
        <v>158000</v>
      </c>
      <c r="N2746">
        <v>4.53</v>
      </c>
      <c r="O2746">
        <v>587000</v>
      </c>
      <c r="P2746" t="inlineStr">
        <is>
          <t>67d532ec0c1b740015db4cca</t>
        </is>
      </c>
      <c r="Q2746" t="inlineStr">
        <is>
          <t>🚫重复</t>
        </is>
      </c>
      <c r="R2746" t="inlineStr">
        <is>
          <t>14周</t>
        </is>
      </c>
      <c r="S2746" t="inlineStr">
        <is>
          <t>0.07</t>
        </is>
      </c>
      <c r="T2746" t="inlineStr">
        <is>
          <t>运动潮玩</t>
        </is>
      </c>
      <c r="U2746" t="inlineStr">
        <is>
          <t>运动户外装备</t>
        </is>
      </c>
      <c r="V2746" s="3">
        <v>46112.78107638889</v>
      </c>
      <c r="W2746" t="inlineStr">
        <is>
          <t>2026-Q1</t>
        </is>
      </c>
    </row>
    <row r="2747" ht="25.5" customHeight="1">
      <c r="A2747" t="inlineStr">
        <is>
          <t>一体式运动背心女防震撸铁瑜伽内衣普拉提训练健身服上衣瑜伽5044</t>
        </is>
      </c>
      <c r="B2747" t="inlineStr">
        <is>
          <t>recveqrflnjWvX.jpg</t>
        </is>
      </c>
      <c r="C2747" s="2" t="str">
        <f>=HYPERLINK("https://xhslink.com/m/AE5uVuEeqH4", "https://xhslink.com/m/AE5uVuEeqH4")</f>
        <v>https://xhslink.com/m/AE5uVuEeqH4</v>
      </c>
      <c r="D2747"/>
      <c r="E2747">
        <v>11000</v>
      </c>
      <c r="F2747">
        <v>79.99</v>
      </c>
      <c r="G2747">
        <v>59.99</v>
      </c>
      <c r="H2747">
        <v>100</v>
      </c>
      <c r="I2747" t="inlineStr">
        <is>
          <t>运动内衣</t>
        </is>
      </c>
      <c r="J2747" t="inlineStr">
        <is>
          <t>0.01</t>
        </is>
      </c>
      <c r="K2747"/>
      <c r="L2747" t="inlineStr">
        <is>
          <t>小杨yoga的店</t>
        </is>
      </c>
      <c r="M2747">
        <v>158000</v>
      </c>
      <c r="N2747">
        <v>4.53</v>
      </c>
      <c r="O2747">
        <v>587000</v>
      </c>
      <c r="P2747" t="inlineStr">
        <is>
          <t>67d532ee9dab11001537f13a</t>
        </is>
      </c>
      <c r="Q2747" t="inlineStr">
        <is>
          <t>🚫重复</t>
        </is>
      </c>
      <c r="R2747" t="inlineStr">
        <is>
          <t>14周</t>
        </is>
      </c>
      <c r="S2747" t="inlineStr">
        <is>
          <t>0.07</t>
        </is>
      </c>
      <c r="T2747" t="inlineStr">
        <is>
          <t>运动潮玩</t>
        </is>
      </c>
      <c r="U2747" t="inlineStr">
        <is>
          <t>运动户外装备</t>
        </is>
      </c>
      <c r="V2747" s="3">
        <v>46112.78107638889</v>
      </c>
      <c r="W2747" t="inlineStr">
        <is>
          <t>2026-Q1</t>
        </is>
      </c>
    </row>
    <row r="2748" ht="25.5" customHeight="1">
      <c r="A2748" t="inlineStr">
        <is>
          <t>高强度防下垂防震运动内衣女前拉链一体式文胸聚拢瑜伽美背背心款</t>
        </is>
      </c>
      <c r="B2748" t="inlineStr">
        <is>
          <t>recveqrflnbwwy.jpg</t>
        </is>
      </c>
      <c r="C2748" s="2" t="str">
        <f>=HYPERLINK("https://xhslink.com/m/7fJRJOsNSR3", "https://xhslink.com/m/7fJRJOsNSR3")</f>
        <v>https://xhslink.com/m/7fJRJOsNSR3</v>
      </c>
      <c r="D2748"/>
      <c r="E2748">
        <v>30000</v>
      </c>
      <c r="F2748">
        <v>99.8</v>
      </c>
      <c r="G2748">
        <v>39.9</v>
      </c>
      <c r="H2748">
        <v>100</v>
      </c>
      <c r="I2748" t="inlineStr">
        <is>
          <t>运动内衣</t>
        </is>
      </c>
      <c r="J2748" t="inlineStr">
        <is>
          <t>0.00</t>
        </is>
      </c>
      <c r="K2748" t="inlineStr">
        <is>
          <t>🔥低粉爆款</t>
        </is>
      </c>
      <c r="L2748" t="inlineStr">
        <is>
          <t>LEO瑜伽健身馆的店</t>
        </is>
      </c>
      <c r="M2748">
        <v>2862</v>
      </c>
      <c r="N2748">
        <v>4.6</v>
      </c>
      <c r="O2748">
        <v>49000</v>
      </c>
      <c r="P2748" t="inlineStr">
        <is>
          <t>6647700bf286a600014b75a1</t>
        </is>
      </c>
      <c r="Q2748"/>
      <c r="R2748" t="inlineStr">
        <is>
          <t>14周</t>
        </is>
      </c>
      <c r="S2748" t="inlineStr">
        <is>
          <t>10.48</t>
        </is>
      </c>
      <c r="T2748" t="inlineStr">
        <is>
          <t>服饰穿搭</t>
        </is>
      </c>
      <c r="U2748" t="inlineStr">
        <is>
          <t>女装</t>
        </is>
      </c>
      <c r="V2748" s="3">
        <v>46112.78107638889</v>
      </c>
      <c r="W2748" t="inlineStr">
        <is>
          <t>2026-Q1</t>
        </is>
      </c>
    </row>
    <row r="2749" ht="25.5" customHeight="1">
      <c r="A2749" t="inlineStr">
        <is>
          <t>网纱后背交叉防震健身瑜伽运动内衣 防震不错！</t>
        </is>
      </c>
      <c r="B2749" t="inlineStr">
        <is>
          <t>recveqrfln4kuJ.jpg</t>
        </is>
      </c>
      <c r="C2749" s="2" t="str">
        <f>=HYPERLINK("https://xhslink.com/m/9XE9GMu5OQv", "https://xhslink.com/m/9XE9GMu5OQv")</f>
        <v>https://xhslink.com/m/9XE9GMu5OQv</v>
      </c>
      <c r="D2749"/>
      <c r="E2749">
        <v>5854</v>
      </c>
      <c r="F2749">
        <v>58.8</v>
      </c>
      <c r="G2749">
        <v>38.8</v>
      </c>
      <c r="H2749">
        <v>100</v>
      </c>
      <c r="I2749" t="inlineStr">
        <is>
          <t>运动内衣</t>
        </is>
      </c>
      <c r="J2749" t="inlineStr">
        <is>
          <t>0.02</t>
        </is>
      </c>
      <c r="K2749"/>
      <c r="L2749" t="inlineStr">
        <is>
          <t>Emma推荐的店</t>
        </is>
      </c>
      <c r="M2749">
        <v>4123</v>
      </c>
      <c r="N2749">
        <v>4.58</v>
      </c>
      <c r="O2749">
        <v>31000</v>
      </c>
      <c r="P2749" t="inlineStr">
        <is>
          <t>6756b6ade7844c0015d6b49a</t>
        </is>
      </c>
      <c r="Q2749"/>
      <c r="R2749" t="inlineStr">
        <is>
          <t>14周</t>
        </is>
      </c>
      <c r="S2749" t="inlineStr">
        <is>
          <t>1.42</t>
        </is>
      </c>
      <c r="T2749" t="inlineStr">
        <is>
          <t>运动潮玩</t>
        </is>
      </c>
      <c r="U2749" t="inlineStr">
        <is>
          <t>运动户外装备</t>
        </is>
      </c>
      <c r="V2749" s="3">
        <v>46112.78107638889</v>
      </c>
      <c r="W2749" t="inlineStr">
        <is>
          <t>2026-Q1</t>
        </is>
      </c>
    </row>
    <row r="2750" ht="25.5" customHeight="1">
      <c r="A2750" t="inlineStr">
        <is>
          <t>维多利亚的秘密 · 【2件266】维密果冻条字母肩带背心式运动软支撑无钢圈文胸内衣女</t>
        </is>
      </c>
      <c r="B2750" t="inlineStr">
        <is>
          <t>recveqrflnUWNb.jpg</t>
        </is>
      </c>
      <c r="C2750" s="2" t="str">
        <f>=HYPERLINK("https://xhslink.com/m/ACAdI7hBGKu", "https://xhslink.com/m/ACAdI7hBGKu")</f>
        <v>https://xhslink.com/m/ACAdI7hBGKu</v>
      </c>
      <c r="D2750"/>
      <c r="E2750">
        <v>10000</v>
      </c>
      <c r="F2750">
        <v>278</v>
      </c>
      <c r="G2750">
        <v>158</v>
      </c>
      <c r="H2750">
        <v>100</v>
      </c>
      <c r="I2750" t="inlineStr">
        <is>
          <t>运动内衣</t>
        </is>
      </c>
      <c r="J2750" t="inlineStr">
        <is>
          <t>0.01</t>
        </is>
      </c>
      <c r="K2750"/>
      <c r="L2750" t="inlineStr">
        <is>
          <t>维多利亚的秘密旗舰店</t>
        </is>
      </c>
      <c r="M2750">
        <v>246000</v>
      </c>
      <c r="N2750">
        <v>4.77</v>
      </c>
      <c r="O2750">
        <v>792000</v>
      </c>
      <c r="P2750" t="inlineStr">
        <is>
          <t>665fd0e9bdbfd5000169fa52</t>
        </is>
      </c>
      <c r="Q2750" t="inlineStr">
        <is>
          <t>🚫重复</t>
        </is>
      </c>
      <c r="R2750" t="inlineStr">
        <is>
          <t>14周</t>
        </is>
      </c>
      <c r="S2750" t="inlineStr">
        <is>
          <t>0.04</t>
        </is>
      </c>
      <c r="T2750" t="inlineStr">
        <is>
          <t>服饰穿搭</t>
        </is>
      </c>
      <c r="U2750" t="inlineStr">
        <is>
          <t>女装</t>
        </is>
      </c>
      <c r="V2750" s="3">
        <v>46112.78107638889</v>
      </c>
      <c r="W2750" t="inlineStr">
        <is>
          <t>2026-Q1</t>
        </is>
      </c>
    </row>
    <row r="2751" ht="25.5" customHeight="1">
      <c r="A2751" t="inlineStr">
        <is>
          <t>NUSCENTS芬寸 · 咕咕系列柔肌干皮油皮有色面霜保湿滋润轻薄粉底液</t>
        </is>
      </c>
      <c r="B2751" t="inlineStr">
        <is>
          <t>recveqrflnW9fD.jpg</t>
        </is>
      </c>
      <c r="C2751" s="2" t="str">
        <f>=HYPERLINK("https://xhslink.com/m/1tS1X7fbHgb", "https://xhslink.com/m/1tS1X7fbHgb")</f>
        <v>https://xhslink.com/m/1tS1X7fbHgb</v>
      </c>
      <c r="D2751"/>
      <c r="E2751">
        <v>26000</v>
      </c>
      <c r="F2751">
        <v>229</v>
      </c>
      <c r="G2751">
        <v>168</v>
      </c>
      <c r="H2751">
        <v>100</v>
      </c>
      <c r="I2751" t="inlineStr">
        <is>
          <t>粉底液</t>
        </is>
      </c>
      <c r="J2751" t="inlineStr">
        <is>
          <t>0.00</t>
        </is>
      </c>
      <c r="K2751"/>
      <c r="L2751" t="inlineStr">
        <is>
          <t>NUSCENTS芬寸旗舰店</t>
        </is>
      </c>
      <c r="M2751">
        <v>17000</v>
      </c>
      <c r="N2751">
        <v>4.77</v>
      </c>
      <c r="O2751">
        <v>114000</v>
      </c>
      <c r="P2751" t="inlineStr">
        <is>
          <t>67c55674eef182000151e253</t>
        </is>
      </c>
      <c r="Q2751"/>
      <c r="R2751" t="inlineStr">
        <is>
          <t>14周</t>
        </is>
      </c>
      <c r="S2751" t="inlineStr">
        <is>
          <t>1.53</t>
        </is>
      </c>
      <c r="T2751" t="inlineStr">
        <is>
          <t>美妆个护</t>
        </is>
      </c>
      <c r="U2751" t="inlineStr">
        <is>
          <t>护肤彩妆</t>
        </is>
      </c>
      <c r="V2751" s="3">
        <v>46112.78107638889</v>
      </c>
      <c r="W2751" t="inlineStr">
        <is>
          <t>2026-Q1</t>
        </is>
      </c>
    </row>
    <row r="2752" ht="25.5" customHeight="1">
      <c r="A2752" t="inlineStr">
        <is>
          <t>本哚 · 24h不脱妆粉底液遮瑕养肤油皮持久控油干皮蹭不掉奶油肌</t>
        </is>
      </c>
      <c r="B2752" t="inlineStr">
        <is>
          <t>recveqrflnEfsK.jpg</t>
        </is>
      </c>
      <c r="C2752" s="2" t="str">
        <f>=HYPERLINK("https://xhslink.com/m/ACxY78PdrNW", "https://xhslink.com/m/ACxY78PdrNW")</f>
        <v>https://xhslink.com/m/ACxY78PdrNW</v>
      </c>
      <c r="D2752"/>
      <c r="E2752">
        <v>37000</v>
      </c>
      <c r="F2752">
        <v>54.9</v>
      </c>
      <c r="G2752">
        <v>31.9</v>
      </c>
      <c r="H2752">
        <v>100</v>
      </c>
      <c r="I2752" t="inlineStr">
        <is>
          <t>粉底液</t>
        </is>
      </c>
      <c r="J2752" t="inlineStr">
        <is>
          <t>0.00</t>
        </is>
      </c>
      <c r="K2752" t="inlineStr">
        <is>
          <t>🔥低粉爆款</t>
        </is>
      </c>
      <c r="L2752" t="inlineStr">
        <is>
          <t>广州LIRU丽如美妆的店</t>
        </is>
      </c>
      <c r="M2752">
        <v>7862</v>
      </c>
      <c r="N2752">
        <v>4.57</v>
      </c>
      <c r="O2752">
        <v>81000</v>
      </c>
      <c r="P2752" t="inlineStr">
        <is>
          <t>677b74c322ad9a0001fd56b3</t>
        </is>
      </c>
      <c r="Q2752" t="inlineStr">
        <is>
          <t>🚫重复</t>
        </is>
      </c>
      <c r="R2752" t="inlineStr">
        <is>
          <t>14周</t>
        </is>
      </c>
      <c r="S2752" t="inlineStr">
        <is>
          <t>4.71</t>
        </is>
      </c>
      <c r="T2752" t="inlineStr">
        <is>
          <t>美妆个护</t>
        </is>
      </c>
      <c r="U2752" t="inlineStr">
        <is>
          <t>护肤彩妆</t>
        </is>
      </c>
      <c r="V2752" s="3">
        <v>46112.78107638889</v>
      </c>
      <c r="W2752" t="inlineStr">
        <is>
          <t>2026-Q1</t>
        </is>
      </c>
    </row>
    <row r="2753" ht="25.5" customHeight="1">
      <c r="A2753" t="inlineStr">
        <is>
          <t>珀澜 · POLAN日不落持妆粉底液哑光不脱妆遮瑕持久服帖防汗</t>
        </is>
      </c>
      <c r="B2753" t="inlineStr">
        <is>
          <t>recveqrfln6Mis.jpg</t>
        </is>
      </c>
      <c r="C2753" s="2" t="str">
        <f>=HYPERLINK("https://xhslink.com/m/323uIm4SGb5", "https://xhslink.com/m/323uIm4SGb5")</f>
        <v>https://xhslink.com/m/323uIm4SGb5</v>
      </c>
      <c r="D2753"/>
      <c r="E2753">
        <v>19000</v>
      </c>
      <c r="F2753">
        <v>49.9</v>
      </c>
      <c r="G2753"/>
      <c r="H2753">
        <v>100</v>
      </c>
      <c r="I2753" t="inlineStr">
        <is>
          <t>粉底液</t>
        </is>
      </c>
      <c r="J2753" t="inlineStr">
        <is>
          <t>0.01</t>
        </is>
      </c>
      <c r="K2753" t="inlineStr">
        <is>
          <t>🔥低粉爆款</t>
        </is>
      </c>
      <c r="L2753" t="inlineStr">
        <is>
          <t>珀澜初悦美妆专卖店</t>
        </is>
      </c>
      <c r="M2753">
        <v>227</v>
      </c>
      <c r="N2753">
        <v>4.53</v>
      </c>
      <c r="O2753">
        <v>40000</v>
      </c>
      <c r="P2753" t="inlineStr">
        <is>
          <t>66f4f1d05b733300013437bd</t>
        </is>
      </c>
      <c r="Q2753"/>
      <c r="R2753" t="inlineStr">
        <is>
          <t>14周</t>
        </is>
      </c>
      <c r="S2753" t="inlineStr">
        <is>
          <t>83.70</t>
        </is>
      </c>
      <c r="T2753" t="inlineStr">
        <is>
          <t>美妆个护</t>
        </is>
      </c>
      <c r="U2753" t="inlineStr">
        <is>
          <t>护肤彩妆</t>
        </is>
      </c>
      <c r="V2753" s="3">
        <v>46112.78107638889</v>
      </c>
      <c r="W2753" t="inlineStr">
        <is>
          <t>2026-Q1</t>
        </is>
      </c>
    </row>
    <row r="2754" ht="25.5" customHeight="1">
      <c r="A2754" t="inlineStr">
        <is>
          <t>Nebe · 粉色护色洗发水固色锁色去黄染后护理锁护色专用柔顺洗发露女</t>
        </is>
      </c>
      <c r="B2754" t="inlineStr">
        <is>
          <t>recveqrfln7EPF.jpg</t>
        </is>
      </c>
      <c r="C2754" s="2" t="str">
        <f>=HYPERLINK("https://xhslink.com/m/9ZE6xxvjzPD", "https://xhslink.com/m/9ZE6xxvjzPD")</f>
        <v>https://xhslink.com/m/9ZE6xxvjzPD</v>
      </c>
      <c r="D2754"/>
      <c r="E2754">
        <v>75000</v>
      </c>
      <c r="F2754">
        <v>89</v>
      </c>
      <c r="G2754">
        <v>84</v>
      </c>
      <c r="H2754">
        <v>100</v>
      </c>
      <c r="I2754" t="inlineStr">
        <is>
          <t>美护</t>
        </is>
      </c>
      <c r="J2754" t="inlineStr">
        <is>
          <t>0.00</t>
        </is>
      </c>
      <c r="K2754"/>
      <c r="L2754" t="inlineStr">
        <is>
          <t>NEBE旗舰店</t>
        </is>
      </c>
      <c r="M2754">
        <v>52000</v>
      </c>
      <c r="N2754">
        <v>4.63</v>
      </c>
      <c r="O2754">
        <v>2020000</v>
      </c>
      <c r="P2754" t="inlineStr">
        <is>
          <t>652e02159e7dfd00017501da</t>
        </is>
      </c>
      <c r="Q2754" t="inlineStr">
        <is>
          <t>🚫重复</t>
        </is>
      </c>
      <c r="R2754" t="inlineStr">
        <is>
          <t>14周</t>
        </is>
      </c>
      <c r="S2754" t="inlineStr">
        <is>
          <t>1.44</t>
        </is>
      </c>
      <c r="T2754" t="inlineStr">
        <is>
          <t>美妆个护</t>
        </is>
      </c>
      <c r="U2754" t="inlineStr">
        <is>
          <t>个人护理</t>
        </is>
      </c>
      <c r="V2754" s="3">
        <v>46112.78107638889</v>
      </c>
      <c r="W2754" t="inlineStr">
        <is>
          <t>2026-Q1</t>
        </is>
      </c>
    </row>
    <row r="2755" ht="25.5" customHeight="1">
      <c r="A2755" t="inlineStr">
        <is>
          <t>3E · 【露丝同款】无线直发梳负离子不伤发便携充电造型梳直板夹</t>
        </is>
      </c>
      <c r="B2755" t="inlineStr">
        <is>
          <t>recveqrflnxWBI.jpg</t>
        </is>
      </c>
      <c r="C2755" s="2" t="str">
        <f>=HYPERLINK("https://xhslink.com/m/7U2OnuyqJBh", "https://xhslink.com/m/7U2OnuyqJBh")</f>
        <v>https://xhslink.com/m/7U2OnuyqJBh</v>
      </c>
      <c r="D2755"/>
      <c r="E2755">
        <v>11000</v>
      </c>
      <c r="F2755">
        <v>99.82</v>
      </c>
      <c r="G2755">
        <v>49.8</v>
      </c>
      <c r="H2755">
        <v>100</v>
      </c>
      <c r="I2755" t="inlineStr">
        <is>
          <t>美护</t>
        </is>
      </c>
      <c r="J2755" t="inlineStr">
        <is>
          <t>0.01</t>
        </is>
      </c>
      <c r="K2755" t="inlineStr">
        <is>
          <t>🔥低粉爆款</t>
        </is>
      </c>
      <c r="L2755" t="inlineStr">
        <is>
          <t>Sutsmys甄选的店</t>
        </is>
      </c>
      <c r="M2755">
        <v>189</v>
      </c>
      <c r="N2755">
        <v>4.51</v>
      </c>
      <c r="O2755">
        <v>14000</v>
      </c>
      <c r="P2755" t="inlineStr">
        <is>
          <t>692edd014977f300016d0881</t>
        </is>
      </c>
      <c r="Q2755"/>
      <c r="R2755" t="inlineStr">
        <is>
          <t>14周</t>
        </is>
      </c>
      <c r="S2755" t="inlineStr">
        <is>
          <t>58.20</t>
        </is>
      </c>
      <c r="T2755" t="inlineStr">
        <is>
          <t>美妆个护</t>
        </is>
      </c>
      <c r="U2755" t="inlineStr">
        <is>
          <t>个人护理</t>
        </is>
      </c>
      <c r="V2755" s="3">
        <v>46112.78107638889</v>
      </c>
      <c r="W2755" t="inlineStr">
        <is>
          <t>2026-Q1</t>
        </is>
      </c>
    </row>
    <row r="2756" ht="25.5" customHeight="1">
      <c r="A2756" t="inlineStr">
        <is>
          <t>手工草本洗发皂氨基酸古法洗头皂养发皂松针生姜手工植物洗发皂</t>
        </is>
      </c>
      <c r="B2756" t="inlineStr">
        <is>
          <t>recveqrflnbVBN.jpg</t>
        </is>
      </c>
      <c r="C2756" s="2" t="str">
        <f>=HYPERLINK("https://xhslink.com/m/3khouV1L5lh", "https://xhslink.com/m/3khouV1L5lh")</f>
        <v>https://xhslink.com/m/3khouV1L5lh</v>
      </c>
      <c r="D2756"/>
      <c r="E2756">
        <v>45000</v>
      </c>
      <c r="F2756">
        <v>75.2</v>
      </c>
      <c r="G2756">
        <v>52.2</v>
      </c>
      <c r="H2756">
        <v>100</v>
      </c>
      <c r="I2756" t="inlineStr">
        <is>
          <t>美护</t>
        </is>
      </c>
      <c r="J2756" t="inlineStr">
        <is>
          <t>0.00</t>
        </is>
      </c>
      <c r="K2756" t="inlineStr">
        <is>
          <t>🔥低粉爆款</t>
        </is>
      </c>
      <c r="L2756" t="inlineStr">
        <is>
          <t>Deeeby大白工作室的店</t>
        </is>
      </c>
      <c r="M2756">
        <v>3851</v>
      </c>
      <c r="N2756">
        <v>4.55</v>
      </c>
      <c r="O2756">
        <v>45000</v>
      </c>
      <c r="P2756" t="inlineStr">
        <is>
          <t>68f8efeae0f3b20001ca8307</t>
        </is>
      </c>
      <c r="Q2756" t="inlineStr">
        <is>
          <t>🚫重复</t>
        </is>
      </c>
      <c r="R2756" t="inlineStr">
        <is>
          <t>14周</t>
        </is>
      </c>
      <c r="S2756" t="inlineStr">
        <is>
          <t>11.69</t>
        </is>
      </c>
      <c r="T2756" t="inlineStr">
        <is>
          <t>美妆个护</t>
        </is>
      </c>
      <c r="U2756" t="inlineStr">
        <is>
          <t>个人护理</t>
        </is>
      </c>
      <c r="V2756" s="3">
        <v>46112.78107638889</v>
      </c>
      <c r="W2756" t="inlineStr">
        <is>
          <t>2026-Q1</t>
        </is>
      </c>
    </row>
    <row r="2757" ht="25.5" customHeight="1">
      <c r="A2757" t="inlineStr">
        <is>
          <t>5cm厚底EVA人字拖推荐女防滑防臭泰国三亚旅游沙滩海边户外凉拖鞋</t>
        </is>
      </c>
      <c r="B2757" t="inlineStr">
        <is>
          <t>recveqrflnPEwO.jpg</t>
        </is>
      </c>
      <c r="C2757" s="2" t="str">
        <f>=HYPERLINK("https://xhslink.com/m/63h0i8JgTmr", "https://xhslink.com/m/63h0i8JgTmr")</f>
        <v>https://xhslink.com/m/63h0i8JgTmr</v>
      </c>
      <c r="D2757"/>
      <c r="E2757">
        <v>80000</v>
      </c>
      <c r="F2757">
        <v>39.9</v>
      </c>
      <c r="G2757">
        <v>29.9</v>
      </c>
      <c r="H2757">
        <v>100</v>
      </c>
      <c r="I2757" t="inlineStr">
        <is>
          <t>拖鞋</t>
        </is>
      </c>
      <c r="J2757" t="inlineStr">
        <is>
          <t>0.00</t>
        </is>
      </c>
      <c r="K2757" t="inlineStr">
        <is>
          <t>🔥低粉爆款</t>
        </is>
      </c>
      <c r="L2757" t="inlineStr">
        <is>
          <t>鹿鹿的四季集的店</t>
        </is>
      </c>
      <c r="M2757">
        <v>1640</v>
      </c>
      <c r="N2757">
        <v>4.62</v>
      </c>
      <c r="O2757">
        <v>240000</v>
      </c>
      <c r="P2757" t="inlineStr">
        <is>
          <t>677103d3b46111001541c14d</t>
        </is>
      </c>
      <c r="Q2757" t="inlineStr">
        <is>
          <t>🚫重复</t>
        </is>
      </c>
      <c r="R2757" t="inlineStr">
        <is>
          <t>14周</t>
        </is>
      </c>
      <c r="S2757" t="inlineStr">
        <is>
          <t>48.78</t>
        </is>
      </c>
      <c r="T2757" t="inlineStr">
        <is>
          <t>服饰穿搭</t>
        </is>
      </c>
      <c r="U2757" t="inlineStr">
        <is>
          <t>鞋靴箱包</t>
        </is>
      </c>
      <c r="V2757" s="3">
        <v>46112.78107638889</v>
      </c>
      <c r="W2757" t="inlineStr">
        <is>
          <t>2026-Q1</t>
        </is>
      </c>
    </row>
    <row r="2758" ht="25.5" customHeight="1">
      <c r="A2758" t="inlineStr">
        <is>
          <t>chikoku · 鲷鱼烧拖鞋可爱卡通厚底居家夏防滑外穿情侣凉拖鞋</t>
        </is>
      </c>
      <c r="B2758" t="inlineStr">
        <is>
          <t>recveqrfln5VxU.jpg</t>
        </is>
      </c>
      <c r="C2758" s="2" t="str">
        <f>=HYPERLINK("https://xhslink.com/m/8lKmkngjL4L", "https://xhslink.com/m/8lKmkngjL4L")</f>
        <v>https://xhslink.com/m/8lKmkngjL4L</v>
      </c>
      <c r="D2758"/>
      <c r="E2758">
        <v>1528</v>
      </c>
      <c r="F2758">
        <v>59.9</v>
      </c>
      <c r="G2758">
        <v>29.9</v>
      </c>
      <c r="H2758">
        <v>100</v>
      </c>
      <c r="I2758" t="inlineStr">
        <is>
          <t>拖鞋</t>
        </is>
      </c>
      <c r="J2758" t="inlineStr">
        <is>
          <t>0.07</t>
        </is>
      </c>
      <c r="K2758"/>
      <c r="L2758" t="inlineStr">
        <is>
          <t>chikoku旗舰店</t>
        </is>
      </c>
      <c r="M2758">
        <v>268000</v>
      </c>
      <c r="N2758">
        <v>4.75</v>
      </c>
      <c r="O2758">
        <v>216000</v>
      </c>
      <c r="P2758" t="inlineStr">
        <is>
          <t>69a8044d5973b300011302ba</t>
        </is>
      </c>
      <c r="Q2758" t="inlineStr">
        <is>
          <t>🚫重复</t>
        </is>
      </c>
      <c r="R2758" t="inlineStr">
        <is>
          <t>14周</t>
        </is>
      </c>
      <c r="S2758" t="inlineStr">
        <is>
          <t>0.01</t>
        </is>
      </c>
      <c r="T2758" t="inlineStr">
        <is>
          <t>服饰穿搭</t>
        </is>
      </c>
      <c r="U2758" t="inlineStr">
        <is>
          <t>鞋靴箱包</t>
        </is>
      </c>
      <c r="V2758" s="3">
        <v>46112.78107638889</v>
      </c>
      <c r="W2758" t="inlineStr">
        <is>
          <t>2026-Q1</t>
        </is>
      </c>
    </row>
    <row r="2759" ht="25.5" customHeight="1">
      <c r="A2759" t="inlineStr">
        <is>
          <t>阿威家大盆垂吊矮牵牛冰淡粉小精灵糖果屋稀有耐寒带花苞爆花</t>
        </is>
      </c>
      <c r="B2759" t="inlineStr">
        <is>
          <t>recveqrflnvWpY.jpg</t>
        </is>
      </c>
      <c r="C2759" s="2" t="str">
        <f>=HYPERLINK("https://xhslink.com/m/AtWlwGc7T72", "https://xhslink.com/m/AtWlwGc7T72")</f>
        <v>https://xhslink.com/m/AtWlwGc7T72</v>
      </c>
      <c r="D2759"/>
      <c r="E2759">
        <v>12000</v>
      </c>
      <c r="F2759">
        <v>16.99</v>
      </c>
      <c r="G2759"/>
      <c r="H2759">
        <v>100</v>
      </c>
      <c r="I2759" t="inlineStr">
        <is>
          <t>绿植</t>
        </is>
      </c>
      <c r="J2759" t="inlineStr">
        <is>
          <t>0.01</t>
        </is>
      </c>
      <c r="K2759"/>
      <c r="L2759" t="inlineStr">
        <is>
          <t>卖花的阿威的店</t>
        </is>
      </c>
      <c r="M2759">
        <v>30000</v>
      </c>
      <c r="N2759">
        <v>4.55</v>
      </c>
      <c r="O2759">
        <v>60000</v>
      </c>
      <c r="P2759" t="inlineStr">
        <is>
          <t>69032932e0dd1700011173f7</t>
        </is>
      </c>
      <c r="Q2759"/>
      <c r="R2759" t="inlineStr">
        <is>
          <t>14周</t>
        </is>
      </c>
      <c r="S2759" t="inlineStr">
        <is>
          <t>0.40</t>
        </is>
      </c>
      <c r="T2759" t="inlineStr">
        <is>
          <t>美食滋补</t>
        </is>
      </c>
      <c r="U2759" t="inlineStr">
        <is>
          <t>休闲零食</t>
        </is>
      </c>
      <c r="V2759" s="3">
        <v>46112.78107638889</v>
      </c>
      <c r="W2759" t="inlineStr">
        <is>
          <t>2026-Q1</t>
        </is>
      </c>
    </row>
    <row r="2760" ht="25.5" customHeight="1">
      <c r="A2760" t="inlineStr">
        <is>
          <t>有寻植物 国产朱顶红种球 阿弗雷 花孔雀 双王 舞后重瓣球根花卉</t>
        </is>
      </c>
      <c r="B2760" t="inlineStr">
        <is>
          <t>recveqrflnzcZD.jpg</t>
        </is>
      </c>
      <c r="C2760" s="2" t="str">
        <f>=HYPERLINK("https://xhslink.com/m/4rVbYfPv9n1", "https://xhslink.com/m/4rVbYfPv9n1")</f>
        <v>https://xhslink.com/m/4rVbYfPv9n1</v>
      </c>
      <c r="D2760"/>
      <c r="E2760">
        <v>3317</v>
      </c>
      <c r="F2760">
        <v>25.8</v>
      </c>
      <c r="G2760"/>
      <c r="H2760">
        <v>100</v>
      </c>
      <c r="I2760" t="inlineStr">
        <is>
          <t>绿植</t>
        </is>
      </c>
      <c r="J2760" t="inlineStr">
        <is>
          <t>0.03</t>
        </is>
      </c>
      <c r="K2760"/>
      <c r="L2760" t="inlineStr">
        <is>
          <t>有寻植物的店</t>
        </is>
      </c>
      <c r="M2760">
        <v>63000</v>
      </c>
      <c r="N2760">
        <v>4.57</v>
      </c>
      <c r="O2760">
        <v>128000</v>
      </c>
      <c r="P2760" t="inlineStr">
        <is>
          <t>699fa9ed2080aa000124359a</t>
        </is>
      </c>
      <c r="Q2760" t="inlineStr">
        <is>
          <t>🚫重复</t>
        </is>
      </c>
      <c r="R2760" t="inlineStr">
        <is>
          <t>14周</t>
        </is>
      </c>
      <c r="S2760" t="inlineStr">
        <is>
          <t>0.05</t>
        </is>
      </c>
      <c r="T2760" t="inlineStr">
        <is>
          <t>家居生活</t>
        </is>
      </c>
      <c r="U2760" t="inlineStr">
        <is>
          <t>家具家装</t>
        </is>
      </c>
      <c r="V2760" s="3">
        <v>46112.78107638889</v>
      </c>
      <c r="W2760" t="inlineStr">
        <is>
          <t>2026-Q1</t>
        </is>
      </c>
    </row>
    <row r="2761" ht="25.5" customHeight="1">
      <c r="A2761" t="inlineStr">
        <is>
          <t>大飞燕「可选色」5支1m-1.2m（4单一个运费）0度不拍保温不售后</t>
        </is>
      </c>
      <c r="B2761" t="inlineStr">
        <is>
          <t>recveqrflnsaQD.jpg</t>
        </is>
      </c>
      <c r="C2761" s="2" t="str">
        <f>=HYPERLINK("https://xhslink.com/m/2NYad5A6oPY", "https://xhslink.com/m/2NYad5A6oPY")</f>
        <v>https://xhslink.com/m/2NYad5A6oPY</v>
      </c>
      <c r="D2761"/>
      <c r="E2761">
        <v>1135</v>
      </c>
      <c r="F2761">
        <v>22.99</v>
      </c>
      <c r="G2761"/>
      <c r="H2761">
        <v>100</v>
      </c>
      <c r="I2761" t="inlineStr">
        <is>
          <t>绿植</t>
        </is>
      </c>
      <c r="J2761" t="inlineStr">
        <is>
          <t>0.09</t>
        </is>
      </c>
      <c r="K2761"/>
      <c r="L2761" t="inlineStr">
        <is>
          <t>康健卖花了的店</t>
        </is>
      </c>
      <c r="M2761">
        <v>45000</v>
      </c>
      <c r="N2761">
        <v>4.16</v>
      </c>
      <c r="O2761">
        <v>160000</v>
      </c>
      <c r="P2761" t="inlineStr">
        <is>
          <t>6926d91714b52600017810c5</t>
        </is>
      </c>
      <c r="Q2761" t="inlineStr">
        <is>
          <t>🚫重复</t>
        </is>
      </c>
      <c r="R2761" t="inlineStr">
        <is>
          <t>14周</t>
        </is>
      </c>
      <c r="S2761" t="inlineStr">
        <is>
          <t>0.03</t>
        </is>
      </c>
      <c r="T2761" t="inlineStr">
        <is>
          <t>家居生活</t>
        </is>
      </c>
      <c r="U2761" t="inlineStr">
        <is>
          <t>家具家装</t>
        </is>
      </c>
      <c r="V2761" s="3">
        <v>46112.78107638889</v>
      </c>
      <c r="W2761" t="inlineStr">
        <is>
          <t>2026-Q1</t>
        </is>
      </c>
    </row>
    <row r="2762" ht="25.5" customHeight="1">
      <c r="A2762" t="inlineStr">
        <is>
          <t>香雪兰云南直发基地新鲜采摘新鲜好闻</t>
        </is>
      </c>
      <c r="B2762" t="inlineStr">
        <is>
          <t>recveqrflnqqmO.jpg</t>
        </is>
      </c>
      <c r="C2762" s="2" t="str">
        <f>=HYPERLINK("https://xhslink.com/m/8sOFiK1Gfjp", "https://xhslink.com/m/8sOFiK1Gfjp")</f>
        <v>https://xhslink.com/m/8sOFiK1Gfjp</v>
      </c>
      <c r="D2762"/>
      <c r="E2762">
        <v>8766</v>
      </c>
      <c r="F2762">
        <v>26.8</v>
      </c>
      <c r="G2762">
        <v>22.8</v>
      </c>
      <c r="H2762">
        <v>100</v>
      </c>
      <c r="I2762" t="inlineStr">
        <is>
          <t>绿植</t>
        </is>
      </c>
      <c r="J2762" t="inlineStr">
        <is>
          <t>0.01</t>
        </is>
      </c>
      <c r="K2762"/>
      <c r="L2762" t="inlineStr">
        <is>
          <t>云南花庭鲜花店的店</t>
        </is>
      </c>
      <c r="M2762">
        <v>71000</v>
      </c>
      <c r="N2762">
        <v>4.61</v>
      </c>
      <c r="O2762">
        <v>180000</v>
      </c>
      <c r="P2762" t="inlineStr">
        <is>
          <t>679e1f9829b9f7000106c038</t>
        </is>
      </c>
      <c r="Q2762" t="inlineStr">
        <is>
          <t>🚫重复</t>
        </is>
      </c>
      <c r="R2762" t="inlineStr">
        <is>
          <t>14周</t>
        </is>
      </c>
      <c r="S2762" t="inlineStr">
        <is>
          <t>0.12</t>
        </is>
      </c>
      <c r="T2762" t="inlineStr">
        <is>
          <t>家居生活</t>
        </is>
      </c>
      <c r="U2762" t="inlineStr">
        <is>
          <t>家具家装</t>
        </is>
      </c>
      <c r="V2762" s="3">
        <v>46112.78107638889</v>
      </c>
      <c r="W2762" t="inlineStr">
        <is>
          <t>2026-Q1</t>
        </is>
      </c>
    </row>
    <row r="2763" ht="25.5" customHeight="1">
      <c r="A2763" t="inlineStr">
        <is>
          <t>放青松雾凇盆栽客厅办公室内工位绿植净化空气创意盆景好养活摆件</t>
        </is>
      </c>
      <c r="B2763" t="inlineStr">
        <is>
          <t>recveqrflnSraP.jpg</t>
        </is>
      </c>
      <c r="C2763" s="2" t="str">
        <f>=HYPERLINK("https://xhslink.com/m/2ANalW54f8r", "https://xhslink.com/m/2ANalW54f8r")</f>
        <v>https://xhslink.com/m/2ANalW54f8r</v>
      </c>
      <c r="D2763"/>
      <c r="E2763">
        <v>20000</v>
      </c>
      <c r="F2763">
        <v>30.8</v>
      </c>
      <c r="G2763">
        <v>28.26</v>
      </c>
      <c r="H2763">
        <v>100</v>
      </c>
      <c r="I2763" t="inlineStr">
        <is>
          <t>绿植</t>
        </is>
      </c>
      <c r="J2763" t="inlineStr">
        <is>
          <t>0.01</t>
        </is>
      </c>
      <c r="K2763"/>
      <c r="L2763" t="inlineStr">
        <is>
          <t>花熹子的店</t>
        </is>
      </c>
      <c r="M2763">
        <v>14000</v>
      </c>
      <c r="N2763">
        <v>4.65</v>
      </c>
      <c r="O2763">
        <v>46000</v>
      </c>
      <c r="P2763" t="inlineStr">
        <is>
          <t>66d881fa28f462000102a6cc</t>
        </is>
      </c>
      <c r="Q2763" t="inlineStr">
        <is>
          <t>🚫重复</t>
        </is>
      </c>
      <c r="R2763" t="inlineStr">
        <is>
          <t>14周</t>
        </is>
      </c>
      <c r="S2763" t="inlineStr">
        <is>
          <t>1.43</t>
        </is>
      </c>
      <c r="T2763" t="inlineStr">
        <is>
          <t>家居生活</t>
        </is>
      </c>
      <c r="U2763" t="inlineStr">
        <is>
          <t>家具家装</t>
        </is>
      </c>
      <c r="V2763" s="3">
        <v>46112.78107638889</v>
      </c>
      <c r="W2763" t="inlineStr">
        <is>
          <t>2026-Q1</t>
        </is>
      </c>
    </row>
    <row r="2764" ht="25.5" customHeight="1">
      <c r="A2764" t="inlineStr">
        <is>
          <t>佛手 佛手柑-超长花期 越大越香 天然香薰 懒人必备 多为绿果</t>
        </is>
      </c>
      <c r="B2764" t="inlineStr">
        <is>
          <t>recveqrflnKf37.jpg</t>
        </is>
      </c>
      <c r="C2764" s="2" t="str">
        <f>=HYPERLINK("https://xhslink.com/m/AqwQuy8GGz6", "https://xhslink.com/m/AqwQuy8GGz6")</f>
        <v>https://xhslink.com/m/AqwQuy8GGz6</v>
      </c>
      <c r="D2764"/>
      <c r="E2764">
        <v>21000</v>
      </c>
      <c r="F2764">
        <v>5</v>
      </c>
      <c r="G2764"/>
      <c r="H2764">
        <v>100</v>
      </c>
      <c r="I2764" t="inlineStr">
        <is>
          <t>绿植</t>
        </is>
      </c>
      <c r="J2764" t="inlineStr">
        <is>
          <t>0.00</t>
        </is>
      </c>
      <c r="K2764" t="inlineStr">
        <is>
          <t>🔥低粉爆款</t>
        </is>
      </c>
      <c r="L2764" t="inlineStr">
        <is>
          <t>云梦花语的店</t>
        </is>
      </c>
      <c r="M2764">
        <v>3194</v>
      </c>
      <c r="N2764">
        <v>4.46</v>
      </c>
      <c r="O2764">
        <v>31000</v>
      </c>
      <c r="P2764" t="inlineStr">
        <is>
          <t>692ec5f747579d00018b3ab1</t>
        </is>
      </c>
      <c r="Q2764" t="inlineStr">
        <is>
          <t>🚫重复</t>
        </is>
      </c>
      <c r="R2764" t="inlineStr">
        <is>
          <t>14周</t>
        </is>
      </c>
      <c r="S2764" t="inlineStr">
        <is>
          <t>6.57</t>
        </is>
      </c>
      <c r="T2764" t="inlineStr">
        <is>
          <t>家居生活</t>
        </is>
      </c>
      <c r="U2764" t="inlineStr">
        <is>
          <t>家居日用</t>
        </is>
      </c>
      <c r="V2764" s="3">
        <v>46112.78107638889</v>
      </c>
      <c r="W2764" t="inlineStr">
        <is>
          <t>2026-Q1</t>
        </is>
      </c>
    </row>
    <row r="2765" ht="25.5" customHeight="1">
      <c r="A2765" t="inlineStr">
        <is>
          <t>香雪兰云南直发基地新鲜采摘新鲜好闻</t>
        </is>
      </c>
      <c r="B2765" t="inlineStr">
        <is>
          <t>recveqrflntXXt.jpg</t>
        </is>
      </c>
      <c r="C2765" s="2" t="str">
        <f>=HYPERLINK("https://xhslink.com/m/AycDqV27pl9", "https://xhslink.com/m/AycDqV27pl9")</f>
        <v>https://xhslink.com/m/AycDqV27pl9</v>
      </c>
      <c r="D2765"/>
      <c r="E2765">
        <v>8766</v>
      </c>
      <c r="F2765">
        <v>39.8</v>
      </c>
      <c r="G2765">
        <v>35</v>
      </c>
      <c r="H2765">
        <v>100</v>
      </c>
      <c r="I2765" t="inlineStr">
        <is>
          <t>绿植</t>
        </is>
      </c>
      <c r="J2765" t="inlineStr">
        <is>
          <t>0.01</t>
        </is>
      </c>
      <c r="K2765"/>
      <c r="L2765" t="inlineStr">
        <is>
          <t>云南花庭鲜花店的店</t>
        </is>
      </c>
      <c r="M2765">
        <v>71000</v>
      </c>
      <c r="N2765">
        <v>4.61</v>
      </c>
      <c r="O2765">
        <v>180000</v>
      </c>
      <c r="P2765" t="inlineStr">
        <is>
          <t>69a1168700e7430001be87ba</t>
        </is>
      </c>
      <c r="Q2765" t="inlineStr">
        <is>
          <t>🚫重复</t>
        </is>
      </c>
      <c r="R2765" t="inlineStr">
        <is>
          <t>14周</t>
        </is>
      </c>
      <c r="S2765" t="inlineStr">
        <is>
          <t>0.12</t>
        </is>
      </c>
      <c r="T2765" t="inlineStr">
        <is>
          <t>家居生活</t>
        </is>
      </c>
      <c r="U2765" t="inlineStr">
        <is>
          <t>家具家装</t>
        </is>
      </c>
      <c r="V2765" s="3">
        <v>46112.78107638889</v>
      </c>
      <c r="W2765" t="inlineStr">
        <is>
          <t>2026-Q1</t>
        </is>
      </c>
    </row>
    <row r="2766" ht="25.5" customHeight="1">
      <c r="A2766" t="inlineStr">
        <is>
          <t>【玛格丽特150盆】盆栽庭院耐寒阳台花卉盆栽</t>
        </is>
      </c>
      <c r="B2766" t="inlineStr">
        <is>
          <t>recveqrfln9ZKB.jpg</t>
        </is>
      </c>
      <c r="C2766" s="2" t="str">
        <f>=HYPERLINK("https://xhslink.com/m/2pbby5uNk10", "https://xhslink.com/m/2pbby5uNk10")</f>
        <v>https://xhslink.com/m/2pbby5uNk10</v>
      </c>
      <c r="D2766"/>
      <c r="E2766">
        <v>8018</v>
      </c>
      <c r="F2766">
        <v>9.99</v>
      </c>
      <c r="G2766"/>
      <c r="H2766">
        <v>100</v>
      </c>
      <c r="I2766" t="inlineStr">
        <is>
          <t>绿植</t>
        </is>
      </c>
      <c r="J2766" t="inlineStr">
        <is>
          <t>0.01</t>
        </is>
      </c>
      <c r="K2766"/>
      <c r="L2766" t="inlineStr">
        <is>
          <t>南植 FLOWERS的店</t>
        </is>
      </c>
      <c r="M2766">
        <v>17000</v>
      </c>
      <c r="N2766">
        <v>4.39</v>
      </c>
      <c r="O2766">
        <v>58000</v>
      </c>
      <c r="P2766" t="inlineStr">
        <is>
          <t>697067233db79c0001ea38d4</t>
        </is>
      </c>
      <c r="Q2766" t="inlineStr">
        <is>
          <t>🚫重复</t>
        </is>
      </c>
      <c r="R2766" t="inlineStr">
        <is>
          <t>14周</t>
        </is>
      </c>
      <c r="S2766" t="inlineStr">
        <is>
          <t>0.47</t>
        </is>
      </c>
      <c r="T2766" t="inlineStr">
        <is>
          <t>家居生活</t>
        </is>
      </c>
      <c r="U2766" t="inlineStr">
        <is>
          <t>家具家装</t>
        </is>
      </c>
      <c r="V2766" s="3">
        <v>46112.78107638889</v>
      </c>
      <c r="W2766" t="inlineStr">
        <is>
          <t>2026-Q1</t>
        </is>
      </c>
    </row>
    <row r="2767" ht="25.5" customHeight="1">
      <c r="A2767" t="inlineStr">
        <is>
          <t>六倍利花卉盆栽（非常容易爆花，耐寒，多年生草本花卉）花园植物</t>
        </is>
      </c>
      <c r="B2767" t="inlineStr">
        <is>
          <t>recveqrflnVJXO.jpg</t>
        </is>
      </c>
      <c r="C2767" s="2" t="str">
        <f>=HYPERLINK("https://xhslink.com/m/LDRDcR1vWl", "https://xhslink.com/m/LDRDcR1vWl")</f>
        <v>https://xhslink.com/m/LDRDcR1vWl</v>
      </c>
      <c r="D2767"/>
      <c r="E2767">
        <v>1714</v>
      </c>
      <c r="F2767">
        <v>11.99</v>
      </c>
      <c r="G2767"/>
      <c r="H2767">
        <v>100</v>
      </c>
      <c r="I2767" t="inlineStr">
        <is>
          <t>绿植</t>
        </is>
      </c>
      <c r="J2767" t="inlineStr">
        <is>
          <t>0.06</t>
        </is>
      </c>
      <c r="K2767"/>
      <c r="L2767" t="inlineStr">
        <is>
          <t>南植 FLOWERS的店</t>
        </is>
      </c>
      <c r="M2767">
        <v>17000</v>
      </c>
      <c r="N2767">
        <v>4.39</v>
      </c>
      <c r="O2767">
        <v>58000</v>
      </c>
      <c r="P2767" t="inlineStr">
        <is>
          <t>68707175aa1e7b00154b294d</t>
        </is>
      </c>
      <c r="Q2767" t="inlineStr">
        <is>
          <t>🚫重复</t>
        </is>
      </c>
      <c r="R2767" t="inlineStr">
        <is>
          <t>14周</t>
        </is>
      </c>
      <c r="S2767" t="inlineStr">
        <is>
          <t>0.10</t>
        </is>
      </c>
      <c r="T2767" t="inlineStr">
        <is>
          <t>家居生活</t>
        </is>
      </c>
      <c r="U2767" t="inlineStr">
        <is>
          <t>家具家装</t>
        </is>
      </c>
      <c r="V2767" s="3">
        <v>46112.78107638889</v>
      </c>
      <c r="W2767" t="inlineStr">
        <is>
          <t>2026-Q1</t>
        </is>
      </c>
    </row>
    <row r="2768" ht="25.5" customHeight="1">
      <c r="A2768" t="inlineStr">
        <is>
          <t>【玛格丽特150盆】盆栽庭院耐寒阳台花卉盆栽</t>
        </is>
      </c>
      <c r="B2768" t="inlineStr">
        <is>
          <t>recveqrflnbqGU.jpg</t>
        </is>
      </c>
      <c r="C2768" s="2" t="str">
        <f>=HYPERLINK("https://xhslink.com/m/6qdLsU9wNER", "https://xhslink.com/m/6qdLsU9wNER")</f>
        <v>https://xhslink.com/m/6qdLsU9wNER</v>
      </c>
      <c r="D2768"/>
      <c r="E2768">
        <v>7882</v>
      </c>
      <c r="F2768">
        <v>9.99</v>
      </c>
      <c r="G2768"/>
      <c r="H2768">
        <v>100</v>
      </c>
      <c r="I2768" t="inlineStr">
        <is>
          <t>绿植</t>
        </is>
      </c>
      <c r="J2768" t="inlineStr">
        <is>
          <t>0.01</t>
        </is>
      </c>
      <c r="K2768"/>
      <c r="L2768" t="inlineStr">
        <is>
          <t>南植 FLOWERS的店</t>
        </is>
      </c>
      <c r="M2768">
        <v>17000</v>
      </c>
      <c r="N2768">
        <v>4.39</v>
      </c>
      <c r="O2768">
        <v>58000</v>
      </c>
      <c r="P2768" t="inlineStr">
        <is>
          <t>69a64c39b85bfd0001fb2b97</t>
        </is>
      </c>
      <c r="Q2768" t="inlineStr">
        <is>
          <t>🚫重复</t>
        </is>
      </c>
      <c r="R2768" t="inlineStr">
        <is>
          <t>14周</t>
        </is>
      </c>
      <c r="S2768" t="inlineStr">
        <is>
          <t>0.46</t>
        </is>
      </c>
      <c r="T2768" t="inlineStr">
        <is>
          <t>家居生活</t>
        </is>
      </c>
      <c r="U2768" t="inlineStr">
        <is>
          <t>家具家装</t>
        </is>
      </c>
      <c r="V2768" s="3">
        <v>46112.78107638889</v>
      </c>
      <c r="W2768" t="inlineStr">
        <is>
          <t>2026-Q1</t>
        </is>
      </c>
    </row>
    <row r="2769" ht="25.5" customHeight="1">
      <c r="A2769" t="inlineStr">
        <is>
          <t>插画海报小夜灯卧室客厅沙发角落书桌氛围感2025新款今年流行灯</t>
        </is>
      </c>
      <c r="B2769" t="inlineStr">
        <is>
          <t>recveqrflnMIlO.jpg</t>
        </is>
      </c>
      <c r="C2769" s="2" t="str">
        <f>=HYPERLINK("https://xhslink.com/m/4Hcc8KVBEaZ", "https://xhslink.com/m/4Hcc8KVBEaZ")</f>
        <v>https://xhslink.com/m/4Hcc8KVBEaZ</v>
      </c>
      <c r="D2769"/>
      <c r="E2769">
        <v>3010</v>
      </c>
      <c r="F2769">
        <v>45.9</v>
      </c>
      <c r="G2769">
        <v>39.01</v>
      </c>
      <c r="H2769">
        <v>100</v>
      </c>
      <c r="I2769" t="inlineStr">
        <is>
          <t>摆件</t>
        </is>
      </c>
      <c r="J2769" t="inlineStr">
        <is>
          <t>0.03</t>
        </is>
      </c>
      <c r="K2769"/>
      <c r="L2769" t="inlineStr">
        <is>
          <t>原画in room的店</t>
        </is>
      </c>
      <c r="M2769">
        <v>1410</v>
      </c>
      <c r="N2769">
        <v>4.68</v>
      </c>
      <c r="O2769">
        <v>3180</v>
      </c>
      <c r="P2769" t="inlineStr">
        <is>
          <t>68a48d38dc73de000142f897</t>
        </is>
      </c>
      <c r="Q2769" t="inlineStr">
        <is>
          <t>🚫重复</t>
        </is>
      </c>
      <c r="R2769" t="inlineStr">
        <is>
          <t>14周</t>
        </is>
      </c>
      <c r="S2769" t="inlineStr">
        <is>
          <t>2.13</t>
        </is>
      </c>
      <c r="T2769" t="inlineStr">
        <is>
          <t>家居生活</t>
        </is>
      </c>
      <c r="U2769" t="inlineStr">
        <is>
          <t>家具家装</t>
        </is>
      </c>
      <c r="V2769" s="3">
        <v>46112.78107638889</v>
      </c>
      <c r="W2769" t="inlineStr">
        <is>
          <t>2026-Q1</t>
        </is>
      </c>
    </row>
    <row r="2770" ht="25.5" customHeight="1">
      <c r="A2770" t="inlineStr">
        <is>
          <t>【现货】佛小伴—mini如愿合什小佛</t>
        </is>
      </c>
      <c r="B2770" t="inlineStr">
        <is>
          <t>recveqrflnt6rE.jpg</t>
        </is>
      </c>
      <c r="C2770" s="2" t="str">
        <f>=HYPERLINK("https://xhslink.com/m/2q8sQJHKq1X", "https://xhslink.com/m/2q8sQJHKq1X")</f>
        <v>https://xhslink.com/m/2q8sQJHKq1X</v>
      </c>
      <c r="D2770"/>
      <c r="E2770">
        <v>11000</v>
      </c>
      <c r="F2770">
        <v>69.8</v>
      </c>
      <c r="G2770">
        <v>64.8</v>
      </c>
      <c r="H2770">
        <v>100</v>
      </c>
      <c r="I2770" t="inlineStr">
        <is>
          <t>摆件</t>
        </is>
      </c>
      <c r="J2770" t="inlineStr">
        <is>
          <t>0.01</t>
        </is>
      </c>
      <c r="K2770"/>
      <c r="L2770" t="inlineStr">
        <is>
          <t>佛小伴IP系列的店</t>
        </is>
      </c>
      <c r="M2770">
        <v>155000</v>
      </c>
      <c r="N2770">
        <v>4.63</v>
      </c>
      <c r="O2770">
        <v>425000</v>
      </c>
      <c r="P2770" t="inlineStr">
        <is>
          <t>673e942bc696d90001a4fe3d</t>
        </is>
      </c>
      <c r="Q2770"/>
      <c r="R2770" t="inlineStr">
        <is>
          <t>14周</t>
        </is>
      </c>
      <c r="S2770" t="inlineStr">
        <is>
          <t>0.07</t>
        </is>
      </c>
      <c r="T2770" t="inlineStr">
        <is>
          <t>家居生活</t>
        </is>
      </c>
      <c r="U2770" t="inlineStr">
        <is>
          <t>家具家装</t>
        </is>
      </c>
      <c r="V2770" s="3">
        <v>46112.78107638889</v>
      </c>
      <c r="W2770" t="inlineStr">
        <is>
          <t>2026-Q1</t>
        </is>
      </c>
    </row>
    <row r="2771" ht="25.5" customHeight="1">
      <c r="A2771" t="inlineStr">
        <is>
          <t>瑜伽垫女男士TPE室内运动锻炼防滑垫加大瑜伽垫家用防滑减震隔音</t>
        </is>
      </c>
      <c r="B2771" t="inlineStr">
        <is>
          <t>recveqrflnqth2.jpg</t>
        </is>
      </c>
      <c r="C2771" s="2" t="str">
        <f>=HYPERLINK("https://xhslink.com/m/1zc82ObHHpx", "https://xhslink.com/m/1zc82ObHHpx")</f>
        <v>https://xhslink.com/m/1zc82ObHHpx</v>
      </c>
      <c r="D2771"/>
      <c r="E2771">
        <v>37000</v>
      </c>
      <c r="F2771">
        <v>33.8</v>
      </c>
      <c r="G2771">
        <v>23.8</v>
      </c>
      <c r="H2771">
        <v>100</v>
      </c>
      <c r="I2771" t="inlineStr">
        <is>
          <t>瑜伽健身</t>
        </is>
      </c>
      <c r="J2771" t="inlineStr">
        <is>
          <t>0.00</t>
        </is>
      </c>
      <c r="K2771" t="inlineStr">
        <is>
          <t>🔥低粉爆款</t>
        </is>
      </c>
      <c r="L2771" t="inlineStr">
        <is>
          <t>TPE瑜伽垫运动工厂的店</t>
        </is>
      </c>
      <c r="M2771">
        <v>740</v>
      </c>
      <c r="N2771">
        <v>4.48</v>
      </c>
      <c r="O2771">
        <v>50000</v>
      </c>
      <c r="P2771" t="inlineStr">
        <is>
          <t>67d4e2c88599cb00016d0a57</t>
        </is>
      </c>
      <c r="Q2771"/>
      <c r="R2771" t="inlineStr">
        <is>
          <t>14周</t>
        </is>
      </c>
      <c r="S2771" t="inlineStr">
        <is>
          <t>50.00</t>
        </is>
      </c>
      <c r="T2771" t="inlineStr">
        <is>
          <t>运动潮玩</t>
        </is>
      </c>
      <c r="U2771" t="inlineStr">
        <is>
          <t>运动户外装备</t>
        </is>
      </c>
      <c r="V2771" s="3">
        <v>46112.78107638889</v>
      </c>
      <c r="W2771" t="inlineStr">
        <is>
          <t>2026-Q1</t>
        </is>
      </c>
    </row>
    <row r="2772" ht="25.5" customHeight="1">
      <c r="A2772" t="inlineStr">
        <is>
          <t>itshe · 【买手热推款】新款普拉提袜五指袜子专业防滑女士跳操瑜伽袜春夏</t>
        </is>
      </c>
      <c r="B2772" t="inlineStr">
        <is>
          <t>recveqrflnIipH.jpg</t>
        </is>
      </c>
      <c r="C2772" s="2" t="str">
        <f>=HYPERLINK("https://xhslink.com/m/2HczRnVopjZ", "https://xhslink.com/m/2HczRnVopjZ")</f>
        <v>https://xhslink.com/m/2HczRnVopjZ</v>
      </c>
      <c r="D2772"/>
      <c r="E2772">
        <v>7707</v>
      </c>
      <c r="F2772">
        <v>89.9</v>
      </c>
      <c r="G2772">
        <v>79.11</v>
      </c>
      <c r="H2772">
        <v>100</v>
      </c>
      <c r="I2772" t="inlineStr">
        <is>
          <t>瑜伽健身</t>
        </is>
      </c>
      <c r="J2772" t="inlineStr">
        <is>
          <t>0.01</t>
        </is>
      </c>
      <c r="K2772" t="inlineStr">
        <is>
          <t>🔥低粉爆款</t>
        </is>
      </c>
      <c r="L2772" t="inlineStr">
        <is>
          <t>itshe旗舰店</t>
        </is>
      </c>
      <c r="M2772">
        <v>2532</v>
      </c>
      <c r="N2772">
        <v>4.69</v>
      </c>
      <c r="O2772">
        <v>35000</v>
      </c>
      <c r="P2772" t="inlineStr">
        <is>
          <t>67aafca443e42a0001c8dfac</t>
        </is>
      </c>
      <c r="Q2772" t="inlineStr">
        <is>
          <t>🚫重复</t>
        </is>
      </c>
      <c r="R2772" t="inlineStr">
        <is>
          <t>14周</t>
        </is>
      </c>
      <c r="S2772" t="inlineStr">
        <is>
          <t>3.04</t>
        </is>
      </c>
      <c r="T2772" t="inlineStr">
        <is>
          <t>运动潮玩</t>
        </is>
      </c>
      <c r="U2772" t="inlineStr">
        <is>
          <t>运动户外装备</t>
        </is>
      </c>
      <c r="V2772" s="3">
        <v>46112.78107638889</v>
      </c>
      <c r="W2772" t="inlineStr">
        <is>
          <t>2026-Q1</t>
        </is>
      </c>
    </row>
    <row r="2773" ht="25.5" customHeight="1">
      <c r="A2773" t="inlineStr">
        <is>
          <t>宽松直筒运动裤垂感显瘦高腰跑步训练夏季透气瑜伽裤薄健身长裤68</t>
        </is>
      </c>
      <c r="B2773" t="inlineStr">
        <is>
          <t>recveqrflnngcG.jpg</t>
        </is>
      </c>
      <c r="C2773" s="2" t="str">
        <f>=HYPERLINK("https://xhslink.com/m/8BPrxZgEcMT", "https://xhslink.com/m/8BPrxZgEcMT")</f>
        <v>https://xhslink.com/m/8BPrxZgEcMT</v>
      </c>
      <c r="D2773"/>
      <c r="E2773">
        <v>1121</v>
      </c>
      <c r="F2773">
        <v>79.99</v>
      </c>
      <c r="G2773">
        <v>59.99</v>
      </c>
      <c r="H2773">
        <v>100</v>
      </c>
      <c r="I2773" t="inlineStr">
        <is>
          <t>瑜伽健身</t>
        </is>
      </c>
      <c r="J2773" t="inlineStr">
        <is>
          <t>0.09</t>
        </is>
      </c>
      <c r="K2773"/>
      <c r="L2773" t="inlineStr">
        <is>
          <t>超靓健身穿搭的店</t>
        </is>
      </c>
      <c r="M2773">
        <v>625</v>
      </c>
      <c r="N2773">
        <v>4.59</v>
      </c>
      <c r="O2773">
        <v>22000</v>
      </c>
      <c r="P2773" t="inlineStr">
        <is>
          <t>68dfb6e8b94f260015ab6316</t>
        </is>
      </c>
      <c r="Q2773"/>
      <c r="R2773" t="inlineStr">
        <is>
          <t>14周</t>
        </is>
      </c>
      <c r="S2773" t="inlineStr">
        <is>
          <t>1.79</t>
        </is>
      </c>
      <c r="T2773" t="inlineStr">
        <is>
          <t>运动潮玩</t>
        </is>
      </c>
      <c r="U2773" t="inlineStr">
        <is>
          <t>运动户外装备</t>
        </is>
      </c>
      <c r="V2773" s="3">
        <v>46112.78107638889</v>
      </c>
      <c r="W2773" t="inlineStr">
        <is>
          <t>2026-Q1</t>
        </is>
      </c>
    </row>
    <row r="2774" ht="25.5" customHeight="1">
      <c r="A2774" t="inlineStr">
        <is>
          <t>俊小白 · 羟基磷灰石密集修护牙膏修护牙釉质牙周护理-</t>
        </is>
      </c>
      <c r="B2774" t="inlineStr">
        <is>
          <t>recveqrflnaoNE.jpg</t>
        </is>
      </c>
      <c r="C2774" s="2" t="str">
        <f>=HYPERLINK("https://xhslink.com/m/AM4esubLw5E", "https://xhslink.com/m/AM4esubLw5E")</f>
        <v>https://xhslink.com/m/AM4esubLw5E</v>
      </c>
      <c r="D2774"/>
      <c r="E2774">
        <v>76000</v>
      </c>
      <c r="F2774">
        <v>39.9</v>
      </c>
      <c r="G2774"/>
      <c r="H2774">
        <v>100</v>
      </c>
      <c r="I2774" t="inlineStr">
        <is>
          <t>美护</t>
        </is>
      </c>
      <c r="J2774" t="inlineStr">
        <is>
          <t>0.00</t>
        </is>
      </c>
      <c r="K2774" t="inlineStr">
        <is>
          <t>🔥低粉爆款</t>
        </is>
      </c>
      <c r="L2774" t="inlineStr">
        <is>
          <t>俊小白个护旗舰店</t>
        </is>
      </c>
      <c r="M2774">
        <v>2505</v>
      </c>
      <c r="N2774">
        <v>4.67</v>
      </c>
      <c r="O2774">
        <v>91000</v>
      </c>
      <c r="P2774" t="inlineStr">
        <is>
          <t>6911c157f73ffe000185f742</t>
        </is>
      </c>
      <c r="Q2774"/>
      <c r="R2774" t="inlineStr">
        <is>
          <t>14周</t>
        </is>
      </c>
      <c r="S2774" t="inlineStr">
        <is>
          <t>30.34</t>
        </is>
      </c>
      <c r="T2774" t="inlineStr">
        <is>
          <t>美妆个护</t>
        </is>
      </c>
      <c r="U2774" t="inlineStr">
        <is>
          <t>个人护理</t>
        </is>
      </c>
      <c r="V2774" s="3">
        <v>46112.78107638889</v>
      </c>
      <c r="W2774" t="inlineStr">
        <is>
          <t>2026-Q1</t>
        </is>
      </c>
    </row>
    <row r="2775" ht="25.5" customHeight="1">
      <c r="A2775" t="inlineStr">
        <is>
          <t>小满家·侧柏叶洗发皂养发护发清爽控油蓬松氨基酸纯手工</t>
        </is>
      </c>
      <c r="B2775" t="inlineStr">
        <is>
          <t>recveqrflnPhQT.jpg</t>
        </is>
      </c>
      <c r="C2775" s="2" t="str">
        <f>=HYPERLINK("https://xhslink.com/m/1xU4UXDaNAD", "https://xhslink.com/m/1xU4UXDaNAD")</f>
        <v>https://xhslink.com/m/1xU4UXDaNAD</v>
      </c>
      <c r="D2775"/>
      <c r="E2775">
        <v>28000</v>
      </c>
      <c r="F2775">
        <v>28</v>
      </c>
      <c r="G2775"/>
      <c r="H2775">
        <v>100</v>
      </c>
      <c r="I2775" t="inlineStr">
        <is>
          <t>美护</t>
        </is>
      </c>
      <c r="J2775" t="inlineStr">
        <is>
          <t>0.00</t>
        </is>
      </c>
      <c r="K2775" t="inlineStr">
        <is>
          <t>🔥低粉爆款</t>
        </is>
      </c>
      <c r="L2775" t="inlineStr">
        <is>
          <t>小满家手工皂的店</t>
        </is>
      </c>
      <c r="M2775">
        <v>8621</v>
      </c>
      <c r="N2775">
        <v>4.57</v>
      </c>
      <c r="O2775">
        <v>31000</v>
      </c>
      <c r="P2775" t="inlineStr">
        <is>
          <t>67d0f8ae52503c0001658009</t>
        </is>
      </c>
      <c r="Q2775"/>
      <c r="R2775" t="inlineStr">
        <is>
          <t>14周</t>
        </is>
      </c>
      <c r="S2775" t="inlineStr">
        <is>
          <t>3.25</t>
        </is>
      </c>
      <c r="T2775" t="inlineStr">
        <is>
          <t>美妆个护</t>
        </is>
      </c>
      <c r="U2775" t="inlineStr">
        <is>
          <t>个人护理</t>
        </is>
      </c>
      <c r="V2775" s="3">
        <v>46112.78107638889</v>
      </c>
      <c r="W2775" t="inlineStr">
        <is>
          <t>2026-Q1</t>
        </is>
      </c>
    </row>
    <row r="2776" ht="25.5" customHeight="1">
      <c r="A2776" t="inlineStr">
        <is>
          <t>爱心项链jaden款复古颈链锁骨链</t>
        </is>
      </c>
      <c r="B2776" t="inlineStr">
        <is>
          <t>recveqrflnovu5.jpg</t>
        </is>
      </c>
      <c r="C2776" s="2" t="str">
        <f>=HYPERLINK("https://xhslink.com/m/805GnC6BN0z", "https://xhslink.com/m/805GnC6BN0z")</f>
        <v>https://xhslink.com/m/805GnC6BN0z</v>
      </c>
      <c r="D2776"/>
      <c r="E2776">
        <v>5498</v>
      </c>
      <c r="F2776">
        <v>24.9</v>
      </c>
      <c r="G2776">
        <v>21.9</v>
      </c>
      <c r="H2776">
        <v>100</v>
      </c>
      <c r="I2776" t="inlineStr">
        <is>
          <t>饰品</t>
        </is>
      </c>
      <c r="J2776" t="inlineStr">
        <is>
          <t>0.02</t>
        </is>
      </c>
      <c r="K2776"/>
      <c r="L2776" t="inlineStr">
        <is>
          <t>刷牙会长高的店</t>
        </is>
      </c>
      <c r="M2776">
        <v>11000</v>
      </c>
      <c r="N2776">
        <v>4.61</v>
      </c>
      <c r="O2776">
        <v>65000</v>
      </c>
      <c r="P2776" t="inlineStr">
        <is>
          <t>68789d8a4f80eb0001861a92</t>
        </is>
      </c>
      <c r="Q2776"/>
      <c r="R2776" t="inlineStr">
        <is>
          <t>14周</t>
        </is>
      </c>
      <c r="S2776" t="inlineStr">
        <is>
          <t>0.50</t>
        </is>
      </c>
      <c r="T2776" t="inlineStr">
        <is>
          <t>服饰穿搭</t>
        </is>
      </c>
      <c r="U2776" t="inlineStr">
        <is>
          <t>配饰</t>
        </is>
      </c>
      <c r="V2776" s="3">
        <v>46112.78107638889</v>
      </c>
      <c r="W2776" t="inlineStr">
        <is>
          <t>2026-Q1</t>
        </is>
      </c>
    </row>
    <row r="2777" ht="25.5" customHeight="1">
      <c r="A2777" t="inlineStr">
        <is>
          <t>缪斯女神·满钻锆石高级感手链</t>
        </is>
      </c>
      <c r="B2777" t="inlineStr">
        <is>
          <t>recveqrflnsHo4.jpg</t>
        </is>
      </c>
      <c r="C2777" s="2" t="str">
        <f>=HYPERLINK("https://xhslink.com/m/18alp8RQ6u4", "https://xhslink.com/m/18alp8RQ6u4")</f>
        <v>https://xhslink.com/m/18alp8RQ6u4</v>
      </c>
      <c r="D2777"/>
      <c r="E2777">
        <v>726</v>
      </c>
      <c r="F2777">
        <v>49</v>
      </c>
      <c r="G2777">
        <v>39</v>
      </c>
      <c r="H2777">
        <v>100</v>
      </c>
      <c r="I2777" t="inlineStr">
        <is>
          <t>饰品</t>
        </is>
      </c>
      <c r="J2777" t="inlineStr">
        <is>
          <t>0.14</t>
        </is>
      </c>
      <c r="K2777"/>
      <c r="L2777" t="inlineStr">
        <is>
          <t>The Girl's Diary的店</t>
        </is>
      </c>
      <c r="M2777">
        <v>1204</v>
      </c>
      <c r="N2777">
        <v>4.6</v>
      </c>
      <c r="O2777">
        <v>1715</v>
      </c>
      <c r="P2777" t="inlineStr">
        <is>
          <t>69a6c8570635fd0001d245fd</t>
        </is>
      </c>
      <c r="Q2777" t="inlineStr">
        <is>
          <t>🚫重复</t>
        </is>
      </c>
      <c r="R2777" t="inlineStr">
        <is>
          <t>14周</t>
        </is>
      </c>
      <c r="S2777" t="inlineStr">
        <is>
          <t>0.60</t>
        </is>
      </c>
      <c r="T2777" t="inlineStr">
        <is>
          <t>服饰穿搭</t>
        </is>
      </c>
      <c r="U2777" t="inlineStr">
        <is>
          <t>配饰</t>
        </is>
      </c>
      <c r="V2777" s="3">
        <v>46112.78107638889</v>
      </c>
      <c r="W2777" t="inlineStr">
        <is>
          <t>2026-Q1</t>
        </is>
      </c>
    </row>
    <row r="2778" ht="25.5" customHeight="1">
      <c r="A2778" t="inlineStr">
        <is>
          <t>倾曼雅 · 美式运动裤女秋冬新款中腰休闲宽松阔腿卫裤直筒显瘦休闲裤</t>
        </is>
      </c>
      <c r="B2778" t="inlineStr">
        <is>
          <t>recveqrflnZ0yL.jpg</t>
        </is>
      </c>
      <c r="C2778" s="2" t="str">
        <f>=HYPERLINK("https://xhslink.com/m/2IF6swOxJKy", "https://xhslink.com/m/2IF6swOxJKy")</f>
        <v>https://xhslink.com/m/2IF6swOxJKy</v>
      </c>
      <c r="D2778"/>
      <c r="E2778">
        <v>176000</v>
      </c>
      <c r="F2778">
        <v>79.9</v>
      </c>
      <c r="G2778"/>
      <c r="H2778">
        <v>100</v>
      </c>
      <c r="I2778" t="inlineStr">
        <is>
          <t>休闲裤</t>
        </is>
      </c>
      <c r="J2778" t="inlineStr">
        <is>
          <t>0.00</t>
        </is>
      </c>
      <c r="K2778"/>
      <c r="L2778" t="inlineStr">
        <is>
          <t>小鹅学姐穿搭的店的店</t>
        </is>
      </c>
      <c r="M2778">
        <v>229000</v>
      </c>
      <c r="N2778">
        <v>4.39</v>
      </c>
      <c r="O2778">
        <v>1482000</v>
      </c>
      <c r="P2778" t="inlineStr">
        <is>
          <t>652b656325e9bc00010d945d</t>
        </is>
      </c>
      <c r="Q2778" t="inlineStr">
        <is>
          <t>🚫重复</t>
        </is>
      </c>
      <c r="R2778" t="inlineStr">
        <is>
          <t>14周</t>
        </is>
      </c>
      <c r="S2778" t="inlineStr">
        <is>
          <t>0.77</t>
        </is>
      </c>
      <c r="T2778" t="inlineStr">
        <is>
          <t>服饰穿搭</t>
        </is>
      </c>
      <c r="U2778" t="inlineStr">
        <is>
          <t>女装</t>
        </is>
      </c>
      <c r="V2778" s="3">
        <v>46112.78107638889</v>
      </c>
      <c r="W2778" t="inlineStr">
        <is>
          <t>2026-Q1</t>
        </is>
      </c>
    </row>
    <row r="2779" ht="25.5" customHeight="1">
      <c r="A2779" t="inlineStr">
        <is>
          <t>ASUKILE · 真哥联名款【初识】简约九分西装裤薄款梨型身材萝卜休闲裤女</t>
        </is>
      </c>
      <c r="B2779" t="inlineStr">
        <is>
          <t>recveqrflnqNE2.jpg</t>
        </is>
      </c>
      <c r="C2779" s="2" t="str">
        <f>=HYPERLINK("https://xhslink.com/m/LKZrvny7lu", "https://xhslink.com/m/LKZrvny7lu")</f>
        <v>https://xhslink.com/m/LKZrvny7lu</v>
      </c>
      <c r="D2779"/>
      <c r="E2779">
        <v>6753</v>
      </c>
      <c r="F2779">
        <v>499</v>
      </c>
      <c r="G2779"/>
      <c r="H2779">
        <v>100</v>
      </c>
      <c r="I2779" t="inlineStr">
        <is>
          <t>休闲裤</t>
        </is>
      </c>
      <c r="J2779" t="inlineStr">
        <is>
          <t>0.01</t>
        </is>
      </c>
      <c r="K2779"/>
      <c r="L2779" t="inlineStr">
        <is>
          <t>ASUKILE女装旗舰店</t>
        </is>
      </c>
      <c r="M2779">
        <v>4604</v>
      </c>
      <c r="N2779">
        <v>4.49</v>
      </c>
      <c r="O2779">
        <v>88000</v>
      </c>
      <c r="P2779" t="inlineStr">
        <is>
          <t>663c9b90615e61000170fb1d</t>
        </is>
      </c>
      <c r="Q2779"/>
      <c r="R2779" t="inlineStr">
        <is>
          <t>14周</t>
        </is>
      </c>
      <c r="S2779" t="inlineStr">
        <is>
          <t>1.47</t>
        </is>
      </c>
      <c r="T2779" t="inlineStr">
        <is>
          <t>服饰穿搭</t>
        </is>
      </c>
      <c r="U2779" t="inlineStr">
        <is>
          <t>女装</t>
        </is>
      </c>
      <c r="V2779" s="3">
        <v>46112.78107638889</v>
      </c>
      <c r="W2779" t="inlineStr">
        <is>
          <t>2026-Q1</t>
        </is>
      </c>
    </row>
    <row r="2780" ht="25.5" customHeight="1">
      <c r="A2780" t="inlineStr">
        <is>
          <t>withtong低腰复古天丝直筒亚麻裤～松紧腰</t>
        </is>
      </c>
      <c r="B2780" t="inlineStr">
        <is>
          <t>recveqrfln0cKw.jpg</t>
        </is>
      </c>
      <c r="C2780" s="2" t="str">
        <f>=HYPERLINK("https://xhslink.com/m/6ca9puzlgf7", "https://xhslink.com/m/6ca9puzlgf7")</f>
        <v>https://xhslink.com/m/6ca9puzlgf7</v>
      </c>
      <c r="D2780"/>
      <c r="E2780">
        <v>17000</v>
      </c>
      <c r="F2780">
        <v>149</v>
      </c>
      <c r="G2780">
        <v>109</v>
      </c>
      <c r="H2780">
        <v>100</v>
      </c>
      <c r="I2780" t="inlineStr">
        <is>
          <t>阔腿裤</t>
        </is>
      </c>
      <c r="J2780" t="inlineStr">
        <is>
          <t>0.01</t>
        </is>
      </c>
      <c r="K2780"/>
      <c r="L2780" t="inlineStr">
        <is>
          <t>withtong_的店</t>
        </is>
      </c>
      <c r="M2780">
        <v>18000</v>
      </c>
      <c r="N2780">
        <v>4.53</v>
      </c>
      <c r="O2780">
        <v>110000</v>
      </c>
      <c r="P2780" t="inlineStr">
        <is>
          <t>67f36a56b2c30c0001a5a6b2</t>
        </is>
      </c>
      <c r="Q2780" t="inlineStr">
        <is>
          <t>🚫重复</t>
        </is>
      </c>
      <c r="R2780" t="inlineStr">
        <is>
          <t>14周</t>
        </is>
      </c>
      <c r="S2780" t="inlineStr">
        <is>
          <t>0.94</t>
        </is>
      </c>
      <c r="T2780" t="inlineStr">
        <is>
          <t>服饰穿搭</t>
        </is>
      </c>
      <c r="U2780" t="inlineStr">
        <is>
          <t>女装</t>
        </is>
      </c>
      <c r="V2780" s="3">
        <v>46112.78107638889</v>
      </c>
      <c r="W2780" t="inlineStr">
        <is>
          <t>2026-Q1</t>
        </is>
      </c>
    </row>
    <row r="2781" ht="25.5" customHeight="1">
      <c r="A2781" t="inlineStr">
        <is>
          <t>绝绝子！春季高腰遮胯遮肉宽松九分直筒牛仔裤小个子显瘦神裤</t>
        </is>
      </c>
      <c r="B2781" t="inlineStr">
        <is>
          <t>recveqrflnN9eH.jpg</t>
        </is>
      </c>
      <c r="C2781" s="2" t="str">
        <f>=HYPERLINK("https://xhslink.com/m/6JdCBJsiBN7", "https://xhslink.com/m/6JdCBJsiBN7")</f>
        <v>https://xhslink.com/m/6JdCBJsiBN7</v>
      </c>
      <c r="D2781"/>
      <c r="E2781">
        <v>6745</v>
      </c>
      <c r="F2781">
        <v>229</v>
      </c>
      <c r="G2781">
        <v>209</v>
      </c>
      <c r="H2781">
        <v>100</v>
      </c>
      <c r="I2781" t="inlineStr">
        <is>
          <t>阔腿裤</t>
        </is>
      </c>
      <c r="J2781" t="inlineStr">
        <is>
          <t>0.01</t>
        </is>
      </c>
      <c r="K2781"/>
      <c r="L2781" t="inlineStr">
        <is>
          <t>G.Gun女裤的店</t>
        </is>
      </c>
      <c r="M2781">
        <v>16000</v>
      </c>
      <c r="N2781">
        <v>4.61</v>
      </c>
      <c r="O2781">
        <v>63000</v>
      </c>
      <c r="P2781" t="inlineStr">
        <is>
          <t>677b880e77d41e00012d0551</t>
        </is>
      </c>
      <c r="Q2781" t="inlineStr">
        <is>
          <t>🚫重复</t>
        </is>
      </c>
      <c r="R2781" t="inlineStr">
        <is>
          <t>14周</t>
        </is>
      </c>
      <c r="S2781" t="inlineStr">
        <is>
          <t>0.42</t>
        </is>
      </c>
      <c r="T2781" t="inlineStr">
        <is>
          <t>服饰穿搭</t>
        </is>
      </c>
      <c r="U2781" t="inlineStr">
        <is>
          <t>女装</t>
        </is>
      </c>
      <c r="V2781" s="3">
        <v>46112.78107638889</v>
      </c>
      <c r="W2781" t="inlineStr">
        <is>
          <t>2026-Q1</t>
        </is>
      </c>
    </row>
    <row r="2782" ht="25.5" customHeight="1">
      <c r="A2782" t="inlineStr">
        <is>
          <t>星之诺 2026春季新款立体天丝小直筒裤运动休闲牛仔裤3606</t>
        </is>
      </c>
      <c r="B2782" t="inlineStr">
        <is>
          <t>recveqrflnAFxt.jpg</t>
        </is>
      </c>
      <c r="C2782" s="2" t="str">
        <f>=HYPERLINK("https://xhslink.com/m/7kGO3Dz0YLK", "https://xhslink.com/m/7kGO3Dz0YLK")</f>
        <v>https://xhslink.com/m/7kGO3Dz0YLK</v>
      </c>
      <c r="D2782"/>
      <c r="E2782">
        <v>2142</v>
      </c>
      <c r="F2782">
        <v>169.9</v>
      </c>
      <c r="G2782"/>
      <c r="H2782">
        <v>100</v>
      </c>
      <c r="I2782" t="inlineStr">
        <is>
          <t>阔腿裤</t>
        </is>
      </c>
      <c r="J2782" t="inlineStr">
        <is>
          <t>0.05</t>
        </is>
      </c>
      <c r="K2782" t="inlineStr">
        <is>
          <t>🔥低粉爆款</t>
        </is>
      </c>
      <c r="L2782" t="inlineStr">
        <is>
          <t>星之诺卫衣工厂8号的店</t>
        </is>
      </c>
      <c r="M2782">
        <v>238</v>
      </c>
      <c r="N2782">
        <v>4.75</v>
      </c>
      <c r="O2782">
        <v>73000</v>
      </c>
      <c r="P2782" t="inlineStr">
        <is>
          <t>699dd1499b2f2f0015585028</t>
        </is>
      </c>
      <c r="Q2782" t="inlineStr">
        <is>
          <t>🚫重复</t>
        </is>
      </c>
      <c r="R2782" t="inlineStr">
        <is>
          <t>14周</t>
        </is>
      </c>
      <c r="S2782" t="inlineStr">
        <is>
          <t>9.00</t>
        </is>
      </c>
      <c r="T2782" t="inlineStr">
        <is>
          <t>服饰穿搭</t>
        </is>
      </c>
      <c r="U2782" t="inlineStr">
        <is>
          <t>女装</t>
        </is>
      </c>
      <c r="V2782" s="3">
        <v>46112.78107638889</v>
      </c>
      <c r="W2782" t="inlineStr">
        <is>
          <t>2026-Q1</t>
        </is>
      </c>
    </row>
    <row r="2783" ht="25.5" customHeight="1">
      <c r="A2783" t="inlineStr">
        <is>
          <t>【高蛋白】生巧坚果燕麦脆黑巧克力燕麦饼干轻食代餐健康零食</t>
        </is>
      </c>
      <c r="B2783" t="inlineStr">
        <is>
          <t>recveqrflnL7kq.jpg</t>
        </is>
      </c>
      <c r="C2783" s="2" t="str">
        <f>=HYPERLINK("https://xhslink.com/m/ANt279wHZMn", "https://xhslink.com/m/ANt279wHZMn")</f>
        <v>https://xhslink.com/m/ANt279wHZMn</v>
      </c>
      <c r="D2783"/>
      <c r="E2783">
        <v>29000</v>
      </c>
      <c r="F2783">
        <v>36.9</v>
      </c>
      <c r="G2783">
        <v>16.8</v>
      </c>
      <c r="H2783">
        <v>100</v>
      </c>
      <c r="I2783" t="inlineStr">
        <is>
          <t>零食</t>
        </is>
      </c>
      <c r="J2783" t="inlineStr">
        <is>
          <t>0.00</t>
        </is>
      </c>
      <c r="K2783" t="inlineStr">
        <is>
          <t>🔥低粉爆款</t>
        </is>
      </c>
      <c r="L2783" t="inlineStr">
        <is>
          <t>小新饿胖了的店</t>
        </is>
      </c>
      <c r="M2783">
        <v>206</v>
      </c>
      <c r="N2783">
        <v>4.48</v>
      </c>
      <c r="O2783">
        <v>33000</v>
      </c>
      <c r="P2783" t="inlineStr">
        <is>
          <t>68f5f3f604ab1900016dc343</t>
        </is>
      </c>
      <c r="Q2783" t="inlineStr">
        <is>
          <t>🚫重复</t>
        </is>
      </c>
      <c r="R2783" t="inlineStr">
        <is>
          <t>14周</t>
        </is>
      </c>
      <c r="S2783" t="inlineStr">
        <is>
          <t>140.78</t>
        </is>
      </c>
      <c r="T2783" t="inlineStr">
        <is>
          <t>美食滋补</t>
        </is>
      </c>
      <c r="U2783" t="inlineStr">
        <is>
          <t>休闲零食</t>
        </is>
      </c>
      <c r="V2783" s="3">
        <v>46112.78107638889</v>
      </c>
      <c r="W2783" t="inlineStr">
        <is>
          <t>2026-Q1</t>
        </is>
      </c>
    </row>
    <row r="2784" ht="25.5" customHeight="1">
      <c r="A2784" t="inlineStr">
        <is>
          <t>知食大爆炸 · 花生味鸡蛋卷酥网红下午茶追剧茶点好吃的办公室宿舍女生充饥零食</t>
        </is>
      </c>
      <c r="B2784" t="inlineStr">
        <is>
          <t>recveqrflnXi0p.jpg</t>
        </is>
      </c>
      <c r="C2784" s="2" t="str">
        <f>=HYPERLINK("https://xhslink.com/m/6jCC9sAmNGq", "https://xhslink.com/m/6jCC9sAmNGq")</f>
        <v>https://xhslink.com/m/6jCC9sAmNGq</v>
      </c>
      <c r="D2784"/>
      <c r="E2784">
        <v>34000</v>
      </c>
      <c r="F2784">
        <v>49.9</v>
      </c>
      <c r="G2784">
        <v>43.91</v>
      </c>
      <c r="H2784">
        <v>100</v>
      </c>
      <c r="I2784" t="inlineStr">
        <is>
          <t>零食</t>
        </is>
      </c>
      <c r="J2784" t="inlineStr">
        <is>
          <t>0.00</t>
        </is>
      </c>
      <c r="K2784"/>
      <c r="L2784" t="inlineStr">
        <is>
          <t>知食大爆炸旗舰店</t>
        </is>
      </c>
      <c r="M2784">
        <v>29000</v>
      </c>
      <c r="N2784">
        <v>4.54</v>
      </c>
      <c r="O2784">
        <v>340000</v>
      </c>
      <c r="P2784" t="inlineStr">
        <is>
          <t>65f3f11baed51c00018aecc7</t>
        </is>
      </c>
      <c r="Q2784"/>
      <c r="R2784" t="inlineStr">
        <is>
          <t>14周</t>
        </is>
      </c>
      <c r="S2784" t="inlineStr">
        <is>
          <t>1.17</t>
        </is>
      </c>
      <c r="T2784" t="inlineStr">
        <is>
          <t>美食滋补</t>
        </is>
      </c>
      <c r="U2784" t="inlineStr">
        <is>
          <t>休闲零食</t>
        </is>
      </c>
      <c r="V2784" s="3">
        <v>46112.78107638889</v>
      </c>
      <c r="W2784" t="inlineStr">
        <is>
          <t>2026-Q1</t>
        </is>
      </c>
    </row>
    <row r="2785" ht="25.5" customHeight="1">
      <c r="A2785" t="inlineStr">
        <is>
          <t>直筒运动卫裤女春季2026新款高腰宽松女装窄版阔腿裤显瘦休闲裤子</t>
        </is>
      </c>
      <c r="B2785" t="inlineStr">
        <is>
          <t>recveqrflnJqey.jpg</t>
        </is>
      </c>
      <c r="C2785" s="2" t="str">
        <f>=HYPERLINK("https://xhslink.com/m/9mYOrO41psT", "https://xhslink.com/m/9mYOrO41psT")</f>
        <v>https://xhslink.com/m/9mYOrO41psT</v>
      </c>
      <c r="D2785"/>
      <c r="E2785">
        <v>86000</v>
      </c>
      <c r="F2785">
        <v>114.2</v>
      </c>
      <c r="G2785">
        <v>79.9</v>
      </c>
      <c r="H2785">
        <v>100</v>
      </c>
      <c r="I2785" t="inlineStr">
        <is>
          <t>直筒裤</t>
        </is>
      </c>
      <c r="J2785" t="inlineStr">
        <is>
          <t>0.00</t>
        </is>
      </c>
      <c r="K2785"/>
      <c r="L2785" t="inlineStr">
        <is>
          <t>小薯崽的店</t>
        </is>
      </c>
      <c r="M2785">
        <v>43000</v>
      </c>
      <c r="N2785">
        <v>4.6</v>
      </c>
      <c r="O2785">
        <v>338000</v>
      </c>
      <c r="P2785" t="inlineStr">
        <is>
          <t>66d04a8e87b9bc00011ae4ae</t>
        </is>
      </c>
      <c r="Q2785" t="inlineStr">
        <is>
          <t>🚫重复</t>
        </is>
      </c>
      <c r="R2785" t="inlineStr">
        <is>
          <t>14周</t>
        </is>
      </c>
      <c r="S2785" t="inlineStr">
        <is>
          <t>2.00</t>
        </is>
      </c>
      <c r="T2785" t="inlineStr">
        <is>
          <t>服饰穿搭</t>
        </is>
      </c>
      <c r="U2785" t="inlineStr">
        <is>
          <t>女装</t>
        </is>
      </c>
      <c r="V2785" s="3">
        <v>46112.78107638889</v>
      </c>
      <c r="W2785" t="inlineStr">
        <is>
          <t>2026-Q1</t>
        </is>
      </c>
    </row>
    <row r="2786" ht="25.5" customHeight="1">
      <c r="A2786" t="inlineStr">
        <is>
          <t>简约风小众高腰显瘦弹力裤小个子微喇女时尚宽松直筒拖地喇叭裤子</t>
        </is>
      </c>
      <c r="B2786" t="inlineStr">
        <is>
          <t>recveqrfln8M12.jpg</t>
        </is>
      </c>
      <c r="C2786" s="2" t="str">
        <f>=HYPERLINK("https://xhslink.com/m/6uy4oDzBk4X", "https://xhslink.com/m/6uy4oDzBk4X")</f>
        <v>https://xhslink.com/m/6uy4oDzBk4X</v>
      </c>
      <c r="D2786"/>
      <c r="E2786">
        <v>20000</v>
      </c>
      <c r="F2786">
        <v>129.99</v>
      </c>
      <c r="G2786">
        <v>109.99</v>
      </c>
      <c r="H2786">
        <v>100</v>
      </c>
      <c r="I2786" t="inlineStr">
        <is>
          <t>直筒裤</t>
        </is>
      </c>
      <c r="J2786" t="inlineStr">
        <is>
          <t>0.01</t>
        </is>
      </c>
      <c r="K2786" t="inlineStr">
        <is>
          <t>🔥低粉爆款</t>
        </is>
      </c>
      <c r="L2786" t="inlineStr">
        <is>
          <t>余一一服饰的店</t>
        </is>
      </c>
      <c r="M2786">
        <v>5709</v>
      </c>
      <c r="N2786">
        <v>4.52</v>
      </c>
      <c r="O2786">
        <v>67000</v>
      </c>
      <c r="P2786" t="inlineStr">
        <is>
          <t>677404706dd9a600159aa5d4</t>
        </is>
      </c>
      <c r="Q2786" t="inlineStr">
        <is>
          <t>🚫重复</t>
        </is>
      </c>
      <c r="R2786" t="inlineStr">
        <is>
          <t>14周</t>
        </is>
      </c>
      <c r="S2786" t="inlineStr">
        <is>
          <t>3.50</t>
        </is>
      </c>
      <c r="T2786" t="inlineStr">
        <is>
          <t>服饰穿搭</t>
        </is>
      </c>
      <c r="U2786" t="inlineStr">
        <is>
          <t>女装</t>
        </is>
      </c>
      <c r="V2786" s="3">
        <v>46112.78107638889</v>
      </c>
      <c r="W2786" t="inlineStr">
        <is>
          <t>2026-Q1</t>
        </is>
      </c>
    </row>
    <row r="2787" ht="25.5" customHeight="1">
      <c r="A2787" t="inlineStr">
        <is>
          <t>「版型牛牛窄版直筒裤」春夏薄款显瘦遮胯四面弹牛仔裤梨形522#</t>
        </is>
      </c>
      <c r="B2787" t="inlineStr">
        <is>
          <t>recveqrflnz2PM.jpg</t>
        </is>
      </c>
      <c r="C2787" s="2" t="str">
        <f>=HYPERLINK("https://xhslink.com/m/5PL3zCQSK3u", "https://xhslink.com/m/5PL3zCQSK3u")</f>
        <v>https://xhslink.com/m/5PL3zCQSK3u</v>
      </c>
      <c r="D2787"/>
      <c r="E2787">
        <v>24000</v>
      </c>
      <c r="F2787">
        <v>219</v>
      </c>
      <c r="G2787"/>
      <c r="H2787">
        <v>100</v>
      </c>
      <c r="I2787" t="inlineStr">
        <is>
          <t>直筒裤</t>
        </is>
      </c>
      <c r="J2787" t="inlineStr">
        <is>
          <t>0.00</t>
        </is>
      </c>
      <c r="K2787"/>
      <c r="L2787" t="inlineStr">
        <is>
          <t>卖大衣的阿黄黄的店</t>
        </is>
      </c>
      <c r="M2787">
        <v>37000</v>
      </c>
      <c r="N2787">
        <v>4.76</v>
      </c>
      <c r="O2787">
        <v>154000</v>
      </c>
      <c r="P2787" t="inlineStr">
        <is>
          <t>685e7e033a11a8000171f9e5</t>
        </is>
      </c>
      <c r="Q2787" t="inlineStr">
        <is>
          <t>🚫重复</t>
        </is>
      </c>
      <c r="R2787" t="inlineStr">
        <is>
          <t>14周</t>
        </is>
      </c>
      <c r="S2787" t="inlineStr">
        <is>
          <t>0.65</t>
        </is>
      </c>
      <c r="T2787" t="inlineStr">
        <is>
          <t>服饰穿搭</t>
        </is>
      </c>
      <c r="U2787" t="inlineStr">
        <is>
          <t>女装</t>
        </is>
      </c>
      <c r="V2787" s="3">
        <v>46112.78107638889</v>
      </c>
      <c r="W2787" t="inlineStr">
        <is>
          <t>2026-Q1</t>
        </is>
      </c>
    </row>
    <row r="2788" ht="25.5" customHeight="1">
      <c r="A2788" t="inlineStr">
        <is>
          <t>【专柜品质】阔腿裤女春夏季高腰宽松显瘦休闲直筒运动裤卫裤</t>
        </is>
      </c>
      <c r="B2788" t="inlineStr">
        <is>
          <t>recveqrfln1vO5.jpg</t>
        </is>
      </c>
      <c r="C2788" s="2" t="str">
        <f>=HYPERLINK("https://xhslink.com/m/6rNFenc84pJ", "https://xhslink.com/m/6rNFenc84pJ")</f>
        <v>https://xhslink.com/m/6rNFenc84pJ</v>
      </c>
      <c r="D2788"/>
      <c r="E2788">
        <v>19000</v>
      </c>
      <c r="F2788">
        <v>99.9</v>
      </c>
      <c r="G2788">
        <v>64.9</v>
      </c>
      <c r="H2788">
        <v>100</v>
      </c>
      <c r="I2788" t="inlineStr">
        <is>
          <t>直筒裤</t>
        </is>
      </c>
      <c r="J2788" t="inlineStr">
        <is>
          <t>0.01</t>
        </is>
      </c>
      <c r="K2788" t="inlineStr">
        <is>
          <t>🔥低粉爆款</t>
        </is>
      </c>
      <c r="L2788" t="inlineStr">
        <is>
          <t>苹果小R的店</t>
        </is>
      </c>
      <c r="M2788">
        <v>921</v>
      </c>
      <c r="N2788">
        <v>4.53</v>
      </c>
      <c r="O2788">
        <v>20000</v>
      </c>
      <c r="P2788" t="inlineStr">
        <is>
          <t>68c3c4c19b776a0015c28eae</t>
        </is>
      </c>
      <c r="Q2788"/>
      <c r="R2788" t="inlineStr">
        <is>
          <t>14周</t>
        </is>
      </c>
      <c r="S2788" t="inlineStr">
        <is>
          <t>20.63</t>
        </is>
      </c>
      <c r="T2788" t="inlineStr">
        <is>
          <t>服饰穿搭</t>
        </is>
      </c>
      <c r="U2788" t="inlineStr">
        <is>
          <t>女装</t>
        </is>
      </c>
      <c r="V2788" s="3">
        <v>46112.78107638889</v>
      </c>
      <c r="W2788" t="inlineStr">
        <is>
          <t>2026-Q1</t>
        </is>
      </c>
    </row>
    <row r="2789" ht="25.5" customHeight="1">
      <c r="A2789" t="inlineStr">
        <is>
          <t>泡泡羊自制· 【天丝亚麻直筒空调裤】微胖可穿会呼吸的低腰裤</t>
        </is>
      </c>
      <c r="B2789" t="inlineStr">
        <is>
          <t>recveqrflndNwI.jpg</t>
        </is>
      </c>
      <c r="C2789" s="2" t="str">
        <f>=HYPERLINK("https://xhslink.com/m/6n2jhwdHE1W", "https://xhslink.com/m/6n2jhwdHE1W")</f>
        <v>https://xhslink.com/m/6n2jhwdHE1W</v>
      </c>
      <c r="D2789"/>
      <c r="E2789">
        <v>14000</v>
      </c>
      <c r="F2789">
        <v>93</v>
      </c>
      <c r="G2789"/>
      <c r="H2789">
        <v>100</v>
      </c>
      <c r="I2789" t="inlineStr">
        <is>
          <t>直筒裤</t>
        </is>
      </c>
      <c r="J2789" t="inlineStr">
        <is>
          <t>0.01</t>
        </is>
      </c>
      <c r="K2789"/>
      <c r="L2789" t="inlineStr">
        <is>
          <t>小羊来个泡泡糖的店</t>
        </is>
      </c>
      <c r="M2789">
        <v>66000</v>
      </c>
      <c r="N2789">
        <v>4.74</v>
      </c>
      <c r="O2789">
        <v>235000</v>
      </c>
      <c r="P2789" t="inlineStr">
        <is>
          <t>68553f477590770001611c64</t>
        </is>
      </c>
      <c r="Q2789" t="inlineStr">
        <is>
          <t>🚫重复</t>
        </is>
      </c>
      <c r="R2789" t="inlineStr">
        <is>
          <t>14周</t>
        </is>
      </c>
      <c r="S2789" t="inlineStr">
        <is>
          <t>0.21</t>
        </is>
      </c>
      <c r="T2789" t="inlineStr">
        <is>
          <t>数码家电</t>
        </is>
      </c>
      <c r="U2789" t="inlineStr">
        <is>
          <t>大家电</t>
        </is>
      </c>
      <c r="V2789" s="3">
        <v>46112.78107638889</v>
      </c>
      <c r="W2789" t="inlineStr">
        <is>
          <t>2026-Q1</t>
        </is>
      </c>
    </row>
    <row r="2790" ht="25.5" customHeight="1">
      <c r="A2790" t="inlineStr">
        <is>
          <t>2026升级版！经典九分直筒牛仔裤</t>
        </is>
      </c>
      <c r="B2790" t="inlineStr">
        <is>
          <t>recveqrflnZw9O.jpg</t>
        </is>
      </c>
      <c r="C2790" s="2" t="str">
        <f>=HYPERLINK("https://xhslink.com/m/5FTtSEBiO0a", "https://xhslink.com/m/5FTtSEBiO0a")</f>
        <v>https://xhslink.com/m/5FTtSEBiO0a</v>
      </c>
      <c r="D2790"/>
      <c r="E2790">
        <v>13000</v>
      </c>
      <c r="F2790">
        <v>388</v>
      </c>
      <c r="G2790"/>
      <c r="H2790">
        <v>100</v>
      </c>
      <c r="I2790" t="inlineStr">
        <is>
          <t>直筒裤</t>
        </is>
      </c>
      <c r="J2790" t="inlineStr">
        <is>
          <t>0.01</t>
        </is>
      </c>
      <c r="K2790"/>
      <c r="L2790" t="inlineStr">
        <is>
          <t>高坂大叔的店</t>
        </is>
      </c>
      <c r="M2790">
        <v>112000</v>
      </c>
      <c r="N2790">
        <v>4.77</v>
      </c>
      <c r="O2790">
        <v>427000</v>
      </c>
      <c r="P2790" t="inlineStr">
        <is>
          <t>6854c3efd67cc200010faa51</t>
        </is>
      </c>
      <c r="Q2790" t="inlineStr">
        <is>
          <t>🚫重复</t>
        </is>
      </c>
      <c r="R2790" t="inlineStr">
        <is>
          <t>14周</t>
        </is>
      </c>
      <c r="S2790" t="inlineStr">
        <is>
          <t>0.12</t>
        </is>
      </c>
      <c r="T2790" t="inlineStr">
        <is>
          <t>服饰穿搭</t>
        </is>
      </c>
      <c r="U2790" t="inlineStr">
        <is>
          <t>女装</t>
        </is>
      </c>
      <c r="V2790" s="3">
        <v>46112.78107638889</v>
      </c>
      <c r="W2790" t="inlineStr">
        <is>
          <t>2026-Q1</t>
        </is>
      </c>
    </row>
    <row r="2791" ht="25.5" customHeight="1">
      <c r="A2791" t="inlineStr">
        <is>
          <t>Rooo【低腰工装】冬季款做旧弯刀时尚伐木裤直筒潮军绿色卡其色</t>
        </is>
      </c>
      <c r="B2791" t="inlineStr">
        <is>
          <t>recveqrflnDOqW.jpg</t>
        </is>
      </c>
      <c r="C2791" s="2" t="str">
        <f>=HYPERLINK("https://xhslink.com/m/1LInZdx1czE", "https://xhslink.com/m/1LInZdx1czE")</f>
        <v>https://xhslink.com/m/1LInZdx1czE</v>
      </c>
      <c r="D2791"/>
      <c r="E2791">
        <v>12000</v>
      </c>
      <c r="F2791">
        <v>139.9</v>
      </c>
      <c r="G2791">
        <v>89.9</v>
      </c>
      <c r="H2791">
        <v>100</v>
      </c>
      <c r="I2791" t="inlineStr">
        <is>
          <t>直筒裤</t>
        </is>
      </c>
      <c r="J2791" t="inlineStr">
        <is>
          <t>0.01</t>
        </is>
      </c>
      <c r="K2791"/>
      <c r="L2791" t="inlineStr">
        <is>
          <t>Rooo studio的店</t>
        </is>
      </c>
      <c r="M2791">
        <v>11000</v>
      </c>
      <c r="N2791">
        <v>4.59</v>
      </c>
      <c r="O2791">
        <v>49000</v>
      </c>
      <c r="P2791" t="inlineStr">
        <is>
          <t>688509d0b1b9df0001c5b032</t>
        </is>
      </c>
      <c r="Q2791"/>
      <c r="R2791" t="inlineStr">
        <is>
          <t>14周</t>
        </is>
      </c>
      <c r="S2791" t="inlineStr">
        <is>
          <t>1.09</t>
        </is>
      </c>
      <c r="T2791" t="inlineStr">
        <is>
          <t>服饰穿搭</t>
        </is>
      </c>
      <c r="U2791" t="inlineStr">
        <is>
          <t>女装</t>
        </is>
      </c>
      <c r="V2791" s="3">
        <v>46112.78107638889</v>
      </c>
      <c r="W2791" t="inlineStr">
        <is>
          <t>2026-Q1</t>
        </is>
      </c>
    </row>
    <row r="2792" ht="25.5" customHeight="1">
      <c r="A2792" t="inlineStr">
        <is>
          <t>条纹冰丝亚麻针织防shai衫女早秋季外搭宽松显瘦套头长袖天丝上衣</t>
        </is>
      </c>
      <c r="B2792" t="inlineStr">
        <is>
          <t>recveqrflnmBiS.jpg</t>
        </is>
      </c>
      <c r="C2792" s="2" t="str">
        <f>=HYPERLINK("https://xhslink.com/m/1YdPheGDKuI", "https://xhslink.com/m/1YdPheGDKuI")</f>
        <v>https://xhslink.com/m/1YdPheGDKuI</v>
      </c>
      <c r="D2792"/>
      <c r="E2792">
        <v>1202</v>
      </c>
      <c r="F2792">
        <v>99</v>
      </c>
      <c r="G2792">
        <v>96</v>
      </c>
      <c r="H2792">
        <v>100</v>
      </c>
      <c r="I2792" t="inlineStr">
        <is>
          <t>针织衫</t>
        </is>
      </c>
      <c r="J2792" t="inlineStr">
        <is>
          <t>0.08</t>
        </is>
      </c>
      <c r="K2792"/>
      <c r="L2792" t="inlineStr">
        <is>
          <t>开始RICH的店</t>
        </is>
      </c>
      <c r="M2792">
        <v>4315</v>
      </c>
      <c r="N2792">
        <v>4.65</v>
      </c>
      <c r="O2792">
        <v>19000</v>
      </c>
      <c r="P2792" t="inlineStr">
        <is>
          <t>6826bf33d9043a0001963f3a</t>
        </is>
      </c>
      <c r="Q2792"/>
      <c r="R2792" t="inlineStr">
        <is>
          <t>14周</t>
        </is>
      </c>
      <c r="S2792" t="inlineStr">
        <is>
          <t>0.28</t>
        </is>
      </c>
      <c r="T2792" t="inlineStr">
        <is>
          <t>服饰穿搭</t>
        </is>
      </c>
      <c r="U2792" t="inlineStr">
        <is>
          <t>女装</t>
        </is>
      </c>
      <c r="V2792" s="3">
        <v>46112.78107638889</v>
      </c>
      <c r="W2792" t="inlineStr">
        <is>
          <t>2026-Q1</t>
        </is>
      </c>
    </row>
    <row r="2793" ht="25.5" customHeight="1">
      <c r="A2793" t="inlineStr">
        <is>
          <t>【半糖】韩系春款麦穗镂空圆领套头针织衫女款长袖气质百搭</t>
        </is>
      </c>
      <c r="B2793" t="inlineStr">
        <is>
          <t>recveqrflnNCod.jpg</t>
        </is>
      </c>
      <c r="C2793" s="2" t="str">
        <f>=HYPERLINK("https://xhslink.com/m/2W1hMctmkEx", "https://xhslink.com/m/2W1hMctmkEx")</f>
        <v>https://xhslink.com/m/2W1hMctmkEx</v>
      </c>
      <c r="D2793"/>
      <c r="E2793">
        <v>433</v>
      </c>
      <c r="F2793">
        <v>79</v>
      </c>
      <c r="G2793"/>
      <c r="H2793">
        <v>100</v>
      </c>
      <c r="I2793" t="inlineStr">
        <is>
          <t>针织衫</t>
        </is>
      </c>
      <c r="J2793" t="inlineStr">
        <is>
          <t>0.23</t>
        </is>
      </c>
      <c r="K2793"/>
      <c r="L2793" t="inlineStr">
        <is>
          <t>爱睡觉的考拉🍅的店</t>
        </is>
      </c>
      <c r="M2793">
        <v>18000</v>
      </c>
      <c r="N2793">
        <v>4.61</v>
      </c>
      <c r="O2793">
        <v>25000</v>
      </c>
      <c r="P2793" t="inlineStr">
        <is>
          <t>69af97dbf1fe0f0015817ba9</t>
        </is>
      </c>
      <c r="Q2793"/>
      <c r="R2793" t="inlineStr">
        <is>
          <t>14周</t>
        </is>
      </c>
      <c r="S2793" t="inlineStr">
        <is>
          <t>0.02</t>
        </is>
      </c>
      <c r="T2793" t="inlineStr">
        <is>
          <t>服饰穿搭</t>
        </is>
      </c>
      <c r="U2793" t="inlineStr">
        <is>
          <t>女装</t>
        </is>
      </c>
      <c r="V2793" s="3">
        <v>46112.78107638889</v>
      </c>
      <c r="W2793" t="inlineStr">
        <is>
          <t>2026-Q1</t>
        </is>
      </c>
    </row>
    <row r="2794" ht="25.5" customHeight="1">
      <c r="A2794" t="inlineStr">
        <is>
          <t>巴西莓紫波士顿迷你包包 低调轻奢感</t>
        </is>
      </c>
      <c r="B2794" t="inlineStr">
        <is>
          <t>recveqrflnHb2f.jpg</t>
        </is>
      </c>
      <c r="C2794" s="2" t="str">
        <f>=HYPERLINK("https://xhslink.com/m/8tNFbPjs0Xd", "https://xhslink.com/m/8tNFbPjs0Xd")</f>
        <v>https://xhslink.com/m/8tNFbPjs0Xd</v>
      </c>
      <c r="D2794"/>
      <c r="E2794">
        <v>27000</v>
      </c>
      <c r="F2794">
        <v>225</v>
      </c>
      <c r="G2794"/>
      <c r="H2794">
        <v>100</v>
      </c>
      <c r="I2794" t="inlineStr">
        <is>
          <t>包包</t>
        </is>
      </c>
      <c r="J2794" t="inlineStr">
        <is>
          <t>0.00</t>
        </is>
      </c>
      <c r="K2794"/>
      <c r="L2794" t="inlineStr">
        <is>
          <t>大宇姓张的店</t>
        </is>
      </c>
      <c r="M2794">
        <v>185000</v>
      </c>
      <c r="N2794">
        <v>4.73</v>
      </c>
      <c r="O2794">
        <v>299000</v>
      </c>
      <c r="P2794" t="inlineStr">
        <is>
          <t>697837a578d8d500015300ac</t>
        </is>
      </c>
      <c r="Q2794" t="inlineStr">
        <is>
          <t>🚫重复</t>
        </is>
      </c>
      <c r="R2794" t="inlineStr">
        <is>
          <t>14周</t>
        </is>
      </c>
      <c r="S2794" t="inlineStr">
        <is>
          <t>0.15</t>
        </is>
      </c>
      <c r="T2794" t="inlineStr">
        <is>
          <t>服饰穿搭</t>
        </is>
      </c>
      <c r="U2794" t="inlineStr">
        <is>
          <t>鞋靴箱包</t>
        </is>
      </c>
      <c r="V2794" s="3">
        <v>46112.78107638889</v>
      </c>
      <c r="W2794" t="inlineStr">
        <is>
          <t>2026-Q1</t>
        </is>
      </c>
    </row>
    <row r="2795" ht="25.5" customHeight="1">
      <c r="A2795" t="inlineStr">
        <is>
          <t>自制原创 极简寂静风亚麻手提大容量托特包 可斜挎or腋下</t>
        </is>
      </c>
      <c r="B2795" t="inlineStr">
        <is>
          <t>recveqrfln8J5f.jpg</t>
        </is>
      </c>
      <c r="C2795" s="2" t="str">
        <f>=HYPERLINK("https://xhslink.com/m/6gy5SKFym4V", "https://xhslink.com/m/6gy5SKFym4V")</f>
        <v>https://xhslink.com/m/6gy5SKFym4V</v>
      </c>
      <c r="D2795"/>
      <c r="E2795">
        <v>19000</v>
      </c>
      <c r="F2795">
        <v>178</v>
      </c>
      <c r="G2795"/>
      <c r="H2795">
        <v>100</v>
      </c>
      <c r="I2795" t="inlineStr">
        <is>
          <t>包包</t>
        </is>
      </c>
      <c r="J2795" t="inlineStr">
        <is>
          <t>0.01</t>
        </is>
      </c>
      <c r="K2795"/>
      <c r="L2795" t="inlineStr">
        <is>
          <t>大宇姓张的店</t>
        </is>
      </c>
      <c r="M2795">
        <v>185000</v>
      </c>
      <c r="N2795">
        <v>4.73</v>
      </c>
      <c r="O2795">
        <v>299000</v>
      </c>
      <c r="P2795" t="inlineStr">
        <is>
          <t>6665c3fb2fbb540001382994</t>
        </is>
      </c>
      <c r="Q2795" t="inlineStr">
        <is>
          <t>🚫重复</t>
        </is>
      </c>
      <c r="R2795" t="inlineStr">
        <is>
          <t>14周</t>
        </is>
      </c>
      <c r="S2795" t="inlineStr">
        <is>
          <t>0.10</t>
        </is>
      </c>
      <c r="T2795" t="inlineStr">
        <is>
          <t>服饰穿搭</t>
        </is>
      </c>
      <c r="U2795" t="inlineStr">
        <is>
          <t>鞋靴箱包</t>
        </is>
      </c>
      <c r="V2795" s="3">
        <v>46112.78107638889</v>
      </c>
      <c r="W2795" t="inlineStr">
        <is>
          <t>2026-Q1</t>
        </is>
      </c>
    </row>
    <row r="2796" ht="25.5" customHeight="1">
      <c r="A2796" t="inlineStr">
        <is>
          <t>韩系碎花包包女大容量单肩帆布包女学生简约百搭手提袋通勤托特包</t>
        </is>
      </c>
      <c r="B2796" t="inlineStr">
        <is>
          <t>recveqrflnjz1m.jpg</t>
        </is>
      </c>
      <c r="C2796" s="2" t="str">
        <f>=HYPERLINK("https://xhslink.com/m/9xHxYSHmX8g", "https://xhslink.com/m/9xHxYSHmX8g")</f>
        <v>https://xhslink.com/m/9xHxYSHmX8g</v>
      </c>
      <c r="D2796"/>
      <c r="E2796">
        <v>7618</v>
      </c>
      <c r="F2796">
        <v>41.9</v>
      </c>
      <c r="G2796">
        <v>21.9</v>
      </c>
      <c r="H2796">
        <v>100</v>
      </c>
      <c r="I2796" t="inlineStr">
        <is>
          <t>包包</t>
        </is>
      </c>
      <c r="J2796" t="inlineStr">
        <is>
          <t>0.01</t>
        </is>
      </c>
      <c r="K2796" t="inlineStr">
        <is>
          <t>🔥低粉爆款</t>
        </is>
      </c>
      <c r="L2796" t="inlineStr">
        <is>
          <t>缤纷包界的店</t>
        </is>
      </c>
      <c r="M2796">
        <v>899</v>
      </c>
      <c r="N2796">
        <v>4.51</v>
      </c>
      <c r="O2796">
        <v>21000</v>
      </c>
      <c r="P2796" t="inlineStr">
        <is>
          <t>688dab0aebefca0001a56dff</t>
        </is>
      </c>
      <c r="Q2796"/>
      <c r="R2796" t="inlineStr">
        <is>
          <t>14周</t>
        </is>
      </c>
      <c r="S2796" t="inlineStr">
        <is>
          <t>8.47</t>
        </is>
      </c>
      <c r="T2796" t="inlineStr">
        <is>
          <t>服饰穿搭</t>
        </is>
      </c>
      <c r="U2796" t="inlineStr">
        <is>
          <t>鞋靴箱包</t>
        </is>
      </c>
      <c r="V2796" s="3">
        <v>46112.78107638889</v>
      </c>
      <c r="W2796" t="inlineStr">
        <is>
          <t>2026-Q1</t>
        </is>
      </c>
    </row>
    <row r="2797" ht="25.5" customHeight="1">
      <c r="A2797" t="inlineStr">
        <is>
          <t>weekendgetaway 简约时尚帆布包 白 橙 咖</t>
        </is>
      </c>
      <c r="B2797" t="inlineStr">
        <is>
          <t>recveqrflnnzn9.jpg</t>
        </is>
      </c>
      <c r="C2797" s="2" t="str">
        <f>=HYPERLINK("https://xhslink.com/m/6AiDJeeD3mG", "https://xhslink.com/m/6AiDJeeD3mG")</f>
        <v>https://xhslink.com/m/6AiDJeeD3mG</v>
      </c>
      <c r="D2797"/>
      <c r="E2797">
        <v>6693</v>
      </c>
      <c r="F2797">
        <v>36.3</v>
      </c>
      <c r="G2797"/>
      <c r="H2797">
        <v>100</v>
      </c>
      <c r="I2797" t="inlineStr">
        <is>
          <t>包包</t>
        </is>
      </c>
      <c r="J2797" t="inlineStr">
        <is>
          <t>0.01</t>
        </is>
      </c>
      <c r="K2797"/>
      <c r="L2797" t="inlineStr">
        <is>
          <t>三千服饰STUDIO的店</t>
        </is>
      </c>
      <c r="M2797">
        <v>17000</v>
      </c>
      <c r="N2797">
        <v>4.57</v>
      </c>
      <c r="O2797">
        <v>53000</v>
      </c>
      <c r="P2797" t="inlineStr">
        <is>
          <t>6809a3e164ab5f0001130893</t>
        </is>
      </c>
      <c r="Q2797" t="inlineStr">
        <is>
          <t>🚫重复</t>
        </is>
      </c>
      <c r="R2797" t="inlineStr">
        <is>
          <t>14周</t>
        </is>
      </c>
      <c r="S2797" t="inlineStr">
        <is>
          <t>0.39</t>
        </is>
      </c>
      <c r="T2797" t="inlineStr">
        <is>
          <t>服饰穿搭</t>
        </is>
      </c>
      <c r="U2797" t="inlineStr">
        <is>
          <t>鞋靴箱包</t>
        </is>
      </c>
      <c r="V2797" s="3">
        <v>46112.78107638889</v>
      </c>
      <c r="W2797" t="inlineStr">
        <is>
          <t>2026-Q1</t>
        </is>
      </c>
    </row>
    <row r="2798" ht="25.5" customHeight="1">
      <c r="A2798" t="inlineStr">
        <is>
          <t>YUMU 自制大容量尼龙降落伞托特腋下包包女 多隔层通勤单肩手提包</t>
        </is>
      </c>
      <c r="B2798" t="inlineStr">
        <is>
          <t>recveqrflnbpEs.jpg</t>
        </is>
      </c>
      <c r="C2798" s="2" t="str">
        <f>=HYPERLINK("https://xhslink.com/m/9vxR5cMc1YI", "https://xhslink.com/m/9vxR5cMc1YI")</f>
        <v>https://xhslink.com/m/9vxR5cMc1YI</v>
      </c>
      <c r="D2798"/>
      <c r="E2798">
        <v>1182</v>
      </c>
      <c r="F2798">
        <v>215</v>
      </c>
      <c r="G2798">
        <v>185</v>
      </c>
      <c r="H2798">
        <v>100</v>
      </c>
      <c r="I2798" t="inlineStr">
        <is>
          <t>包包</t>
        </is>
      </c>
      <c r="J2798" t="inlineStr">
        <is>
          <t>0.08</t>
        </is>
      </c>
      <c r="K2798"/>
      <c r="L2798" t="inlineStr">
        <is>
          <t>YUMU与沐的店</t>
        </is>
      </c>
      <c r="M2798">
        <v>36000</v>
      </c>
      <c r="N2798">
        <v>4.62</v>
      </c>
      <c r="O2798">
        <v>36000</v>
      </c>
      <c r="P2798" t="inlineStr">
        <is>
          <t>688f98c5e019f200018ae556</t>
        </is>
      </c>
      <c r="Q2798" t="inlineStr">
        <is>
          <t>🚫重复</t>
        </is>
      </c>
      <c r="R2798" t="inlineStr">
        <is>
          <t>14周</t>
        </is>
      </c>
      <c r="S2798" t="inlineStr">
        <is>
          <t>0.03</t>
        </is>
      </c>
      <c r="T2798" t="inlineStr">
        <is>
          <t>服饰穿搭</t>
        </is>
      </c>
      <c r="U2798" t="inlineStr">
        <is>
          <t>鞋靴箱包</t>
        </is>
      </c>
      <c r="V2798" s="3">
        <v>46112.78107638889</v>
      </c>
      <c r="W2798" t="inlineStr">
        <is>
          <t>2026-Q1</t>
        </is>
      </c>
    </row>
    <row r="2799" ht="25.5" customHeight="1">
      <c r="A2799" t="inlineStr">
        <is>
          <t>Re拾梦  手工鞋芭蕾鞋超软真皮单鞋平底鞋</t>
        </is>
      </c>
      <c r="B2799" t="inlineStr">
        <is>
          <t>recveqrflnLiLq.jpg</t>
        </is>
      </c>
      <c r="C2799" s="2" t="str">
        <f>=HYPERLINK("https://xhslink.com/m/6TInsAimPmD", "https://xhslink.com/m/6TInsAimPmD")</f>
        <v>https://xhslink.com/m/6TInsAimPmD</v>
      </c>
      <c r="D2799"/>
      <c r="E2799">
        <v>8400</v>
      </c>
      <c r="F2799">
        <v>1580</v>
      </c>
      <c r="G2799"/>
      <c r="H2799">
        <v>100</v>
      </c>
      <c r="I2799" t="inlineStr">
        <is>
          <t>女鞋推荐</t>
        </is>
      </c>
      <c r="J2799" t="inlineStr">
        <is>
          <t>0.01</t>
        </is>
      </c>
      <c r="K2799"/>
      <c r="L2799" t="inlineStr">
        <is>
          <t>Re拾梦的店</t>
        </is>
      </c>
      <c r="M2799">
        <v>5178</v>
      </c>
      <c r="N2799">
        <v>4.36</v>
      </c>
      <c r="O2799">
        <v>8821</v>
      </c>
      <c r="P2799" t="inlineStr">
        <is>
          <t>69018f403f37a900012ad657</t>
        </is>
      </c>
      <c r="Q2799" t="inlineStr">
        <is>
          <t>🚫重复</t>
        </is>
      </c>
      <c r="R2799" t="inlineStr">
        <is>
          <t>14周</t>
        </is>
      </c>
      <c r="S2799" t="inlineStr">
        <is>
          <t>1.62</t>
        </is>
      </c>
      <c r="T2799" t="inlineStr">
        <is>
          <t>服饰穿搭</t>
        </is>
      </c>
      <c r="U2799" t="inlineStr">
        <is>
          <t>鞋靴箱包</t>
        </is>
      </c>
      <c r="V2799" s="3">
        <v>46112.78107638889</v>
      </c>
      <c r="W2799" t="inlineStr">
        <is>
          <t>2026-Q1</t>
        </is>
      </c>
    </row>
    <row r="2800" ht="25.5" customHeight="1">
      <c r="A2800" t="inlineStr">
        <is>
          <t>泡泡玛特 · THE MONSTERS .前方高能系列-搪胶毛绒挂件盲盒</t>
        </is>
      </c>
      <c r="B2800" t="inlineStr">
        <is>
          <t>recveqrflnT81V.jpg</t>
        </is>
      </c>
      <c r="C2800" s="2" t="str">
        <f>=HYPERLINK("https://xhslink.com/m/78gT94kP268", "https://xhslink.com/m/78gT94kP268")</f>
        <v>https://xhslink.com/m/78gT94kP268</v>
      </c>
      <c r="D2800"/>
      <c r="E2800">
        <v>84000</v>
      </c>
      <c r="F2800">
        <v>99</v>
      </c>
      <c r="G2800"/>
      <c r="H2800">
        <v>100</v>
      </c>
      <c r="I2800" t="inlineStr">
        <is>
          <t>挂件</t>
        </is>
      </c>
      <c r="J2800" t="inlineStr">
        <is>
          <t>0.00</t>
        </is>
      </c>
      <c r="K2800"/>
      <c r="L2800" t="inlineStr">
        <is>
          <t>POP MART 泡泡玛特旗舰店</t>
        </is>
      </c>
      <c r="M2800">
        <v>1484000</v>
      </c>
      <c r="N2800">
        <v>4.54</v>
      </c>
      <c r="O2800">
        <v>2957000</v>
      </c>
      <c r="P2800" t="inlineStr">
        <is>
          <t>68d212123d237900012eb290</t>
        </is>
      </c>
      <c r="Q2800" t="inlineStr">
        <is>
          <t>🚫重复</t>
        </is>
      </c>
      <c r="R2800" t="inlineStr">
        <is>
          <t>14周</t>
        </is>
      </c>
      <c r="S2800" t="inlineStr">
        <is>
          <t>0.06</t>
        </is>
      </c>
      <c r="T2800" t="inlineStr">
        <is>
          <t>运动潮玩</t>
        </is>
      </c>
      <c r="U2800" t="inlineStr">
        <is>
          <t>潮玩手办</t>
        </is>
      </c>
      <c r="V2800" s="3">
        <v>46112.78107638889</v>
      </c>
      <c r="W2800" t="inlineStr">
        <is>
          <t>2026-Q1</t>
        </is>
      </c>
    </row>
    <row r="2801" ht="25.5" customHeight="1">
      <c r="A2801" t="inlineStr">
        <is>
          <t>潮汐邮局原创｜亚文化小众穿孔蝴蝶兰百合挂件包挂</t>
        </is>
      </c>
      <c r="B2801" t="inlineStr">
        <is>
          <t>recveqrflnjFVl.jpg</t>
        </is>
      </c>
      <c r="C2801" s="2" t="str">
        <f>=HYPERLINK("https://xhslink.com/m/2S1AVF0uAWj", "https://xhslink.com/m/2S1AVF0uAWj")</f>
        <v>https://xhslink.com/m/2S1AVF0uAWj</v>
      </c>
      <c r="D2801"/>
      <c r="E2801">
        <v>7954</v>
      </c>
      <c r="F2801">
        <v>39.9</v>
      </c>
      <c r="G2801"/>
      <c r="H2801">
        <v>100</v>
      </c>
      <c r="I2801" t="inlineStr">
        <is>
          <t>挂件</t>
        </is>
      </c>
      <c r="J2801" t="inlineStr">
        <is>
          <t>0.01</t>
        </is>
      </c>
      <c r="K2801"/>
      <c r="L2801" t="inlineStr">
        <is>
          <t>潮汐邮局（清单中）的店</t>
        </is>
      </c>
      <c r="M2801">
        <v>10000</v>
      </c>
      <c r="N2801">
        <v>4.35</v>
      </c>
      <c r="O2801">
        <v>15000</v>
      </c>
      <c r="P2801" t="inlineStr">
        <is>
          <t>68729a6a1cfd980001ed5a55</t>
        </is>
      </c>
      <c r="Q2801" t="inlineStr">
        <is>
          <t>🚫重复</t>
        </is>
      </c>
      <c r="R2801" t="inlineStr">
        <is>
          <t>14周</t>
        </is>
      </c>
      <c r="S2801" t="inlineStr">
        <is>
          <t>0.80</t>
        </is>
      </c>
      <c r="T2801" t="inlineStr">
        <is>
          <t>服饰穿搭</t>
        </is>
      </c>
      <c r="U2801" t="inlineStr">
        <is>
          <t>配饰</t>
        </is>
      </c>
      <c r="V2801" s="3">
        <v>46112.78107638889</v>
      </c>
      <c r="W2801" t="inlineStr">
        <is>
          <t>2026-Q1</t>
        </is>
      </c>
    </row>
    <row r="2802" ht="25.5" customHeight="1">
      <c r="A2802" t="inlineStr">
        <is>
          <t>三丽鸥 · 合集【正版授权】kitty可爱包包挂件正版带防伪码</t>
        </is>
      </c>
      <c r="B2802" t="inlineStr">
        <is>
          <t>recveqrflnL5bT.jpg</t>
        </is>
      </c>
      <c r="C2802" s="2" t="str">
        <f>=HYPERLINK("https://xhslink.com/m/8b6Q4DkuK2I", "https://xhslink.com/m/8b6Q4DkuK2I")</f>
        <v>https://xhslink.com/m/8b6Q4DkuK2I</v>
      </c>
      <c r="D2802"/>
      <c r="E2802">
        <v>4682</v>
      </c>
      <c r="F2802">
        <v>39.9</v>
      </c>
      <c r="G2802"/>
      <c r="H2802">
        <v>100</v>
      </c>
      <c r="I2802" t="inlineStr">
        <is>
          <t>挂件</t>
        </is>
      </c>
      <c r="J2802" t="inlineStr">
        <is>
          <t>0.02</t>
        </is>
      </c>
      <c r="K2802"/>
      <c r="L2802" t="inlineStr">
        <is>
          <t>咖啡味的夹子的店</t>
        </is>
      </c>
      <c r="M2802">
        <v>24000</v>
      </c>
      <c r="N2802">
        <v>4.57</v>
      </c>
      <c r="O2802">
        <v>37000</v>
      </c>
      <c r="P2802" t="inlineStr">
        <is>
          <t>69080f7784cf42000170acbe</t>
        </is>
      </c>
      <c r="Q2802" t="inlineStr">
        <is>
          <t>🚫重复</t>
        </is>
      </c>
      <c r="R2802" t="inlineStr">
        <is>
          <t>14周</t>
        </is>
      </c>
      <c r="S2802" t="inlineStr">
        <is>
          <t>0.20</t>
        </is>
      </c>
      <c r="T2802" t="inlineStr">
        <is>
          <t>服饰穿搭</t>
        </is>
      </c>
      <c r="U2802" t="inlineStr">
        <is>
          <t>鞋靴箱包</t>
        </is>
      </c>
      <c r="V2802" s="3">
        <v>46112.78107638889</v>
      </c>
      <c r="W2802" t="inlineStr">
        <is>
          <t>2026-Q1</t>
        </is>
      </c>
    </row>
    <row r="2803" ht="25.5" customHeight="1">
      <c r="A2803" t="inlineStr">
        <is>
          <t>So natural For Your Skin · 韩国人气榜 fixx定妆喷雾超快成膜持久防水控油不脱妆 保湿妆前乳</t>
        </is>
      </c>
      <c r="B2803" t="inlineStr">
        <is>
          <t>recveyWLnUVpBN.jpg</t>
        </is>
      </c>
      <c r="C2803" s="2" t="str">
        <f>=HYPERLINK("https://xhslink.com/m/2yyK5EOuQ3", "https://xhslink.com/m/2yyK5EOuQ3")</f>
        <v>https://xhslink.com/m/2yyK5EOuQ3</v>
      </c>
      <c r="D2803"/>
      <c r="E2803">
        <v>22000</v>
      </c>
      <c r="F2803">
        <v>89</v>
      </c>
      <c r="G2803">
        <v>75.65</v>
      </c>
      <c r="H2803">
        <v>100</v>
      </c>
      <c r="I2803" t="inlineStr">
        <is>
          <t>轮廓底妆</t>
        </is>
      </c>
      <c r="J2803" t="inlineStr">
        <is>
          <t>0.00</t>
        </is>
      </c>
      <c r="K2803"/>
      <c r="L2803" t="inlineStr">
        <is>
          <t>韩国大姐姐😉的店</t>
        </is>
      </c>
      <c r="M2803">
        <v>367000</v>
      </c>
      <c r="N2803">
        <v>4.61</v>
      </c>
      <c r="O2803">
        <v>407000</v>
      </c>
      <c r="P2803" t="inlineStr">
        <is>
          <t>67de45e021ffb3000138d656</t>
        </is>
      </c>
      <c r="Q2803" t="inlineStr">
        <is>
          <t>🚫重复</t>
        </is>
      </c>
      <c r="R2803" t="inlineStr">
        <is>
          <t>14周</t>
        </is>
      </c>
      <c r="S2803" t="inlineStr">
        <is>
          <t>0.06</t>
        </is>
      </c>
      <c r="T2803" t="inlineStr">
        <is>
          <t>美妆个护</t>
        </is>
      </c>
      <c r="U2803" t="inlineStr">
        <is>
          <t>护肤彩妆</t>
        </is>
      </c>
      <c r="V2803" s="3">
        <v>46112.78107638889</v>
      </c>
      <c r="W2803" t="inlineStr">
        <is>
          <t>2026-Q1</t>
        </is>
      </c>
    </row>
    <row r="2804" ht="25.5" customHeight="1">
      <c r="A2804" t="inlineStr">
        <is>
          <t>柏瑞美 · 后台保湿定妆喷雾持久控油快速定妆</t>
        </is>
      </c>
      <c r="B2804" t="inlineStr">
        <is>
          <t>recveyWM0obfjf.jpg</t>
        </is>
      </c>
      <c r="C2804" s="2" t="str">
        <f>=HYPERLINK("https://xhslink.com/m/34KvVLE3Jqo", "https://xhslink.com/m/34KvVLE3Jqo")</f>
        <v>https://xhslink.com/m/34KvVLE3Jqo</v>
      </c>
      <c r="D2804"/>
      <c r="E2804">
        <v>72000</v>
      </c>
      <c r="F2804">
        <v>59.9</v>
      </c>
      <c r="G2804">
        <v>48.3</v>
      </c>
      <c r="H2804">
        <v>100</v>
      </c>
      <c r="I2804" t="inlineStr">
        <is>
          <t>轮廓底妆</t>
        </is>
      </c>
      <c r="J2804" t="inlineStr">
        <is>
          <t>0.00</t>
        </is>
      </c>
      <c r="K2804"/>
      <c r="L2804" t="inlineStr">
        <is>
          <t>PRAMY柏瑞美-经典定妆旗舰店</t>
        </is>
      </c>
      <c r="M2804">
        <v>108000</v>
      </c>
      <c r="N2804">
        <v>4.66</v>
      </c>
      <c r="O2804">
        <v>315000</v>
      </c>
      <c r="P2804" t="inlineStr">
        <is>
          <t>6584ed59aeddaa0001443262</t>
        </is>
      </c>
      <c r="Q2804"/>
      <c r="R2804" t="inlineStr">
        <is>
          <t>14周</t>
        </is>
      </c>
      <c r="S2804" t="inlineStr">
        <is>
          <t>0.67</t>
        </is>
      </c>
      <c r="T2804" t="inlineStr">
        <is>
          <t>美妆个护</t>
        </is>
      </c>
      <c r="U2804" t="inlineStr">
        <is>
          <t>护肤彩妆</t>
        </is>
      </c>
      <c r="V2804" s="3">
        <v>46112.78107638889</v>
      </c>
      <c r="W2804" t="inlineStr">
        <is>
          <t>2026-Q1</t>
        </is>
      </c>
    </row>
    <row r="2805" ht="25.5" customHeight="1">
      <c r="A2805" t="inlineStr">
        <is>
          <t>郑瑄茉 · 人生底妆韩国jungsaemmool粉底气垫水光版遮瑕保湿不脱妆bb粉饼</t>
        </is>
      </c>
      <c r="B2805" t="inlineStr">
        <is>
          <t>recveyWM0oxlLn.jpg</t>
        </is>
      </c>
      <c r="C2805" s="2" t="str">
        <f>=HYPERLINK("https://xhslink.com/m/1Kdo0EM6xnM", "https://xhslink.com/m/1Kdo0EM6xnM")</f>
        <v>https://xhslink.com/m/1Kdo0EM6xnM</v>
      </c>
      <c r="D2805"/>
      <c r="E2805">
        <v>5683</v>
      </c>
      <c r="F2805">
        <v>140</v>
      </c>
      <c r="G2805">
        <v>119</v>
      </c>
      <c r="H2805">
        <v>100</v>
      </c>
      <c r="I2805" t="inlineStr">
        <is>
          <t>轮廓底妆</t>
        </is>
      </c>
      <c r="J2805" t="inlineStr">
        <is>
          <t>0.02</t>
        </is>
      </c>
      <c r="K2805"/>
      <c r="L2805" t="inlineStr">
        <is>
          <t>韩国大姐姐😉的店</t>
        </is>
      </c>
      <c r="M2805">
        <v>367000</v>
      </c>
      <c r="N2805">
        <v>4.61</v>
      </c>
      <c r="O2805">
        <v>407000</v>
      </c>
      <c r="P2805" t="inlineStr">
        <is>
          <t>687d99c28fe3470001ee431b</t>
        </is>
      </c>
      <c r="Q2805" t="inlineStr">
        <is>
          <t>🚫重复</t>
        </is>
      </c>
      <c r="R2805" t="inlineStr">
        <is>
          <t>14周</t>
        </is>
      </c>
      <c r="S2805" t="inlineStr">
        <is>
          <t>0.02</t>
        </is>
      </c>
      <c r="T2805" t="inlineStr">
        <is>
          <t>美妆个护</t>
        </is>
      </c>
      <c r="U2805" t="inlineStr">
        <is>
          <t>护肤彩妆</t>
        </is>
      </c>
      <c r="V2805" s="3">
        <v>46112.78107638889</v>
      </c>
      <c r="W2805" t="inlineStr">
        <is>
          <t>2026-Q1</t>
        </is>
      </c>
    </row>
    <row r="2806" ht="25.5" customHeight="1">
      <c r="A2806" t="inlineStr">
        <is>
          <t>泡泡玛特 · 【现货】THE MONSTERS心底密码系列 - 搪胶毛绒挂件盲盒（A-M）</t>
        </is>
      </c>
      <c r="B2806" t="inlineStr">
        <is>
          <t>recveyWM0oNNWj.jpg</t>
        </is>
      </c>
      <c r="C2806" s="2" t="str">
        <f>=HYPERLINK("https://xhslink.com/m/2REuJrlgH9N", "https://xhslink.com/m/2REuJrlgH9N")</f>
        <v>https://xhslink.com/m/2REuJrlgH9N</v>
      </c>
      <c r="D2806"/>
      <c r="E2806">
        <v>155000</v>
      </c>
      <c r="F2806">
        <v>1106</v>
      </c>
      <c r="G2806"/>
      <c r="H2806">
        <v>100</v>
      </c>
      <c r="I2806" t="inlineStr">
        <is>
          <t>玩偶</t>
        </is>
      </c>
      <c r="J2806" t="inlineStr">
        <is>
          <t>0.00</t>
        </is>
      </c>
      <c r="K2806"/>
      <c r="L2806" t="inlineStr">
        <is>
          <t>POP MART 泡泡玛特旗舰店</t>
        </is>
      </c>
      <c r="M2806">
        <v>1485000</v>
      </c>
      <c r="N2806">
        <v>4.55</v>
      </c>
      <c r="O2806">
        <v>2966000</v>
      </c>
      <c r="P2806" t="inlineStr">
        <is>
          <t>6967452ca8e07e000141e265</t>
        </is>
      </c>
      <c r="Q2806" t="inlineStr">
        <is>
          <t>🚫重复</t>
        </is>
      </c>
      <c r="R2806" t="inlineStr">
        <is>
          <t>14周</t>
        </is>
      </c>
      <c r="S2806" t="inlineStr">
        <is>
          <t>0.10</t>
        </is>
      </c>
      <c r="T2806" t="inlineStr">
        <is>
          <t>运动潮玩</t>
        </is>
      </c>
      <c r="U2806" t="inlineStr">
        <is>
          <t>潮玩手办</t>
        </is>
      </c>
      <c r="V2806" s="3">
        <v>46112.78107638889</v>
      </c>
      <c r="W2806" t="inlineStr">
        <is>
          <t>2026-Q1</t>
        </is>
      </c>
    </row>
    <row r="2807" ht="25.5" customHeight="1">
      <c r="A2807" t="inlineStr">
        <is>
          <t>SALOMON · 萨洛蒙户外经典潮流男女防水运动休闲鞋XT-QUEST GTX</t>
        </is>
      </c>
      <c r="B2807" t="inlineStr">
        <is>
          <t>recveyWM0ozH5D.jpg</t>
        </is>
      </c>
      <c r="C2807" s="2" t="str">
        <f>=HYPERLINK("https://xhslink.com/m/5V18Nn5REvO", "https://xhslink.com/m/5V18Nn5REvO")</f>
        <v>https://xhslink.com/m/5V18Nn5REvO</v>
      </c>
      <c r="D2807"/>
      <c r="E2807">
        <v>1433</v>
      </c>
      <c r="F2807">
        <v>1598</v>
      </c>
      <c r="G2807"/>
      <c r="H2807">
        <v>100</v>
      </c>
      <c r="I2807" t="inlineStr">
        <is>
          <t>户外运动</t>
        </is>
      </c>
      <c r="J2807" t="inlineStr">
        <is>
          <t>0.07</t>
        </is>
      </c>
      <c r="K2807"/>
      <c r="L2807" t="inlineStr">
        <is>
          <t>SALOMON萨洛蒙旗舰店</t>
        </is>
      </c>
      <c r="M2807">
        <v>150000</v>
      </c>
      <c r="N2807">
        <v>4.53</v>
      </c>
      <c r="O2807">
        <v>129000</v>
      </c>
      <c r="P2807" t="inlineStr">
        <is>
          <t>68ba9637e02321001573fd8f</t>
        </is>
      </c>
      <c r="Q2807"/>
      <c r="R2807" t="inlineStr">
        <is>
          <t>14周</t>
        </is>
      </c>
      <c r="S2807" t="inlineStr">
        <is>
          <t>0.01</t>
        </is>
      </c>
      <c r="T2807" t="inlineStr">
        <is>
          <t>服饰穿搭</t>
        </is>
      </c>
      <c r="U2807" t="inlineStr">
        <is>
          <t>鞋靴箱包</t>
        </is>
      </c>
      <c r="V2807" s="3">
        <v>46112.78107638889</v>
      </c>
      <c r="W2807" t="inlineStr">
        <is>
          <t>2026-Q1</t>
        </is>
      </c>
    </row>
    <row r="2808" ht="25.5" customHeight="1">
      <c r="A2808" t="inlineStr">
        <is>
          <t>LULULEMON · 全新澳洲发货 常规立领Define Nulu（不退换）</t>
        </is>
      </c>
      <c r="B2808" t="inlineStr">
        <is>
          <t>recveyWM0oISnp.jpg</t>
        </is>
      </c>
      <c r="C2808" s="2" t="str">
        <f>=HYPERLINK("https://xhslink.com/m/6z0li26t2XG", "https://xhslink.com/m/6z0li26t2XG")</f>
        <v>https://xhslink.com/m/6z0li26t2XG</v>
      </c>
      <c r="D2808"/>
      <c r="E2808">
        <v>981</v>
      </c>
      <c r="F2808">
        <v>755</v>
      </c>
      <c r="G2808"/>
      <c r="H2808">
        <v>100</v>
      </c>
      <c r="I2808" t="inlineStr">
        <is>
          <t>户外运动</t>
        </is>
      </c>
      <c r="J2808" t="inlineStr">
        <is>
          <t>0.10</t>
        </is>
      </c>
      <c r="K2808"/>
      <c r="L2808" t="inlineStr">
        <is>
          <t>睡不着睡不醒的店</t>
        </is>
      </c>
      <c r="M2808">
        <v>13000</v>
      </c>
      <c r="N2808">
        <v>4.65</v>
      </c>
      <c r="O2808">
        <v>9782</v>
      </c>
      <c r="P2808" t="inlineStr">
        <is>
          <t>69a5493b4b978100016ec1d5</t>
        </is>
      </c>
      <c r="Q2808"/>
      <c r="R2808" t="inlineStr">
        <is>
          <t>14周</t>
        </is>
      </c>
      <c r="S2808" t="inlineStr">
        <is>
          <t>0.08</t>
        </is>
      </c>
      <c r="T2808" t="inlineStr">
        <is>
          <t>服饰穿搭</t>
        </is>
      </c>
      <c r="U2808" t="inlineStr">
        <is>
          <t>女装</t>
        </is>
      </c>
      <c r="V2808" s="3">
        <v>46112.78107638889</v>
      </c>
      <c r="W2808" t="inlineStr">
        <is>
          <t>2026-Q1</t>
        </is>
      </c>
    </row>
    <row r="2809" ht="25.5" customHeight="1">
      <c r="A2809" t="inlineStr">
        <is>
          <t>日本限定樱桃小丸子系列商品，日本采购，不退不换</t>
        </is>
      </c>
      <c r="B2809" t="inlineStr">
        <is>
          <t>recveyWM0odH5Q.jpg</t>
        </is>
      </c>
      <c r="C2809" s="2" t="str">
        <f>=HYPERLINK("https://xhslink.com/m/7fUAW1aSN7w", "https://xhslink.com/m/7fUAW1aSN7w")</f>
        <v>https://xhslink.com/m/7fUAW1aSN7w</v>
      </c>
      <c r="D2809"/>
      <c r="E2809">
        <v>1143</v>
      </c>
      <c r="F2809">
        <v>248</v>
      </c>
      <c r="G2809"/>
      <c r="H2809">
        <v>100</v>
      </c>
      <c r="I2809" t="inlineStr">
        <is>
          <t>收纳</t>
        </is>
      </c>
      <c r="J2809" t="inlineStr">
        <is>
          <t>0.09</t>
        </is>
      </c>
      <c r="K2809"/>
      <c r="L2809" t="inlineStr">
        <is>
          <t>七里香在日本的店</t>
        </is>
      </c>
      <c r="M2809">
        <v>3007</v>
      </c>
      <c r="N2809">
        <v>4.43</v>
      </c>
      <c r="O2809">
        <v>4911</v>
      </c>
      <c r="P2809" t="inlineStr">
        <is>
          <t>68caa0db20de3e00013dba91</t>
        </is>
      </c>
      <c r="Q2809"/>
      <c r="R2809" t="inlineStr">
        <is>
          <t>14周</t>
        </is>
      </c>
      <c r="S2809" t="inlineStr">
        <is>
          <t>0.38</t>
        </is>
      </c>
      <c r="T2809" t="inlineStr">
        <is>
          <t>家居生活</t>
        </is>
      </c>
      <c r="U2809" t="inlineStr">
        <is>
          <t>家居日用</t>
        </is>
      </c>
      <c r="V2809" s="3">
        <v>46112.78107638889</v>
      </c>
      <c r="W2809" t="inlineStr">
        <is>
          <t>2026-Q1</t>
        </is>
      </c>
    </row>
    <row r="2810" ht="25.5" customHeight="1">
      <c r="A2810" t="inlineStr">
        <is>
          <t>皓齿舒HTOOTH · 【即擦即白】纳米洁牙擦去牙垢黑牙渍儿童牙齿橡皮擦成人通用</t>
        </is>
      </c>
      <c r="B2810" t="inlineStr">
        <is>
          <t>recveyWM0oPIMq.jpg</t>
        </is>
      </c>
      <c r="C2810" s="2" t="str">
        <f>=HYPERLINK("https://xhslink.com/m/7bnImLg6zbm", "https://xhslink.com/m/7bnImLg6zbm")</f>
        <v>https://xhslink.com/m/7bnImLg6zbm</v>
      </c>
      <c r="D2810"/>
      <c r="E2810">
        <v>12000</v>
      </c>
      <c r="F2810">
        <v>19.9</v>
      </c>
      <c r="G2810"/>
      <c r="H2810">
        <v>100</v>
      </c>
      <c r="I2810" t="inlineStr">
        <is>
          <t>美牙</t>
        </is>
      </c>
      <c r="J2810" t="inlineStr">
        <is>
          <t>0.01</t>
        </is>
      </c>
      <c r="K2810" t="inlineStr">
        <is>
          <t>🔥低粉爆款</t>
        </is>
      </c>
      <c r="L2810" t="inlineStr">
        <is>
          <t>HTOOTH皓齿舒旗舰店</t>
        </is>
      </c>
      <c r="M2810">
        <v>2373</v>
      </c>
      <c r="N2810">
        <v>4.58</v>
      </c>
      <c r="O2810">
        <v>18000</v>
      </c>
      <c r="P2810" t="inlineStr">
        <is>
          <t>66daa93ff63d3900011e9793</t>
        </is>
      </c>
      <c r="Q2810"/>
      <c r="R2810" t="inlineStr">
        <is>
          <t>14周</t>
        </is>
      </c>
      <c r="S2810" t="inlineStr">
        <is>
          <t>5.06</t>
        </is>
      </c>
      <c r="T2810" t="inlineStr">
        <is>
          <t>母婴亲子</t>
        </is>
      </c>
      <c r="U2810" t="inlineStr">
        <is>
          <t>童装童鞋</t>
        </is>
      </c>
      <c r="V2810" s="3">
        <v>46112.78107638889</v>
      </c>
      <c r="W2810" t="inlineStr">
        <is>
          <t>2026-Q1</t>
        </is>
      </c>
    </row>
    <row r="2811" ht="25.5" customHeight="1">
      <c r="A2811" t="inlineStr">
        <is>
          <t>xixi · 9.9六只眼线笔眼妆神器卧蚕笔阴影笔眼线液女下至双眼皮勾勒棕色</t>
        </is>
      </c>
      <c r="B2811" t="inlineStr">
        <is>
          <t>recveyWM0oJUF2.jpg</t>
        </is>
      </c>
      <c r="C2811" s="2" t="str">
        <f>=HYPERLINK("https://xhslink.com/m/9VK8ExL6A1R", "https://xhslink.com/m/9VK8ExL6A1R")</f>
        <v>https://xhslink.com/m/9VK8ExL6A1R</v>
      </c>
      <c r="D2811"/>
      <c r="E2811">
        <v>135000</v>
      </c>
      <c r="F2811">
        <v>9.9</v>
      </c>
      <c r="G2811"/>
      <c r="H2811">
        <v>100</v>
      </c>
      <c r="I2811" t="inlineStr">
        <is>
          <t>美妆</t>
        </is>
      </c>
      <c r="J2811" t="inlineStr">
        <is>
          <t>0.00</t>
        </is>
      </c>
      <c r="K2811"/>
      <c r="L2811" t="inlineStr">
        <is>
          <t>XIXI美妆旗舰店</t>
        </is>
      </c>
      <c r="M2811">
        <v>67000</v>
      </c>
      <c r="N2811">
        <v>4.58</v>
      </c>
      <c r="O2811">
        <v>407000</v>
      </c>
      <c r="P2811" t="inlineStr">
        <is>
          <t>64cc57ab0862990001c62a30</t>
        </is>
      </c>
      <c r="Q2811" t="inlineStr">
        <is>
          <t>🚫重复</t>
        </is>
      </c>
      <c r="R2811" t="inlineStr">
        <is>
          <t>14周</t>
        </is>
      </c>
      <c r="S2811" t="inlineStr">
        <is>
          <t>2.01</t>
        </is>
      </c>
      <c r="T2811" t="inlineStr">
        <is>
          <t>美妆个护</t>
        </is>
      </c>
      <c r="U2811" t="inlineStr">
        <is>
          <t>护肤彩妆</t>
        </is>
      </c>
      <c r="V2811" s="3">
        <v>46112.78107638889</v>
      </c>
      <c r="W2811" t="inlineStr">
        <is>
          <t>2026-Q1</t>
        </is>
      </c>
    </row>
    <row r="2812" ht="25.5" customHeight="1">
      <c r="A2812" t="inlineStr">
        <is>
          <t>【小刚懂鞋】法式慵懒风-真皮蝴蝶结软底芭蕾鞋女蛋卷鞋浅口558-W</t>
        </is>
      </c>
      <c r="B2812" t="inlineStr">
        <is>
          <t>recveyWM0oPASO.jpg</t>
        </is>
      </c>
      <c r="C2812" s="2" t="str">
        <f>=HYPERLINK("https://xhslink.com/m/mLaSIQJmIH", "https://xhslink.com/m/mLaSIQJmIH")</f>
        <v>https://xhslink.com/m/mLaSIQJmIH</v>
      </c>
      <c r="D2812"/>
      <c r="E2812">
        <v>3907</v>
      </c>
      <c r="F2812">
        <v>227</v>
      </c>
      <c r="G2812">
        <v>199</v>
      </c>
      <c r="H2812">
        <v>100</v>
      </c>
      <c r="I2812" t="inlineStr">
        <is>
          <t>单鞋</t>
        </is>
      </c>
      <c r="J2812" t="inlineStr">
        <is>
          <t>0.03</t>
        </is>
      </c>
      <c r="K2812"/>
      <c r="L2812" t="inlineStr">
        <is>
          <t>小刚懂鞋的店</t>
        </is>
      </c>
      <c r="M2812">
        <v>55000</v>
      </c>
      <c r="N2812">
        <v>4.44</v>
      </c>
      <c r="O2812">
        <v>58000</v>
      </c>
      <c r="P2812" t="inlineStr">
        <is>
          <t>696b199c3067f40001c646e7</t>
        </is>
      </c>
      <c r="Q2812"/>
      <c r="R2812" t="inlineStr">
        <is>
          <t>14周</t>
        </is>
      </c>
      <c r="S2812" t="inlineStr">
        <is>
          <t>0.07</t>
        </is>
      </c>
      <c r="T2812" t="inlineStr">
        <is>
          <t>服饰穿搭</t>
        </is>
      </c>
      <c r="U2812" t="inlineStr">
        <is>
          <t>鞋靴箱包</t>
        </is>
      </c>
      <c r="V2812" s="3">
        <v>46112.78107638889</v>
      </c>
      <c r="W2812" t="inlineStr">
        <is>
          <t>2026-Q1</t>
        </is>
      </c>
    </row>
    <row r="2813" ht="25.5" customHeight="1">
      <c r="A2813" t="inlineStr">
        <is>
          <t>圆圆呀aaa__｛现货48小时内发｝平底款绸缎水钻气质通勤单鞋</t>
        </is>
      </c>
      <c r="B2813" t="inlineStr">
        <is>
          <t>recveyWM0oaJCw.jpg</t>
        </is>
      </c>
      <c r="C2813" s="2" t="str">
        <f>=HYPERLINK("https://xhslink.com/m/8QIb3Pfovqd", "https://xhslink.com/m/8QIb3Pfovqd")</f>
        <v>https://xhslink.com/m/8QIb3Pfovqd</v>
      </c>
      <c r="D2813"/>
      <c r="E2813">
        <v>7972</v>
      </c>
      <c r="F2813">
        <v>174</v>
      </c>
      <c r="G2813">
        <v>137</v>
      </c>
      <c r="H2813">
        <v>100</v>
      </c>
      <c r="I2813" t="inlineStr">
        <is>
          <t>单鞋</t>
        </is>
      </c>
      <c r="J2813" t="inlineStr">
        <is>
          <t>0.01</t>
        </is>
      </c>
      <c r="K2813"/>
      <c r="L2813" t="inlineStr">
        <is>
          <t>圆圆呀aaa__的店</t>
        </is>
      </c>
      <c r="M2813">
        <v>11000</v>
      </c>
      <c r="N2813">
        <v>4.61</v>
      </c>
      <c r="O2813">
        <v>48000</v>
      </c>
      <c r="P2813" t="inlineStr">
        <is>
          <t>691330719fd210000153260a</t>
        </is>
      </c>
      <c r="Q2813" t="inlineStr">
        <is>
          <t>🚫重复</t>
        </is>
      </c>
      <c r="R2813" t="inlineStr">
        <is>
          <t>14周</t>
        </is>
      </c>
      <c r="S2813" t="inlineStr">
        <is>
          <t>0.72</t>
        </is>
      </c>
      <c r="T2813" t="inlineStr">
        <is>
          <t>服饰穿搭</t>
        </is>
      </c>
      <c r="U2813" t="inlineStr">
        <is>
          <t>鞋靴箱包</t>
        </is>
      </c>
      <c r="V2813" s="3">
        <v>46112.78107638889</v>
      </c>
      <c r="W2813" t="inlineStr">
        <is>
          <t>2026-Q1</t>
        </is>
      </c>
    </row>
    <row r="2814" ht="25.5" customHeight="1">
      <c r="A2814" t="inlineStr">
        <is>
          <t>【意大利真皮大底】破镜系列tabi分趾粗跟鞋F833611</t>
        </is>
      </c>
      <c r="B2814" t="inlineStr">
        <is>
          <t>recveyWM0oL13D_fix.jpg</t>
        </is>
      </c>
      <c r="C2814" s="2" t="str">
        <f>=HYPERLINK("https://xhslink.com/m/1oOZSlcLJAU", "https://xhslink.com/m/1oOZSlcLJAU")</f>
        <v>https://xhslink.com/m/1oOZSlcLJAU</v>
      </c>
      <c r="D2814"/>
      <c r="E2814">
        <v>1925</v>
      </c>
      <c r="F2814">
        <v>679</v>
      </c>
      <c r="G2814">
        <v>329</v>
      </c>
      <c r="H2814">
        <v>100</v>
      </c>
      <c r="I2814" t="inlineStr">
        <is>
          <t>单鞋</t>
        </is>
      </c>
      <c r="J2814" t="inlineStr">
        <is>
          <t>0.05</t>
        </is>
      </c>
      <c r="K2814"/>
      <c r="L2814" t="inlineStr">
        <is>
          <t>东莞外贸工厂老板的店</t>
        </is>
      </c>
      <c r="M2814">
        <v>336000</v>
      </c>
      <c r="N2814">
        <v>4.55</v>
      </c>
      <c r="O2814">
        <v>296000</v>
      </c>
      <c r="P2814" t="inlineStr">
        <is>
          <t>685e0a8c7e7bf00001de1289</t>
        </is>
      </c>
      <c r="Q2814"/>
      <c r="R2814" t="inlineStr">
        <is>
          <t>14周</t>
        </is>
      </c>
      <c r="S2814" t="inlineStr">
        <is>
          <t>0.01</t>
        </is>
      </c>
      <c r="T2814" t="inlineStr">
        <is>
          <t>服饰穿搭</t>
        </is>
      </c>
      <c r="U2814" t="inlineStr">
        <is>
          <t>鞋靴箱包</t>
        </is>
      </c>
      <c r="V2814" s="3">
        <v>46112.78107638889</v>
      </c>
      <c r="W2814" t="inlineStr">
        <is>
          <t>2026-Q1</t>
        </is>
      </c>
    </row>
    <row r="2815" ht="25.5" customHeight="1">
      <c r="A2815" t="inlineStr">
        <is>
          <t>JO&amp;PARSON'S SIMPLE LIFE · 001027牛皮3cm小枕头单鞋推荐女圆头平底鞋牛津底防滑散步护士鞋</t>
        </is>
      </c>
      <c r="B2815" t="inlineStr">
        <is>
          <t>recveyWM0o3QVC.jpg</t>
        </is>
      </c>
      <c r="C2815" s="2" t="str">
        <f>=HYPERLINK("https://xhslink.com/m/AJJr3WONOKc", "https://xhslink.com/m/AJJr3WONOKc")</f>
        <v>https://xhslink.com/m/AJJr3WONOKc</v>
      </c>
      <c r="D2815"/>
      <c r="E2815">
        <v>547</v>
      </c>
      <c r="F2815">
        <v>324</v>
      </c>
      <c r="G2815">
        <v>258</v>
      </c>
      <c r="H2815">
        <v>100</v>
      </c>
      <c r="I2815" t="inlineStr">
        <is>
          <t>单鞋</t>
        </is>
      </c>
      <c r="J2815" t="inlineStr">
        <is>
          <t>0.18</t>
        </is>
      </c>
      <c r="K2815"/>
      <c r="L2815" t="inlineStr">
        <is>
          <t>做羊皮鞋子的壹家的店</t>
        </is>
      </c>
      <c r="M2815">
        <v>8223</v>
      </c>
      <c r="N2815">
        <v>4.77</v>
      </c>
      <c r="O2815">
        <v>12000</v>
      </c>
      <c r="P2815" t="inlineStr">
        <is>
          <t>65a8f0c867861f0001b48f5b</t>
        </is>
      </c>
      <c r="Q2815"/>
      <c r="R2815" t="inlineStr">
        <is>
          <t>14周</t>
        </is>
      </c>
      <c r="S2815" t="inlineStr">
        <is>
          <t>0.07</t>
        </is>
      </c>
      <c r="T2815" t="inlineStr">
        <is>
          <t>服饰穿搭</t>
        </is>
      </c>
      <c r="U2815" t="inlineStr">
        <is>
          <t>鞋靴箱包</t>
        </is>
      </c>
      <c r="V2815" s="3">
        <v>46112.78107638889</v>
      </c>
      <c r="W2815" t="inlineStr">
        <is>
          <t>2026-Q1</t>
        </is>
      </c>
    </row>
    <row r="2816" ht="25.5" customHeight="1">
      <c r="A2816" t="inlineStr">
        <is>
          <t>caramel · 焦糖-法式方头百搭时髦复古真皮低跟褶皱女鞋小众浅口单鞋（2cm）</t>
        </is>
      </c>
      <c r="B2816" t="inlineStr">
        <is>
          <t>recveyWM0oPFta.jpg</t>
        </is>
      </c>
      <c r="C2816" s="2" t="str">
        <f>=HYPERLINK("https://xhslink.com/m/5pNNSFyitoI", "https://xhslink.com/m/5pNNSFyitoI")</f>
        <v>https://xhslink.com/m/5pNNSFyitoI</v>
      </c>
      <c r="D2816"/>
      <c r="E2816">
        <v>1113</v>
      </c>
      <c r="F2816">
        <v>349</v>
      </c>
      <c r="G2816">
        <v>296.65</v>
      </c>
      <c r="H2816">
        <v>100</v>
      </c>
      <c r="I2816" t="inlineStr">
        <is>
          <t>单鞋</t>
        </is>
      </c>
      <c r="J2816" t="inlineStr">
        <is>
          <t>0.09</t>
        </is>
      </c>
      <c r="K2816"/>
      <c r="L2816" t="inlineStr">
        <is>
          <t>焦糖CARAMEL的店</t>
        </is>
      </c>
      <c r="M2816">
        <v>17000</v>
      </c>
      <c r="N2816">
        <v>4.53</v>
      </c>
      <c r="O2816">
        <v>45000</v>
      </c>
      <c r="P2816" t="inlineStr">
        <is>
          <t>68ae809995220f0001743e05</t>
        </is>
      </c>
      <c r="Q2816"/>
      <c r="R2816" t="inlineStr">
        <is>
          <t>14周</t>
        </is>
      </c>
      <c r="S2816" t="inlineStr">
        <is>
          <t>0.07</t>
        </is>
      </c>
      <c r="T2816" t="inlineStr">
        <is>
          <t>服饰穿搭</t>
        </is>
      </c>
      <c r="U2816" t="inlineStr">
        <is>
          <t>鞋靴箱包</t>
        </is>
      </c>
      <c r="V2816" s="3">
        <v>46112.78107638889</v>
      </c>
      <c r="W2816" t="inlineStr">
        <is>
          <t>2026-Q1</t>
        </is>
      </c>
    </row>
    <row r="2817" ht="25.5" customHeight="1">
      <c r="A2817" t="inlineStr">
        <is>
          <t>磨砂反绒面方头浅口单鞋女温柔晚风羊皮软皮软底奶奶鞋女夏天平底</t>
        </is>
      </c>
      <c r="B2817" t="inlineStr">
        <is>
          <t>recveyWM0ol4Ja.jpg</t>
        </is>
      </c>
      <c r="C2817" s="2" t="str">
        <f>=HYPERLINK("https://xhslink.com/m/81IsfMnzqmT", "https://xhslink.com/m/81IsfMnzqmT")</f>
        <v>https://xhslink.com/m/81IsfMnzqmT</v>
      </c>
      <c r="D2817"/>
      <c r="E2817">
        <v>427</v>
      </c>
      <c r="F2817">
        <v>349</v>
      </c>
      <c r="G2817">
        <v>307.12</v>
      </c>
      <c r="H2817">
        <v>100</v>
      </c>
      <c r="I2817" t="inlineStr">
        <is>
          <t>单鞋</t>
        </is>
      </c>
      <c r="J2817" t="inlineStr">
        <is>
          <t>0.23</t>
        </is>
      </c>
      <c r="K2817"/>
      <c r="L2817" t="inlineStr">
        <is>
          <t>妙斑 Miollibarn的店</t>
        </is>
      </c>
      <c r="M2817">
        <v>4891</v>
      </c>
      <c r="N2817">
        <v>4.7</v>
      </c>
      <c r="O2817">
        <v>5214</v>
      </c>
      <c r="P2817" t="inlineStr">
        <is>
          <t>6411e5a31b0a2800011648dc</t>
        </is>
      </c>
      <c r="Q2817"/>
      <c r="R2817" t="inlineStr">
        <is>
          <t>14周</t>
        </is>
      </c>
      <c r="S2817" t="inlineStr">
        <is>
          <t>0.09</t>
        </is>
      </c>
      <c r="T2817" t="inlineStr">
        <is>
          <t>服饰穿搭</t>
        </is>
      </c>
      <c r="U2817" t="inlineStr">
        <is>
          <t>鞋靴箱包</t>
        </is>
      </c>
      <c r="V2817" s="3">
        <v>46112.78107638889</v>
      </c>
      <c r="W2817" t="inlineStr">
        <is>
          <t>2026-Q1</t>
        </is>
      </c>
    </row>
    <row r="2818" ht="25.5" customHeight="1">
      <c r="A2818" t="inlineStr">
        <is>
          <t>ONE TOU 3CM厚底英伦风孟克鞋通勤魔术贴小皮鞋深口单鞋</t>
        </is>
      </c>
      <c r="B2818" t="inlineStr">
        <is>
          <t>recveyWM0oyH3J.jpg</t>
        </is>
      </c>
      <c r="C2818" s="2" t="str">
        <f>=HYPERLINK("https://xhslink.com/m/7iiIvN1UhHm", "https://xhslink.com/m/7iiIvN1UhHm")</f>
        <v>https://xhslink.com/m/7iiIvN1UhHm</v>
      </c>
      <c r="D2818"/>
      <c r="E2818">
        <v>1365</v>
      </c>
      <c r="F2818">
        <v>129</v>
      </c>
      <c r="G2818">
        <v>89.8</v>
      </c>
      <c r="H2818">
        <v>100</v>
      </c>
      <c r="I2818" t="inlineStr">
        <is>
          <t>单鞋</t>
        </is>
      </c>
      <c r="J2818" t="inlineStr">
        <is>
          <t>0.07</t>
        </is>
      </c>
      <c r="K2818"/>
      <c r="L2818" t="inlineStr">
        <is>
          <t>小豌豆呀o的店</t>
        </is>
      </c>
      <c r="M2818">
        <v>15000</v>
      </c>
      <c r="N2818">
        <v>4.59</v>
      </c>
      <c r="O2818">
        <v>61000</v>
      </c>
      <c r="P2818" t="inlineStr">
        <is>
          <t>695d067666338600012b12ba</t>
        </is>
      </c>
      <c r="Q2818" t="inlineStr">
        <is>
          <t>🚫重复</t>
        </is>
      </c>
      <c r="R2818" t="inlineStr">
        <is>
          <t>14周</t>
        </is>
      </c>
      <c r="S2818" t="inlineStr">
        <is>
          <t>0.09</t>
        </is>
      </c>
      <c r="T2818" t="inlineStr">
        <is>
          <t>服饰穿搭</t>
        </is>
      </c>
      <c r="U2818" t="inlineStr">
        <is>
          <t>鞋靴箱包</t>
        </is>
      </c>
      <c r="V2818" s="3">
        <v>46112.78107638889</v>
      </c>
      <c r="W2818" t="inlineStr">
        <is>
          <t>2026-Q1</t>
        </is>
      </c>
    </row>
    <row r="2819" ht="25.5" customHeight="1">
      <c r="A2819" t="inlineStr">
        <is>
          <t>【直播前800双直降】内增高蓝色单鞋子女2026年春季新款蝴蝶结鞋</t>
        </is>
      </c>
      <c r="B2819" t="inlineStr">
        <is>
          <t>recveyWM0oNLMS.jpg</t>
        </is>
      </c>
      <c r="C2819" s="2" t="str">
        <f>=HYPERLINK("https://xhslink.com/m/8xWXwca2EAp", "https://xhslink.com/m/8xWXwca2EAp")</f>
        <v>https://xhslink.com/m/8xWXwca2EAp</v>
      </c>
      <c r="D2819"/>
      <c r="E2819">
        <v>960</v>
      </c>
      <c r="F2819">
        <v>89.8</v>
      </c>
      <c r="G2819">
        <v>69.8</v>
      </c>
      <c r="H2819">
        <v>100</v>
      </c>
      <c r="I2819" t="inlineStr">
        <is>
          <t>单鞋</t>
        </is>
      </c>
      <c r="J2819" t="inlineStr">
        <is>
          <t>0.10</t>
        </is>
      </c>
      <c r="K2819"/>
      <c r="L2819" t="inlineStr">
        <is>
          <t>可可爱爱女鞋的店</t>
        </is>
      </c>
      <c r="M2819">
        <v>602000</v>
      </c>
      <c r="N2819">
        <v>4.69</v>
      </c>
      <c r="O2819">
        <v>181000</v>
      </c>
      <c r="P2819" t="inlineStr">
        <is>
          <t>69a53a43e30b940015e46fa0</t>
        </is>
      </c>
      <c r="Q2819"/>
      <c r="R2819" t="inlineStr">
        <is>
          <t>14周</t>
        </is>
      </c>
      <c r="S2819" t="inlineStr">
        <is>
          <t>0.00</t>
        </is>
      </c>
      <c r="T2819" t="inlineStr">
        <is>
          <t>服饰穿搭</t>
        </is>
      </c>
      <c r="U2819" t="inlineStr">
        <is>
          <t>鞋靴箱包</t>
        </is>
      </c>
      <c r="V2819" s="3">
        <v>46112.78107638889</v>
      </c>
      <c r="W2819" t="inlineStr">
        <is>
          <t>2026-Q1</t>
        </is>
      </c>
    </row>
    <row r="2820" ht="25.5" customHeight="1">
      <c r="A2820" t="inlineStr">
        <is>
          <t>stridex · 水杨酸棉片祛痘痘印去黑头闭口酸清洁棉片收缩毛孔刷湿敷</t>
        </is>
      </c>
      <c r="B2820" t="inlineStr">
        <is>
          <t>recveyWM0oLGfh.jpg</t>
        </is>
      </c>
      <c r="C2820" s="2" t="str">
        <f>=HYPERLINK("https://xhslink.com/m/3FvpFukn2u9", "https://xhslink.com/m/3FvpFukn2u9")</f>
        <v>https://xhslink.com/m/3FvpFukn2u9</v>
      </c>
      <c r="D2820"/>
      <c r="E2820">
        <v>12000</v>
      </c>
      <c r="F2820">
        <v>69</v>
      </c>
      <c r="G2820">
        <v>55</v>
      </c>
      <c r="H2820">
        <v>100</v>
      </c>
      <c r="I2820" t="inlineStr">
        <is>
          <t>祛痘</t>
        </is>
      </c>
      <c r="J2820" t="inlineStr">
        <is>
          <t>0.01</t>
        </is>
      </c>
      <c r="K2820"/>
      <c r="L2820" t="inlineStr">
        <is>
          <t>Stridex施颜适旗舰店</t>
        </is>
      </c>
      <c r="M2820">
        <v>25000</v>
      </c>
      <c r="N2820">
        <v>4.48</v>
      </c>
      <c r="O2820">
        <v>34000</v>
      </c>
      <c r="P2820" t="inlineStr">
        <is>
          <t>624eb17b537f7a0001d944fc</t>
        </is>
      </c>
      <c r="Q2820"/>
      <c r="R2820" t="inlineStr">
        <is>
          <t>14周</t>
        </is>
      </c>
      <c r="S2820" t="inlineStr">
        <is>
          <t>0.48</t>
        </is>
      </c>
      <c r="T2820" t="inlineStr">
        <is>
          <t>美妆个护</t>
        </is>
      </c>
      <c r="U2820" t="inlineStr">
        <is>
          <t>个人护理</t>
        </is>
      </c>
      <c r="V2820" s="3">
        <v>46112.78107638889</v>
      </c>
      <c r="W2820" t="inlineStr">
        <is>
          <t>2026-Q1</t>
        </is>
      </c>
    </row>
    <row r="2821" ht="25.5" customHeight="1">
      <c r="A2821" t="inlineStr">
        <is>
          <t>卓蓝雅 · 免蒸水疗头发美容发膜护理改善毛躁干枯柔顺护发素补水顺滑</t>
        </is>
      </c>
      <c r="B2821" t="inlineStr">
        <is>
          <t>recveyWM0oNyYa.jpg</t>
        </is>
      </c>
      <c r="C2821" s="2" t="str">
        <f>=HYPERLINK("https://xhslink.com/m/5Aut67EPUDW", "https://xhslink.com/m/5Aut67EPUDW")</f>
        <v>https://xhslink.com/m/5Aut67EPUDW</v>
      </c>
      <c r="D2821"/>
      <c r="E2821">
        <v>50000</v>
      </c>
      <c r="F2821">
        <v>65</v>
      </c>
      <c r="G2821">
        <v>23</v>
      </c>
      <c r="H2821">
        <v>100</v>
      </c>
      <c r="I2821" t="inlineStr">
        <is>
          <t>头发护理</t>
        </is>
      </c>
      <c r="J2821" t="inlineStr">
        <is>
          <t>0.00</t>
        </is>
      </c>
      <c r="K2821"/>
      <c r="L2821" t="inlineStr">
        <is>
          <t>卓蓝雅旗舰店</t>
        </is>
      </c>
      <c r="M2821">
        <v>28000</v>
      </c>
      <c r="N2821">
        <v>4.57</v>
      </c>
      <c r="O2821">
        <v>105000</v>
      </c>
      <c r="P2821" t="inlineStr">
        <is>
          <t>64929471807a380001784a05</t>
        </is>
      </c>
      <c r="Q2821"/>
      <c r="R2821" t="inlineStr">
        <is>
          <t>14周</t>
        </is>
      </c>
      <c r="S2821" t="inlineStr">
        <is>
          <t>1.79</t>
        </is>
      </c>
      <c r="T2821" t="inlineStr">
        <is>
          <t>美妆个护</t>
        </is>
      </c>
      <c r="U2821" t="inlineStr">
        <is>
          <t>个人护理</t>
        </is>
      </c>
      <c r="V2821" s="3">
        <v>46112.78107638889</v>
      </c>
      <c r="W2821" t="inlineStr">
        <is>
          <t>2026-Q1</t>
        </is>
      </c>
    </row>
    <row r="2822" ht="25.5" customHeight="1">
      <c r="A2822" t="inlineStr">
        <is>
          <t>慕香丝 · 发质护理蛋白发膜</t>
        </is>
      </c>
      <c r="B2822" t="inlineStr">
        <is>
          <t>recveyWM0oH47p.jpg</t>
        </is>
      </c>
      <c r="C2822" s="2" t="str">
        <f>=HYPERLINK("https://xhslink.com/m/9Sj01I3fPiP", "https://xhslink.com/m/9Sj01I3fPiP")</f>
        <v>https://xhslink.com/m/9Sj01I3fPiP</v>
      </c>
      <c r="D2822"/>
      <c r="E2822">
        <v>7384</v>
      </c>
      <c r="F2822">
        <v>59.9</v>
      </c>
      <c r="G2822">
        <v>49.9</v>
      </c>
      <c r="H2822">
        <v>100</v>
      </c>
      <c r="I2822" t="inlineStr">
        <is>
          <t>头发护理</t>
        </is>
      </c>
      <c r="J2822" t="inlineStr">
        <is>
          <t>0.01</t>
        </is>
      </c>
      <c r="K2822"/>
      <c r="L2822" t="inlineStr">
        <is>
          <t>艾慕芭的店</t>
        </is>
      </c>
      <c r="M2822">
        <v>12000</v>
      </c>
      <c r="N2822">
        <v>4.72</v>
      </c>
      <c r="O2822">
        <v>36000</v>
      </c>
      <c r="P2822" t="inlineStr">
        <is>
          <t>67e00d0fe317a300018609bc</t>
        </is>
      </c>
      <c r="Q2822"/>
      <c r="R2822" t="inlineStr">
        <is>
          <t>14周</t>
        </is>
      </c>
      <c r="S2822" t="inlineStr">
        <is>
          <t>0.62</t>
        </is>
      </c>
      <c r="T2822" t="inlineStr">
        <is>
          <t>美妆个护</t>
        </is>
      </c>
      <c r="U2822" t="inlineStr">
        <is>
          <t>个人护理</t>
        </is>
      </c>
      <c r="V2822" s="3">
        <v>46112.78107638889</v>
      </c>
      <c r="W2822" t="inlineStr">
        <is>
          <t>2026-Q1</t>
        </is>
      </c>
    </row>
    <row r="2823" ht="25.5" customHeight="1">
      <c r="A2823" t="inlineStr">
        <is>
          <t>Kacahair · Kaca小分子冷基发膜！美发店同款</t>
        </is>
      </c>
      <c r="B2823" t="inlineStr">
        <is>
          <t>recveyWM0o6CKU.jpg</t>
        </is>
      </c>
      <c r="C2823" s="2" t="str">
        <f>=HYPERLINK("https://xhslink.com/m/78AXYTkruGt", "https://xhslink.com/m/78AXYTkruGt")</f>
        <v>https://xhslink.com/m/78AXYTkruGt</v>
      </c>
      <c r="D2823"/>
      <c r="E2823">
        <v>167000</v>
      </c>
      <c r="F2823">
        <v>49.9</v>
      </c>
      <c r="G2823"/>
      <c r="H2823">
        <v>100</v>
      </c>
      <c r="I2823" t="inlineStr">
        <is>
          <t>头发护理</t>
        </is>
      </c>
      <c r="J2823" t="inlineStr">
        <is>
          <t>0.00</t>
        </is>
      </c>
      <c r="K2823"/>
      <c r="L2823" t="inlineStr">
        <is>
          <t>周托尼发型设计的店</t>
        </is>
      </c>
      <c r="M2823">
        <v>103000</v>
      </c>
      <c r="N2823">
        <v>4.46</v>
      </c>
      <c r="O2823">
        <v>173000</v>
      </c>
      <c r="P2823" t="inlineStr">
        <is>
          <t>65910218c76db100011a2384</t>
        </is>
      </c>
      <c r="Q2823" t="inlineStr">
        <is>
          <t>🚫重复</t>
        </is>
      </c>
      <c r="R2823" t="inlineStr">
        <is>
          <t>14周</t>
        </is>
      </c>
      <c r="S2823" t="inlineStr">
        <is>
          <t>1.62</t>
        </is>
      </c>
      <c r="T2823" t="inlineStr">
        <is>
          <t>美妆个护</t>
        </is>
      </c>
      <c r="U2823" t="inlineStr">
        <is>
          <t>个人护理</t>
        </is>
      </c>
      <c r="V2823" s="3">
        <v>46112.78107638889</v>
      </c>
      <c r="W2823" t="inlineStr">
        <is>
          <t>2026-Q1</t>
        </is>
      </c>
    </row>
    <row r="2824" ht="25.5" customHeight="1">
      <c r="A2824" t="inlineStr">
        <is>
          <t>唯画 · 黑灵芝精华液白发、白色发头皮精华液养发液</t>
        </is>
      </c>
      <c r="B2824" t="inlineStr">
        <is>
          <t>recveyWM0og13g.jpg</t>
        </is>
      </c>
      <c r="C2824" s="2" t="str">
        <f>=HYPERLINK("https://xhslink.com/m/140CTks2zxt", "https://xhslink.com/m/140CTks2zxt")</f>
        <v>https://xhslink.com/m/140CTks2zxt</v>
      </c>
      <c r="D2824"/>
      <c r="E2824">
        <v>10000</v>
      </c>
      <c r="F2824">
        <v>75.9</v>
      </c>
      <c r="G2824"/>
      <c r="H2824">
        <v>100</v>
      </c>
      <c r="I2824" t="inlineStr">
        <is>
          <t>头发护理</t>
        </is>
      </c>
      <c r="J2824" t="inlineStr">
        <is>
          <t>0.01</t>
        </is>
      </c>
      <c r="K2824"/>
      <c r="L2824" t="inlineStr">
        <is>
          <t>爱古方的群子的店</t>
        </is>
      </c>
      <c r="M2824">
        <v>7957</v>
      </c>
      <c r="N2824">
        <v>4.54</v>
      </c>
      <c r="O2824">
        <v>21000</v>
      </c>
      <c r="P2824" t="inlineStr">
        <is>
          <t>66598820fc13120001e77163</t>
        </is>
      </c>
      <c r="Q2824"/>
      <c r="R2824" t="inlineStr">
        <is>
          <t>14周</t>
        </is>
      </c>
      <c r="S2824" t="inlineStr">
        <is>
          <t>1.26</t>
        </is>
      </c>
      <c r="T2824" t="inlineStr">
        <is>
          <t>美妆个护</t>
        </is>
      </c>
      <c r="U2824" t="inlineStr">
        <is>
          <t>护肤彩妆</t>
        </is>
      </c>
      <c r="V2824" s="3">
        <v>46112.78107638889</v>
      </c>
      <c r="W2824" t="inlineStr">
        <is>
          <t>2026-Q1</t>
        </is>
      </c>
    </row>
    <row r="2825" ht="25.5" customHeight="1">
      <c r="A2825" t="inlineStr">
        <is>
          <t>Spes · 【改善受损】多肽精华修护发膜柔顺改善干枯毛躁受损烫染保湿滋养</t>
        </is>
      </c>
      <c r="B2825" t="inlineStr">
        <is>
          <t>recveyWM0oYBi2.jpg</t>
        </is>
      </c>
      <c r="C2825" s="2" t="str">
        <f>=HYPERLINK("https://xhslink.com/m/AIJMJYDWSDb", "https://xhslink.com/m/AIJMJYDWSDb")</f>
        <v>https://xhslink.com/m/AIJMJYDWSDb</v>
      </c>
      <c r="D2825"/>
      <c r="E2825">
        <v>1662</v>
      </c>
      <c r="F2825">
        <v>99</v>
      </c>
      <c r="G2825">
        <v>94</v>
      </c>
      <c r="H2825">
        <v>100</v>
      </c>
      <c r="I2825" t="inlineStr">
        <is>
          <t>头发护理</t>
        </is>
      </c>
      <c r="J2825" t="inlineStr">
        <is>
          <t>0.06</t>
        </is>
      </c>
      <c r="K2825"/>
      <c r="L2825" t="inlineStr">
        <is>
          <t>Spes诗裴丝旗舰店</t>
        </is>
      </c>
      <c r="M2825">
        <v>51000</v>
      </c>
      <c r="N2825">
        <v>4.56</v>
      </c>
      <c r="O2825">
        <v>251000</v>
      </c>
      <c r="P2825" t="inlineStr">
        <is>
          <t>693133c483efdb0001393a16</t>
        </is>
      </c>
      <c r="Q2825" t="inlineStr">
        <is>
          <t>🚫重复</t>
        </is>
      </c>
      <c r="R2825" t="inlineStr">
        <is>
          <t>14周</t>
        </is>
      </c>
      <c r="S2825" t="inlineStr">
        <is>
          <t>0.03</t>
        </is>
      </c>
      <c r="T2825" t="inlineStr">
        <is>
          <t>美妆个护</t>
        </is>
      </c>
      <c r="U2825" t="inlineStr">
        <is>
          <t>个人护理</t>
        </is>
      </c>
      <c r="V2825" s="3">
        <v>46112.78107638889</v>
      </c>
      <c r="W2825" t="inlineStr">
        <is>
          <t>2026-Q1</t>
        </is>
      </c>
    </row>
    <row r="2826" ht="25.5" customHeight="1">
      <c r="A2826" t="inlineStr">
        <is>
          <t>MAXFINE · 韩系斜刘海胎毛刘海碎发整理膏防炸毛头发毛躁定型刘海平价学生党</t>
        </is>
      </c>
      <c r="B2826" t="inlineStr">
        <is>
          <t>recveyWM0omwCm.jpg</t>
        </is>
      </c>
      <c r="C2826" s="2" t="str">
        <f>=HYPERLINK("https://xhslink.com/m/5A58z8tIz14", "https://xhslink.com/m/5A58z8tIz14")</f>
        <v>https://xhslink.com/m/5A58z8tIz14</v>
      </c>
      <c r="D2826"/>
      <c r="E2826">
        <v>22000</v>
      </c>
      <c r="F2826">
        <v>7.9</v>
      </c>
      <c r="G2826"/>
      <c r="H2826">
        <v>100</v>
      </c>
      <c r="I2826" t="inlineStr">
        <is>
          <t>头发护理</t>
        </is>
      </c>
      <c r="J2826" t="inlineStr">
        <is>
          <t>0.00</t>
        </is>
      </c>
      <c r="K2826" t="inlineStr">
        <is>
          <t>🔥低粉爆款</t>
        </is>
      </c>
      <c r="L2826" t="inlineStr">
        <is>
          <t>养颜仕的店</t>
        </is>
      </c>
      <c r="M2826">
        <v>1237</v>
      </c>
      <c r="N2826">
        <v>4.51</v>
      </c>
      <c r="O2826">
        <v>225000</v>
      </c>
      <c r="P2826" t="inlineStr">
        <is>
          <t>67d7c15cf073650015856c0d</t>
        </is>
      </c>
      <c r="Q2826"/>
      <c r="R2826" t="inlineStr">
        <is>
          <t>14周</t>
        </is>
      </c>
      <c r="S2826" t="inlineStr">
        <is>
          <t>17.78</t>
        </is>
      </c>
      <c r="T2826" t="inlineStr">
        <is>
          <t>家居生活</t>
        </is>
      </c>
      <c r="U2826" t="inlineStr">
        <is>
          <t>家居日用</t>
        </is>
      </c>
      <c r="V2826" s="3">
        <v>46112.78107638889</v>
      </c>
      <c r="W2826" t="inlineStr">
        <is>
          <t>2026-Q1</t>
        </is>
      </c>
    </row>
    <row r="2827" ht="25.5" customHeight="1">
      <c r="A2827" t="inlineStr">
        <is>
          <t>UOSO · uoso舒柔净肤脱毛膏脱腋毛腿毛温和干净不留黑男女士学生脱毛神器</t>
        </is>
      </c>
      <c r="B2827" t="inlineStr">
        <is>
          <t>recveyWM0oFeeZ.jpg</t>
        </is>
      </c>
      <c r="C2827" s="2" t="str">
        <f>=HYPERLINK("https://xhslink.com/m/V0pzcDzUuC", "https://xhslink.com/m/V0pzcDzUuC")</f>
        <v>https://xhslink.com/m/V0pzcDzUuC</v>
      </c>
      <c r="D2827"/>
      <c r="E2827">
        <v>77000</v>
      </c>
      <c r="F2827">
        <v>68</v>
      </c>
      <c r="G2827"/>
      <c r="H2827">
        <v>100</v>
      </c>
      <c r="I2827" t="inlineStr">
        <is>
          <t>身体护理</t>
        </is>
      </c>
      <c r="J2827" t="inlineStr">
        <is>
          <t>0.00</t>
        </is>
      </c>
      <c r="K2827" t="inlineStr">
        <is>
          <t>🔥低粉爆款</t>
        </is>
      </c>
      <c r="L2827" t="inlineStr">
        <is>
          <t>UOSO旗舰店</t>
        </is>
      </c>
      <c r="M2827">
        <v>12000</v>
      </c>
      <c r="N2827">
        <v>4.38</v>
      </c>
      <c r="O2827">
        <v>207000</v>
      </c>
      <c r="P2827" t="inlineStr">
        <is>
          <t>65f90c5eb3a57a00011dc3ff</t>
        </is>
      </c>
      <c r="Q2827" t="inlineStr">
        <is>
          <t>🚫重复</t>
        </is>
      </c>
      <c r="R2827" t="inlineStr">
        <is>
          <t>14周</t>
        </is>
      </c>
      <c r="S2827" t="inlineStr">
        <is>
          <t>6.42</t>
        </is>
      </c>
      <c r="T2827" t="inlineStr">
        <is>
          <t>美妆个护</t>
        </is>
      </c>
      <c r="U2827" t="inlineStr">
        <is>
          <t>个人护理</t>
        </is>
      </c>
      <c r="V2827" s="3">
        <v>46112.78107638889</v>
      </c>
      <c r="W2827" t="inlineStr">
        <is>
          <t>2026-Q1</t>
        </is>
      </c>
    </row>
    <row r="2828" ht="25.5" customHeight="1">
      <c r="A2828" t="inlineStr">
        <is>
          <t>桌面杂物收纳盒零食整理盒玩具衣服家用宿舍衣柜储物箱杂物收纳箱</t>
        </is>
      </c>
      <c r="B2828" t="inlineStr">
        <is>
          <t>recveyWM0oM6Ag.jpg</t>
        </is>
      </c>
      <c r="C2828" s="2" t="str">
        <f>=HYPERLINK("https://xhslink.com/m/4F0guLkVZdG", "https://xhslink.com/m/4F0guLkVZdG")</f>
        <v>https://xhslink.com/m/4F0guLkVZdG</v>
      </c>
      <c r="D2828"/>
      <c r="E2828">
        <v>69000</v>
      </c>
      <c r="F2828">
        <v>35.6</v>
      </c>
      <c r="G2828">
        <v>19.5</v>
      </c>
      <c r="H2828">
        <v>100</v>
      </c>
      <c r="I2828" t="inlineStr">
        <is>
          <t>桌面收纳</t>
        </is>
      </c>
      <c r="J2828" t="inlineStr">
        <is>
          <t>0.00</t>
        </is>
      </c>
      <c r="K2828" t="inlineStr">
        <is>
          <t>🔥低粉爆款</t>
        </is>
      </c>
      <c r="L2828" t="inlineStr">
        <is>
          <t>郑红志的店</t>
        </is>
      </c>
      <c r="M2828">
        <v>18000</v>
      </c>
      <c r="N2828">
        <v>4.55</v>
      </c>
      <c r="O2828">
        <v>193000</v>
      </c>
      <c r="P2828" t="inlineStr">
        <is>
          <t>64da1dfd666695000128b209</t>
        </is>
      </c>
      <c r="Q2828" t="inlineStr">
        <is>
          <t>🚫重复</t>
        </is>
      </c>
      <c r="R2828" t="inlineStr">
        <is>
          <t>14周</t>
        </is>
      </c>
      <c r="S2828" t="inlineStr">
        <is>
          <t>3.83</t>
        </is>
      </c>
      <c r="T2828" t="inlineStr">
        <is>
          <t>家居生活</t>
        </is>
      </c>
      <c r="U2828" t="inlineStr">
        <is>
          <t>家居日用</t>
        </is>
      </c>
      <c r="V2828" s="3">
        <v>46112.78107638889</v>
      </c>
      <c r="W2828" t="inlineStr">
        <is>
          <t>2026-Q1</t>
        </is>
      </c>
    </row>
    <row r="2829" ht="25.5" customHeight="1">
      <c r="A2829" t="inlineStr">
        <is>
          <t>三丽鸥 · hellokitty库洛米杂物收纳盒桌面宿舍化妆品家用整理储物框</t>
        </is>
      </c>
      <c r="B2829" t="inlineStr">
        <is>
          <t>recveyWM0oFH7L.jpg</t>
        </is>
      </c>
      <c r="C2829" s="2" t="str">
        <f>=HYPERLINK("https://xhslink.com/m/2EjD4Yl7i13", "https://xhslink.com/m/2EjD4Yl7i13")</f>
        <v>https://xhslink.com/m/2EjD4Yl7i13</v>
      </c>
      <c r="D2829"/>
      <c r="E2829">
        <v>39000</v>
      </c>
      <c r="F2829">
        <v>9.9</v>
      </c>
      <c r="G2829"/>
      <c r="H2829">
        <v>100</v>
      </c>
      <c r="I2829" t="inlineStr">
        <is>
          <t>桌面收纳</t>
        </is>
      </c>
      <c r="J2829" t="inlineStr">
        <is>
          <t>0.00</t>
        </is>
      </c>
      <c r="K2829"/>
      <c r="L2829" t="inlineStr">
        <is>
          <t>Nanno Home的店</t>
        </is>
      </c>
      <c r="M2829">
        <v>24000</v>
      </c>
      <c r="N2829">
        <v>4.61</v>
      </c>
      <c r="O2829">
        <v>81000</v>
      </c>
      <c r="P2829" t="inlineStr">
        <is>
          <t>6525fedd949a240001d2eb68</t>
        </is>
      </c>
      <c r="Q2829"/>
      <c r="R2829" t="inlineStr">
        <is>
          <t>14周</t>
        </is>
      </c>
      <c r="S2829" t="inlineStr">
        <is>
          <t>1.62</t>
        </is>
      </c>
      <c r="T2829" t="inlineStr">
        <is>
          <t>家居生活</t>
        </is>
      </c>
      <c r="U2829" t="inlineStr">
        <is>
          <t>家居日用</t>
        </is>
      </c>
      <c r="V2829" s="3">
        <v>46112.78107638889</v>
      </c>
      <c r="W2829" t="inlineStr">
        <is>
          <t>2026-Q1</t>
        </is>
      </c>
    </row>
    <row r="2830" ht="25.5" customHeight="1">
      <c r="A2830" t="inlineStr">
        <is>
          <t>澳芙雪 · 【正品377】焕彩臻雪淡化暗沉提亮肤色熊果苷深层保湿补水面霜</t>
        </is>
      </c>
      <c r="B2830" t="inlineStr">
        <is>
          <t>recveyWM0oYIQQ.jpg</t>
        </is>
      </c>
      <c r="C2830" s="2" t="str">
        <f>=HYPERLINK("https://xhslink.com/m/6SCU5POZCnV", "https://xhslink.com/m/6SCU5POZCnV")</f>
        <v>https://xhslink.com/m/6SCU5POZCnV</v>
      </c>
      <c r="D2830"/>
      <c r="E2830">
        <v>9046</v>
      </c>
      <c r="F2830">
        <v>9.9</v>
      </c>
      <c r="G2830"/>
      <c r="H2830">
        <v>100</v>
      </c>
      <c r="I2830" t="inlineStr">
        <is>
          <t>实用好物</t>
        </is>
      </c>
      <c r="J2830" t="inlineStr">
        <is>
          <t>0.01</t>
        </is>
      </c>
      <c r="K2830"/>
      <c r="L2830" t="inlineStr">
        <is>
          <t>西阅护肤甄选的店</t>
        </is>
      </c>
      <c r="M2830">
        <v>4012</v>
      </c>
      <c r="N2830">
        <v>4.56</v>
      </c>
      <c r="O2830">
        <v>95000</v>
      </c>
      <c r="P2830" t="inlineStr">
        <is>
          <t>665d5641ad67270001612887</t>
        </is>
      </c>
      <c r="Q2830" t="inlineStr">
        <is>
          <t>🚫重复</t>
        </is>
      </c>
      <c r="R2830" t="inlineStr">
        <is>
          <t>14周</t>
        </is>
      </c>
      <c r="S2830" t="inlineStr">
        <is>
          <t>2.25</t>
        </is>
      </c>
      <c r="T2830" t="inlineStr">
        <is>
          <t>美妆个护</t>
        </is>
      </c>
      <c r="U2830" t="inlineStr">
        <is>
          <t>护肤彩妆</t>
        </is>
      </c>
      <c r="V2830" s="3">
        <v>46112.78107638889</v>
      </c>
      <c r="W2830" t="inlineStr">
        <is>
          <t>2026-Q1</t>
        </is>
      </c>
    </row>
    <row r="2831" ht="25.5" customHeight="1">
      <c r="A2831" t="inlineStr">
        <is>
          <t>新婚礼物送新人高级感实用送闺蜜餐具套装送新娘结婚礼盒订婚礼物</t>
        </is>
      </c>
      <c r="B2831" t="inlineStr">
        <is>
          <t>recveyWM0oABml.jpg</t>
        </is>
      </c>
      <c r="C2831" s="2" t="str">
        <f>=HYPERLINK("https://xhslink.com/m/8XXJHsn93el", "https://xhslink.com/m/8XXJHsn93el")</f>
        <v>https://xhslink.com/m/8XXJHsn93el</v>
      </c>
      <c r="D2831"/>
      <c r="E2831">
        <v>1462</v>
      </c>
      <c r="F2831">
        <v>165.9</v>
      </c>
      <c r="G2831"/>
      <c r="H2831">
        <v>100</v>
      </c>
      <c r="I2831" t="inlineStr">
        <is>
          <t>实用好物</t>
        </is>
      </c>
      <c r="J2831" t="inlineStr">
        <is>
          <t>0.07</t>
        </is>
      </c>
      <c r="K2831" t="inlineStr">
        <is>
          <t>🔥低粉爆款</t>
        </is>
      </c>
      <c r="L2831" t="inlineStr">
        <is>
          <t>爱分享的🍎的店</t>
        </is>
      </c>
      <c r="M2831">
        <v>249</v>
      </c>
      <c r="N2831">
        <v>4.54</v>
      </c>
      <c r="O2831">
        <v>3082</v>
      </c>
      <c r="P2831" t="inlineStr">
        <is>
          <t>694d3824806565000138c4a6</t>
        </is>
      </c>
      <c r="Q2831"/>
      <c r="R2831" t="inlineStr">
        <is>
          <t>14周</t>
        </is>
      </c>
      <c r="S2831" t="inlineStr">
        <is>
          <t>5.87</t>
        </is>
      </c>
      <c r="T2831" t="inlineStr">
        <is>
          <t>家居生活</t>
        </is>
      </c>
      <c r="U2831" t="inlineStr">
        <is>
          <t>厨房餐饮</t>
        </is>
      </c>
      <c r="V2831" s="3">
        <v>46112.78107638889</v>
      </c>
      <c r="W2831" t="inlineStr">
        <is>
          <t>2026-Q1</t>
        </is>
      </c>
    </row>
    <row r="2832" ht="25.5" customHeight="1">
      <c r="A2832" t="inlineStr">
        <is>
          <t>宫廷风彩妆化妆品收纳盒 生日礼物送女生闺蜜三色LED美妆镜首饰盒</t>
        </is>
      </c>
      <c r="B2832" t="inlineStr">
        <is>
          <t>recveyWM0oDqcC.jpg</t>
        </is>
      </c>
      <c r="C2832" s="2" t="str">
        <f>=HYPERLINK("https://xhslink.com/m/4wDj9QojJpu", "https://xhslink.com/m/4wDj9QojJpu")</f>
        <v>https://xhslink.com/m/4wDj9QojJpu</v>
      </c>
      <c r="D2832"/>
      <c r="E2832">
        <v>5587</v>
      </c>
      <c r="F2832">
        <v>150</v>
      </c>
      <c r="G2832">
        <v>120</v>
      </c>
      <c r="H2832">
        <v>100</v>
      </c>
      <c r="I2832" t="inlineStr">
        <is>
          <t>实用好物</t>
        </is>
      </c>
      <c r="J2832" t="inlineStr">
        <is>
          <t>0.02</t>
        </is>
      </c>
      <c r="K2832" t="inlineStr">
        <is>
          <t>🔥低粉爆款</t>
        </is>
      </c>
      <c r="L2832" t="inlineStr">
        <is>
          <t>一十岛INSDAO的店</t>
        </is>
      </c>
      <c r="M2832">
        <v>1799</v>
      </c>
      <c r="N2832">
        <v>4.61</v>
      </c>
      <c r="O2832">
        <v>5734</v>
      </c>
      <c r="P2832" t="inlineStr">
        <is>
          <t>68342c5fd9a0a40001e6d781</t>
        </is>
      </c>
      <c r="Q2832"/>
      <c r="R2832" t="inlineStr">
        <is>
          <t>14周</t>
        </is>
      </c>
      <c r="S2832" t="inlineStr">
        <is>
          <t>3.11</t>
        </is>
      </c>
      <c r="T2832" t="inlineStr">
        <is>
          <t>美妆个护</t>
        </is>
      </c>
      <c r="U2832" t="inlineStr">
        <is>
          <t>护肤彩妆</t>
        </is>
      </c>
      <c r="V2832" s="3">
        <v>46112.78107638889</v>
      </c>
      <c r="W2832" t="inlineStr">
        <is>
          <t>2026-Q1</t>
        </is>
      </c>
    </row>
    <row r="2833" ht="25.5" customHeight="1">
      <c r="A2833" t="inlineStr">
        <is>
          <t>收纳柜/小推车/ 护肤品化妆品收纳/ 零食收纳/ 360度旋转</t>
        </is>
      </c>
      <c r="B2833" t="inlineStr">
        <is>
          <t>recveyWM0obpnp.jpg</t>
        </is>
      </c>
      <c r="C2833" s="2" t="str">
        <f>=HYPERLINK("https://xhslink.com/m/9WmgNxYRX1i", "https://xhslink.com/m/9WmgNxYRX1i")</f>
        <v>https://xhslink.com/m/9WmgNxYRX1i</v>
      </c>
      <c r="D2833"/>
      <c r="E2833">
        <v>3596</v>
      </c>
      <c r="F2833">
        <v>225</v>
      </c>
      <c r="G2833">
        <v>195</v>
      </c>
      <c r="H2833">
        <v>100</v>
      </c>
      <c r="I2833" t="inlineStr">
        <is>
          <t>实用好物</t>
        </is>
      </c>
      <c r="J2833" t="inlineStr">
        <is>
          <t>0.03</t>
        </is>
      </c>
      <c r="K2833" t="inlineStr">
        <is>
          <t>🔥低粉爆款</t>
        </is>
      </c>
      <c r="L2833" t="inlineStr">
        <is>
          <t>Momo的家居好物的店</t>
        </is>
      </c>
      <c r="M2833">
        <v>597</v>
      </c>
      <c r="N2833">
        <v>4.55</v>
      </c>
      <c r="O2833">
        <v>11000</v>
      </c>
      <c r="P2833" t="inlineStr">
        <is>
          <t>67fcb28a1899f10001f7f159</t>
        </is>
      </c>
      <c r="Q2833" t="inlineStr">
        <is>
          <t>🚫重复</t>
        </is>
      </c>
      <c r="R2833" t="inlineStr">
        <is>
          <t>14周</t>
        </is>
      </c>
      <c r="S2833" t="inlineStr">
        <is>
          <t>6.02</t>
        </is>
      </c>
      <c r="T2833" t="inlineStr">
        <is>
          <t>美妆个护</t>
        </is>
      </c>
      <c r="U2833" t="inlineStr">
        <is>
          <t>护肤彩妆</t>
        </is>
      </c>
      <c r="V2833" s="3">
        <v>46112.78107638889</v>
      </c>
      <c r="W2833" t="inlineStr">
        <is>
          <t>2026-Q1</t>
        </is>
      </c>
    </row>
    <row r="2834" ht="25.5" customHeight="1">
      <c r="A2834" t="inlineStr">
        <is>
          <t>志高 · 【正品保证】送父母闺蜜肩颈椎腰背腿按摩器仪可试用！送运费险</t>
        </is>
      </c>
      <c r="B2834" t="inlineStr">
        <is>
          <t>recveyWM0onx3w.jpg</t>
        </is>
      </c>
      <c r="C2834" s="2" t="str">
        <f>=HYPERLINK("https://xhslink.com/m/7rZIRH5wuzr", "https://xhslink.com/m/7rZIRH5wuzr")</f>
        <v>https://xhslink.com/m/7rZIRH5wuzr</v>
      </c>
      <c r="D2834"/>
      <c r="E2834">
        <v>125000</v>
      </c>
      <c r="F2834">
        <v>199</v>
      </c>
      <c r="G2834">
        <v>109</v>
      </c>
      <c r="H2834">
        <v>100</v>
      </c>
      <c r="I2834" t="inlineStr">
        <is>
          <t>实用好物</t>
        </is>
      </c>
      <c r="J2834" t="inlineStr">
        <is>
          <t>0.00</t>
        </is>
      </c>
      <c r="K2834" t="inlineStr">
        <is>
          <t>🔥低粉爆款</t>
        </is>
      </c>
      <c r="L2834" t="inlineStr">
        <is>
          <t>贝贝bei的店</t>
        </is>
      </c>
      <c r="M2834">
        <v>7323</v>
      </c>
      <c r="N2834">
        <v>4.58</v>
      </c>
      <c r="O2834">
        <v>128000</v>
      </c>
      <c r="P2834" t="inlineStr">
        <is>
          <t>658d1ff79c77800001a69ea8</t>
        </is>
      </c>
      <c r="Q2834"/>
      <c r="R2834" t="inlineStr">
        <is>
          <t>14周</t>
        </is>
      </c>
      <c r="S2834" t="inlineStr">
        <is>
          <t>17.07</t>
        </is>
      </c>
      <c r="T2834" t="inlineStr">
        <is>
          <t>家居生活</t>
        </is>
      </c>
      <c r="U2834" t="inlineStr">
        <is>
          <t>家居日用</t>
        </is>
      </c>
      <c r="V2834" s="3">
        <v>46112.78107638889</v>
      </c>
      <c r="W2834" t="inlineStr">
        <is>
          <t>2026-Q1</t>
        </is>
      </c>
    </row>
    <row r="2835" ht="25.5" customHeight="1">
      <c r="A2835" t="inlineStr">
        <is>
          <t>高级感小众圣诞节香薰蜡烛礼盒生日礼物送朋友闺蜜伴手礼走心的</t>
        </is>
      </c>
      <c r="B2835" t="inlineStr">
        <is>
          <t>recveyWM0o5lrh.jpg</t>
        </is>
      </c>
      <c r="C2835" s="2" t="str">
        <f>=HYPERLINK("https://xhslink.com/m/2BNM9e3lX0I", "https://xhslink.com/m/2BNM9e3lX0I")</f>
        <v>https://xhslink.com/m/2BNM9e3lX0I</v>
      </c>
      <c r="D2835"/>
      <c r="E2835">
        <v>4061</v>
      </c>
      <c r="F2835">
        <v>29.8</v>
      </c>
      <c r="G2835">
        <v>23.22</v>
      </c>
      <c r="H2835">
        <v>100</v>
      </c>
      <c r="I2835" t="inlineStr">
        <is>
          <t>实用好物</t>
        </is>
      </c>
      <c r="J2835" t="inlineStr">
        <is>
          <t>0.02</t>
        </is>
      </c>
      <c r="K2835" t="inlineStr">
        <is>
          <t>🔥低粉爆款</t>
        </is>
      </c>
      <c r="L2835" t="inlineStr">
        <is>
          <t>屿见时光 Yujian Time的店</t>
        </is>
      </c>
      <c r="M2835">
        <v>668</v>
      </c>
      <c r="N2835">
        <v>4.9</v>
      </c>
      <c r="O2835">
        <v>7897</v>
      </c>
      <c r="P2835" t="inlineStr">
        <is>
          <t>68ef461dc192ac0001e0629d</t>
        </is>
      </c>
      <c r="Q2835"/>
      <c r="R2835" t="inlineStr">
        <is>
          <t>14周</t>
        </is>
      </c>
      <c r="S2835" t="inlineStr">
        <is>
          <t>6.08</t>
        </is>
      </c>
      <c r="T2835" t="inlineStr">
        <is>
          <t>家居生活</t>
        </is>
      </c>
      <c r="U2835" t="inlineStr">
        <is>
          <t>家居日用</t>
        </is>
      </c>
      <c r="V2835" s="3">
        <v>46112.78107638889</v>
      </c>
      <c r="W2835" t="inlineStr">
        <is>
          <t>2026-Q1</t>
        </is>
      </c>
    </row>
    <row r="2836" ht="25.5" customHeight="1">
      <c r="A2836" t="inlineStr">
        <is>
          <t>租房宿舍平价三四件套好看的新年床上用品可爱水洗棉被套推荐分享</t>
        </is>
      </c>
      <c r="B2836" t="inlineStr">
        <is>
          <t>recveyWM0oVzp6.jpg</t>
        </is>
      </c>
      <c r="C2836" s="2" t="str">
        <f>=HYPERLINK("https://xhslink.com/m/5soSHyMmoUF", "https://xhslink.com/m/5soSHyMmoUF")</f>
        <v>https://xhslink.com/m/5soSHyMmoUF</v>
      </c>
      <c r="D2836"/>
      <c r="E2836">
        <v>10000</v>
      </c>
      <c r="F2836">
        <v>89</v>
      </c>
      <c r="G2836">
        <v>69</v>
      </c>
      <c r="H2836">
        <v>100</v>
      </c>
      <c r="I2836" t="inlineStr">
        <is>
          <t>实用好物</t>
        </is>
      </c>
      <c r="J2836" t="inlineStr">
        <is>
          <t>0.01</t>
        </is>
      </c>
      <c r="K2836"/>
      <c r="L2836" t="inlineStr">
        <is>
          <t>甜梦小筑的店</t>
        </is>
      </c>
      <c r="M2836">
        <v>8818</v>
      </c>
      <c r="N2836">
        <v>4.61</v>
      </c>
      <c r="O2836">
        <v>26000</v>
      </c>
      <c r="P2836" t="inlineStr">
        <is>
          <t>68870549e08d4d00017d0dc3</t>
        </is>
      </c>
      <c r="Q2836"/>
      <c r="R2836" t="inlineStr">
        <is>
          <t>14周</t>
        </is>
      </c>
      <c r="S2836" t="inlineStr">
        <is>
          <t>1.13</t>
        </is>
      </c>
      <c r="T2836" t="inlineStr">
        <is>
          <t>家居生活</t>
        </is>
      </c>
      <c r="U2836" t="inlineStr">
        <is>
          <t>家居日用</t>
        </is>
      </c>
      <c r="V2836" s="3">
        <v>46112.78107638889</v>
      </c>
      <c r="W2836" t="inlineStr">
        <is>
          <t>2026-Q1</t>
        </is>
      </c>
    </row>
    <row r="2837" ht="25.5" customHeight="1">
      <c r="A2837" t="inlineStr">
        <is>
          <t>【原创】主动学习游戏本 | 学生自驱力作业本 | 自主学习不拖拉</t>
        </is>
      </c>
      <c r="B2837" t="inlineStr">
        <is>
          <t>recveyWM0oOnar.jpg</t>
        </is>
      </c>
      <c r="C2837" s="2" t="str">
        <f>=HYPERLINK("https://xhslink.com/m/4vfUochkfoj", "https://xhslink.com/m/4vfUochkfoj")</f>
        <v>https://xhslink.com/m/4vfUochkfoj</v>
      </c>
      <c r="D2837"/>
      <c r="E2837">
        <v>11000</v>
      </c>
      <c r="F2837">
        <v>29.9</v>
      </c>
      <c r="G2837">
        <v>23.9</v>
      </c>
      <c r="H2837">
        <v>100</v>
      </c>
      <c r="I2837" t="inlineStr">
        <is>
          <t>实用好物</t>
        </is>
      </c>
      <c r="J2837" t="inlineStr">
        <is>
          <t>0.01</t>
        </is>
      </c>
      <c r="K2837" t="inlineStr">
        <is>
          <t>🔥低粉爆款</t>
        </is>
      </c>
      <c r="L2837" t="inlineStr">
        <is>
          <t>一颗学习橙的店</t>
        </is>
      </c>
      <c r="M2837">
        <v>1980</v>
      </c>
      <c r="N2837">
        <v>4.67</v>
      </c>
      <c r="O2837">
        <v>13000</v>
      </c>
      <c r="P2837" t="inlineStr">
        <is>
          <t>696f34933067f40001606fbc</t>
        </is>
      </c>
      <c r="Q2837"/>
      <c r="R2837" t="inlineStr">
        <is>
          <t>14周</t>
        </is>
      </c>
      <c r="S2837" t="inlineStr">
        <is>
          <t>5.56</t>
        </is>
      </c>
      <c r="T2837" t="inlineStr">
        <is>
          <t>家居生活</t>
        </is>
      </c>
      <c r="U2837" t="inlineStr">
        <is>
          <t>家居日用</t>
        </is>
      </c>
      <c r="V2837" s="3">
        <v>46112.78107638889</v>
      </c>
      <c r="W2837" t="inlineStr">
        <is>
          <t>2026-Q1</t>
        </is>
      </c>
    </row>
    <row r="2838" ht="25.5" customHeight="1">
      <c r="A2838" t="inlineStr">
        <is>
          <t>小推车置物架抽屉式收纳零食化妆品宿舍家用落地可移动卫生间储物</t>
        </is>
      </c>
      <c r="B2838" t="inlineStr">
        <is>
          <t>recveyWM0o0EXe.jpg</t>
        </is>
      </c>
      <c r="C2838" s="2" t="str">
        <f>=HYPERLINK("https://xhslink.com/m/9206f01ifVf", "https://xhslink.com/m/9206f01ifVf")</f>
        <v>https://xhslink.com/m/9206f01ifVf</v>
      </c>
      <c r="D2838"/>
      <c r="E2838">
        <v>24000</v>
      </c>
      <c r="F2838">
        <v>72.9</v>
      </c>
      <c r="G2838">
        <v>31.9</v>
      </c>
      <c r="H2838">
        <v>100</v>
      </c>
      <c r="I2838" t="inlineStr">
        <is>
          <t>实用好物</t>
        </is>
      </c>
      <c r="J2838" t="inlineStr">
        <is>
          <t>0.00</t>
        </is>
      </c>
      <c r="K2838" t="inlineStr">
        <is>
          <t>🔥低粉爆款</t>
        </is>
      </c>
      <c r="L2838" t="inlineStr">
        <is>
          <t>辉亦家居的店</t>
        </is>
      </c>
      <c r="M2838">
        <v>717</v>
      </c>
      <c r="N2838">
        <v>4.59</v>
      </c>
      <c r="O2838">
        <v>26000</v>
      </c>
      <c r="P2838" t="inlineStr">
        <is>
          <t>68469a6f8a6cef0001813c90</t>
        </is>
      </c>
      <c r="Q2838"/>
      <c r="R2838" t="inlineStr">
        <is>
          <t>14周</t>
        </is>
      </c>
      <c r="S2838" t="inlineStr">
        <is>
          <t>33.47</t>
        </is>
      </c>
      <c r="T2838" t="inlineStr">
        <is>
          <t>家居生活</t>
        </is>
      </c>
      <c r="U2838" t="inlineStr">
        <is>
          <t>家居日用</t>
        </is>
      </c>
      <c r="V2838" s="3">
        <v>46112.78107638889</v>
      </c>
      <c r="W2838" t="inlineStr">
        <is>
          <t>2026-Q1</t>
        </is>
      </c>
    </row>
    <row r="2839" ht="25.5" customHeight="1">
      <c r="A2839" t="inlineStr">
        <is>
          <t>尔木萄AMORTALS · 【面包系列新品】TUNEE GOODS面包系列粉扑家族套盒</t>
        </is>
      </c>
      <c r="B2839" t="inlineStr">
        <is>
          <t>recveyWM0oRIss.jpg</t>
        </is>
      </c>
      <c r="C2839" s="2" t="str">
        <f>=HYPERLINK("https://xhslink.com/m/4LL9UjGRE1r", "https://xhslink.com/m/4LL9UjGRE1r")</f>
        <v>https://xhslink.com/m/4LL9UjGRE1r</v>
      </c>
      <c r="D2839"/>
      <c r="E2839">
        <v>34000</v>
      </c>
      <c r="F2839">
        <v>109.9</v>
      </c>
      <c r="G2839">
        <v>89.9</v>
      </c>
      <c r="H2839">
        <v>100</v>
      </c>
      <c r="I2839" t="inlineStr">
        <is>
          <t>实用好物</t>
        </is>
      </c>
      <c r="J2839" t="inlineStr">
        <is>
          <t>0.00</t>
        </is>
      </c>
      <c r="K2839"/>
      <c r="L2839" t="inlineStr">
        <is>
          <t>AMORTALS尔木萄旗舰店</t>
        </is>
      </c>
      <c r="M2839">
        <v>389000</v>
      </c>
      <c r="N2839">
        <v>4.68</v>
      </c>
      <c r="O2839">
        <v>1917000</v>
      </c>
      <c r="P2839" t="inlineStr">
        <is>
          <t>67d275cbe15c91000108142b</t>
        </is>
      </c>
      <c r="Q2839" t="inlineStr">
        <is>
          <t>🚫重复</t>
        </is>
      </c>
      <c r="R2839" t="inlineStr">
        <is>
          <t>14周</t>
        </is>
      </c>
      <c r="S2839" t="inlineStr">
        <is>
          <t>0.09</t>
        </is>
      </c>
      <c r="T2839" t="inlineStr">
        <is>
          <t>美食滋补</t>
        </is>
      </c>
      <c r="U2839" t="inlineStr">
        <is>
          <t>休闲零食</t>
        </is>
      </c>
      <c r="V2839" s="3">
        <v>46112.78107638889</v>
      </c>
      <c r="W2839" t="inlineStr">
        <is>
          <t>2026-Q1</t>
        </is>
      </c>
    </row>
    <row r="2840" ht="25.5" customHeight="1">
      <c r="A2840" t="inlineStr">
        <is>
          <t>妙味哥 · 肥汁肉酱鲜汤河粉方便速食早晚餐宿舍代餐免煮泡面</t>
        </is>
      </c>
      <c r="B2840" t="inlineStr">
        <is>
          <t>recveyWM0oySvE.jpg</t>
        </is>
      </c>
      <c r="C2840" s="2" t="str">
        <f>=HYPERLINK("https://xhslink.com/m/7UPoe4ggqvV", "https://xhslink.com/m/7UPoe4ggqvV")</f>
        <v>https://xhslink.com/m/7UPoe4ggqvV</v>
      </c>
      <c r="D2840"/>
      <c r="E2840">
        <v>58000</v>
      </c>
      <c r="F2840">
        <v>42.9</v>
      </c>
      <c r="G2840">
        <v>28.9</v>
      </c>
      <c r="H2840">
        <v>100</v>
      </c>
      <c r="I2840" t="inlineStr">
        <is>
          <t>零食</t>
        </is>
      </c>
      <c r="J2840" t="inlineStr">
        <is>
          <t>0.00</t>
        </is>
      </c>
      <c r="K2840"/>
      <c r="L2840" t="inlineStr">
        <is>
          <t>妙味哥旗舰店</t>
        </is>
      </c>
      <c r="M2840">
        <v>109000</v>
      </c>
      <c r="N2840">
        <v>3.84</v>
      </c>
      <c r="O2840">
        <v>371000</v>
      </c>
      <c r="P2840" t="inlineStr">
        <is>
          <t>687f4319eab79300018663e3</t>
        </is>
      </c>
      <c r="Q2840" t="inlineStr">
        <is>
          <t>🚫重复</t>
        </is>
      </c>
      <c r="R2840" t="inlineStr">
        <is>
          <t>14周</t>
        </is>
      </c>
      <c r="S2840" t="inlineStr">
        <is>
          <t>0.53</t>
        </is>
      </c>
      <c r="T2840" t="inlineStr">
        <is>
          <t>美食滋补</t>
        </is>
      </c>
      <c r="U2840" t="inlineStr">
        <is>
          <t>休闲零食</t>
        </is>
      </c>
      <c r="V2840" s="3">
        <v>46112.78107638889</v>
      </c>
      <c r="W2840" t="inlineStr">
        <is>
          <t>2026-Q1</t>
        </is>
      </c>
    </row>
    <row r="2841" ht="25.5" customHeight="1">
      <c r="A2841" t="inlineStr">
        <is>
          <t>周三的情书 天气：小雨 · 全麦面包森林蔬菜吐司 低脂轻卡0蔗糖添加代餐早餐面包整箱 7口味</t>
        </is>
      </c>
      <c r="B2841" t="inlineStr">
        <is>
          <t>recveyWM0o2cpS.jpg</t>
        </is>
      </c>
      <c r="C2841" s="2" t="str">
        <f>=HYPERLINK("https://xhslink.com/m/3KgZdPHG5Lk", "https://xhslink.com/m/3KgZdPHG5Lk")</f>
        <v>https://xhslink.com/m/3KgZdPHG5Lk</v>
      </c>
      <c r="D2841"/>
      <c r="E2841">
        <v>38000</v>
      </c>
      <c r="F2841">
        <v>28.9</v>
      </c>
      <c r="G2841">
        <v>18.9</v>
      </c>
      <c r="H2841">
        <v>100</v>
      </c>
      <c r="I2841" t="inlineStr">
        <is>
          <t>零食</t>
        </is>
      </c>
      <c r="J2841" t="inlineStr">
        <is>
          <t>0.00</t>
        </is>
      </c>
      <c r="K2841"/>
      <c r="L2841" t="inlineStr">
        <is>
          <t>周三的情书 天气：小雨旗舰店</t>
        </is>
      </c>
      <c r="M2841">
        <v>27000</v>
      </c>
      <c r="N2841">
        <v>3.95</v>
      </c>
      <c r="O2841">
        <v>422000</v>
      </c>
      <c r="P2841" t="inlineStr">
        <is>
          <t>66d7bd55478d7300016c9e88</t>
        </is>
      </c>
      <c r="Q2841" t="inlineStr">
        <is>
          <t>🚫重复</t>
        </is>
      </c>
      <c r="R2841" t="inlineStr">
        <is>
          <t>14周</t>
        </is>
      </c>
      <c r="S2841" t="inlineStr">
        <is>
          <t>1.41</t>
        </is>
      </c>
      <c r="T2841" t="inlineStr">
        <is>
          <t>美食滋补</t>
        </is>
      </c>
      <c r="U2841" t="inlineStr">
        <is>
          <t>休闲零食</t>
        </is>
      </c>
      <c r="V2841" s="3">
        <v>46112.78107638889</v>
      </c>
      <c r="W2841" t="inlineStr">
        <is>
          <t>2026-Q1</t>
        </is>
      </c>
    </row>
    <row r="2842" ht="25.5" customHeight="1">
      <c r="A2842" t="inlineStr">
        <is>
          <t>ins随手外带咖啡杯牛奶小狗透明玻璃杯可微波炉加厚高硼硅耐热水</t>
        </is>
      </c>
      <c r="B2842" t="inlineStr">
        <is>
          <t>recveyWM0opKxY.jpg</t>
        </is>
      </c>
      <c r="C2842" s="2" t="str">
        <f>=HYPERLINK("https://xhslink.com/m/34xjoEEMKy4", "https://xhslink.com/m/34xjoEEMKy4")</f>
        <v>https://xhslink.com/m/34xjoEEMKy4</v>
      </c>
      <c r="D2842"/>
      <c r="E2842">
        <v>3520</v>
      </c>
      <c r="F2842">
        <v>46.8</v>
      </c>
      <c r="G2842">
        <v>39</v>
      </c>
      <c r="H2842">
        <v>100</v>
      </c>
      <c r="I2842" t="inlineStr">
        <is>
          <t>杯子</t>
        </is>
      </c>
      <c r="J2842" t="inlineStr">
        <is>
          <t>0.03</t>
        </is>
      </c>
      <c r="K2842"/>
      <c r="L2842" t="inlineStr">
        <is>
          <t>小李猪猪hov的店</t>
        </is>
      </c>
      <c r="M2842">
        <v>1248</v>
      </c>
      <c r="N2842">
        <v>4.51</v>
      </c>
      <c r="O2842">
        <v>4479</v>
      </c>
      <c r="P2842" t="inlineStr">
        <is>
          <t>69520bac96a9fa0001b09b5e</t>
        </is>
      </c>
      <c r="Q2842"/>
      <c r="R2842" t="inlineStr">
        <is>
          <t>14周</t>
        </is>
      </c>
      <c r="S2842" t="inlineStr">
        <is>
          <t>2.82</t>
        </is>
      </c>
      <c r="T2842" t="inlineStr">
        <is>
          <t>家居生活</t>
        </is>
      </c>
      <c r="U2842" t="inlineStr">
        <is>
          <t>厨房餐饮</t>
        </is>
      </c>
      <c r="V2842" s="3">
        <v>46112.78107638889</v>
      </c>
      <c r="W2842" t="inlineStr">
        <is>
          <t>2026-Q1</t>
        </is>
      </c>
    </row>
    <row r="2843" ht="25.5" customHeight="1">
      <c r="A2843" t="inlineStr">
        <is>
          <t>【24点前限时9.8】冷萃杯·咖啡杯冷藏微波加热便携式耐高温中药杯</t>
        </is>
      </c>
      <c r="B2843" t="inlineStr">
        <is>
          <t>recveyWM0ozMXp.jpg</t>
        </is>
      </c>
      <c r="C2843" s="2" t="str">
        <f>=HYPERLINK("https://xhslink.com/m/8mTcLS2aWfd", "https://xhslink.com/m/8mTcLS2aWfd")</f>
        <v>https://xhslink.com/m/8mTcLS2aWfd</v>
      </c>
      <c r="D2843"/>
      <c r="E2843">
        <v>27000</v>
      </c>
      <c r="F2843">
        <v>11.8</v>
      </c>
      <c r="G2843">
        <v>9.8</v>
      </c>
      <c r="H2843">
        <v>100</v>
      </c>
      <c r="I2843" t="inlineStr">
        <is>
          <t>杯子</t>
        </is>
      </c>
      <c r="J2843" t="inlineStr">
        <is>
          <t>0.00</t>
        </is>
      </c>
      <c r="K2843" t="inlineStr">
        <is>
          <t>🔥低粉爆款</t>
        </is>
      </c>
      <c r="L2843" t="inlineStr">
        <is>
          <t>小兔不嘻嘻的店</t>
        </is>
      </c>
      <c r="M2843">
        <v>744</v>
      </c>
      <c r="N2843">
        <v>4.61</v>
      </c>
      <c r="O2843">
        <v>29000</v>
      </c>
      <c r="P2843" t="inlineStr">
        <is>
          <t>683e884de0db0d0015147dc5</t>
        </is>
      </c>
      <c r="Q2843"/>
      <c r="R2843" t="inlineStr">
        <is>
          <t>14周</t>
        </is>
      </c>
      <c r="S2843" t="inlineStr">
        <is>
          <t>36.29</t>
        </is>
      </c>
      <c r="T2843" t="inlineStr">
        <is>
          <t>家居生活</t>
        </is>
      </c>
      <c r="U2843" t="inlineStr">
        <is>
          <t>厨房餐饮</t>
        </is>
      </c>
      <c r="V2843" s="3">
        <v>46112.78107638889</v>
      </c>
      <c r="W2843" t="inlineStr">
        <is>
          <t>2026-Q1</t>
        </is>
      </c>
    </row>
    <row r="2844" ht="25.5" customHeight="1">
      <c r="A2844" t="inlineStr">
        <is>
          <t>瑞雪苹果青苹果 胭脂瑞雪苹果  国审新品种  中通JD快递</t>
        </is>
      </c>
      <c r="B2844" t="inlineStr">
        <is>
          <t>recveyWM0opOGC.jpg</t>
        </is>
      </c>
      <c r="C2844" s="2" t="str">
        <f>=HYPERLINK("https://xhslink.com/m/1YocafKNrFC", "https://xhslink.com/m/1YocafKNrFC")</f>
        <v>https://xhslink.com/m/1YocafKNrFC</v>
      </c>
      <c r="D2844"/>
      <c r="E2844">
        <v>9008</v>
      </c>
      <c r="F2844">
        <v>49.9</v>
      </c>
      <c r="G2844"/>
      <c r="H2844">
        <v>100</v>
      </c>
      <c r="I2844" t="inlineStr">
        <is>
          <t>水果</t>
        </is>
      </c>
      <c r="J2844" t="inlineStr">
        <is>
          <t>0.01</t>
        </is>
      </c>
      <c r="K2844" t="inlineStr">
        <is>
          <t>🔥低粉爆款</t>
        </is>
      </c>
      <c r="L2844" t="inlineStr">
        <is>
          <t>源味十二季S-CLUB的店</t>
        </is>
      </c>
      <c r="M2844">
        <v>117</v>
      </c>
      <c r="N2844">
        <v>4.58</v>
      </c>
      <c r="O2844">
        <v>9291</v>
      </c>
      <c r="P2844" t="inlineStr">
        <is>
          <t>696ef46bf7c59e0001ceb2b3</t>
        </is>
      </c>
      <c r="Q2844"/>
      <c r="R2844" t="inlineStr">
        <is>
          <t>14周</t>
        </is>
      </c>
      <c r="S2844" t="inlineStr">
        <is>
          <t>76.99</t>
        </is>
      </c>
      <c r="T2844" t="inlineStr">
        <is>
          <t>美食滋补</t>
        </is>
      </c>
      <c r="U2844" t="inlineStr">
        <is>
          <t>生鲜特产</t>
        </is>
      </c>
      <c r="V2844" s="3">
        <v>46112.78107638889</v>
      </c>
      <c r="W2844" t="inlineStr">
        <is>
          <t>2026-Q1</t>
        </is>
      </c>
    </row>
    <row r="2845" ht="25.5" customHeight="1">
      <c r="A2845" t="inlineStr">
        <is>
          <t>正宗陕西红富士苹果脆甜多汁级品不打蜡带皮吃新鲜当季产地直发</t>
        </is>
      </c>
      <c r="B2845" t="inlineStr">
        <is>
          <t>recveyWM0oWNUT.jpg</t>
        </is>
      </c>
      <c r="C2845" s="2" t="str">
        <f>=HYPERLINK("https://xhslink.com/m/AUnybl2h0ty", "https://xhslink.com/m/AUnybl2h0ty")</f>
        <v>https://xhslink.com/m/AUnybl2h0ty</v>
      </c>
      <c r="D2845"/>
      <c r="E2845">
        <v>913</v>
      </c>
      <c r="F2845">
        <v>56.8</v>
      </c>
      <c r="G2845">
        <v>34.8</v>
      </c>
      <c r="H2845">
        <v>100</v>
      </c>
      <c r="I2845" t="inlineStr">
        <is>
          <t>水果</t>
        </is>
      </c>
      <c r="J2845" t="inlineStr">
        <is>
          <t>0.11</t>
        </is>
      </c>
      <c r="K2845" t="inlineStr">
        <is>
          <t>🔥低粉爆款</t>
        </is>
      </c>
      <c r="L2845" t="inlineStr">
        <is>
          <t>壹家水果店🎀的店</t>
        </is>
      </c>
      <c r="M2845">
        <v>94</v>
      </c>
      <c r="N2845">
        <v>4.44</v>
      </c>
      <c r="O2845">
        <v>1044</v>
      </c>
      <c r="P2845" t="inlineStr">
        <is>
          <t>69aa4c1aac2e190001ce8ec5</t>
        </is>
      </c>
      <c r="Q2845"/>
      <c r="R2845" t="inlineStr">
        <is>
          <t>14周</t>
        </is>
      </c>
      <c r="S2845" t="inlineStr">
        <is>
          <t>9.71</t>
        </is>
      </c>
      <c r="T2845" t="inlineStr">
        <is>
          <t>美食滋补</t>
        </is>
      </c>
      <c r="U2845" t="inlineStr">
        <is>
          <t>生鲜特产</t>
        </is>
      </c>
      <c r="V2845" s="3">
        <v>46112.78107638889</v>
      </c>
      <c r="W2845" t="inlineStr">
        <is>
          <t>2026-Q1</t>
        </is>
      </c>
    </row>
    <row r="2846" ht="25.5" customHeight="1">
      <c r="A2846" t="inlineStr">
        <is>
          <t>太牛的奶希腊酸奶 干噎乐扣盒子（净含量300克）</t>
        </is>
      </c>
      <c r="B2846" t="inlineStr">
        <is>
          <t>recveyWM0oKjew.jpg</t>
        </is>
      </c>
      <c r="C2846" s="2" t="str">
        <f>=HYPERLINK("https://xhslink.com/m/FOBGcLEgOJ", "https://xhslink.com/m/FOBGcLEgOJ")</f>
        <v>https://xhslink.com/m/FOBGcLEgOJ</v>
      </c>
      <c r="D2846"/>
      <c r="E2846">
        <v>66000</v>
      </c>
      <c r="F2846">
        <v>42</v>
      </c>
      <c r="G2846">
        <v>32</v>
      </c>
      <c r="H2846">
        <v>100</v>
      </c>
      <c r="I2846" t="inlineStr">
        <is>
          <t>酸奶</t>
        </is>
      </c>
      <c r="J2846" t="inlineStr">
        <is>
          <t>0.00</t>
        </is>
      </c>
      <c r="K2846"/>
      <c r="L2846" t="inlineStr">
        <is>
          <t>太牛的奶的店</t>
        </is>
      </c>
      <c r="M2846">
        <v>45000</v>
      </c>
      <c r="N2846">
        <v>4.49</v>
      </c>
      <c r="O2846">
        <v>115000</v>
      </c>
      <c r="P2846" t="inlineStr">
        <is>
          <t>692fb70e9562430001a6fa82</t>
        </is>
      </c>
      <c r="Q2846" t="inlineStr">
        <is>
          <t>🚫重复</t>
        </is>
      </c>
      <c r="R2846" t="inlineStr">
        <is>
          <t>14周</t>
        </is>
      </c>
      <c r="S2846" t="inlineStr">
        <is>
          <t>1.47</t>
        </is>
      </c>
      <c r="T2846" t="inlineStr">
        <is>
          <t>美食滋补</t>
        </is>
      </c>
      <c r="U2846" t="inlineStr">
        <is>
          <t>酒水冲饮</t>
        </is>
      </c>
      <c r="V2846" s="3">
        <v>46112.78107638889</v>
      </c>
      <c r="W2846" t="inlineStr">
        <is>
          <t>2026-Q1</t>
        </is>
      </c>
    </row>
    <row r="2847" ht="25.5" customHeight="1">
      <c r="A2847" t="inlineStr">
        <is>
          <t>【董饱饱手作馄饨】60任选5盒加购自动改价手作早餐</t>
        </is>
      </c>
      <c r="B2847" t="inlineStr">
        <is>
          <t>recveyWM0oQbLU.jpg</t>
        </is>
      </c>
      <c r="C2847" s="2" t="str">
        <f>=HYPERLINK("https://xhslink.com/m/2nPd0B2W7UO", "https://xhslink.com/m/2nPd0B2W7UO")</f>
        <v>https://xhslink.com/m/2nPd0B2W7UO</v>
      </c>
      <c r="D2847"/>
      <c r="E2847">
        <v>23000</v>
      </c>
      <c r="F2847">
        <v>30</v>
      </c>
      <c r="G2847"/>
      <c r="H2847">
        <v>100</v>
      </c>
      <c r="I2847" t="inlineStr">
        <is>
          <t>早餐</t>
        </is>
      </c>
      <c r="J2847" t="inlineStr">
        <is>
          <t>0.00</t>
        </is>
      </c>
      <c r="K2847"/>
      <c r="L2847" t="inlineStr">
        <is>
          <t>董饱饱手作工坊的店</t>
        </is>
      </c>
      <c r="M2847">
        <v>54000</v>
      </c>
      <c r="N2847">
        <v>4.65</v>
      </c>
      <c r="O2847">
        <v>929000</v>
      </c>
      <c r="P2847" t="inlineStr">
        <is>
          <t>691bdebc6ea74e000199eaae</t>
        </is>
      </c>
      <c r="Q2847" t="inlineStr">
        <is>
          <t>🚫重复</t>
        </is>
      </c>
      <c r="R2847" t="inlineStr">
        <is>
          <t>14周</t>
        </is>
      </c>
      <c r="S2847" t="inlineStr">
        <is>
          <t>0.43</t>
        </is>
      </c>
      <c r="T2847" t="inlineStr">
        <is>
          <t>美食滋补</t>
        </is>
      </c>
      <c r="U2847" t="inlineStr">
        <is>
          <t>休闲零食</t>
        </is>
      </c>
      <c r="V2847" s="3">
        <v>46112.78107638889</v>
      </c>
      <c r="W2847" t="inlineStr">
        <is>
          <t>2026-Q1</t>
        </is>
      </c>
    </row>
    <row r="2848" ht="25.5" customHeight="1">
      <c r="A2848" t="inlineStr">
        <is>
          <t>合满忆 · 老面包子顺丰发货现包现发手工早餐小笼包速食速冻方便早餐</t>
        </is>
      </c>
      <c r="B2848" t="inlineStr">
        <is>
          <t>recveyWM0otXmY.jpg</t>
        </is>
      </c>
      <c r="C2848" s="2" t="str">
        <f>=HYPERLINK("https://xhslink.com/m/61hM0EzsqOK", "https://xhslink.com/m/61hM0EzsqOK")</f>
        <v>https://xhslink.com/m/61hM0EzsqOK</v>
      </c>
      <c r="D2848"/>
      <c r="E2848">
        <v>46000</v>
      </c>
      <c r="F2848">
        <v>31.9</v>
      </c>
      <c r="G2848">
        <v>21.9</v>
      </c>
      <c r="H2848">
        <v>100</v>
      </c>
      <c r="I2848" t="inlineStr">
        <is>
          <t>早餐</t>
        </is>
      </c>
      <c r="J2848" t="inlineStr">
        <is>
          <t>0.00</t>
        </is>
      </c>
      <c r="K2848" t="inlineStr">
        <is>
          <t>🔥低粉爆款</t>
        </is>
      </c>
      <c r="L2848" t="inlineStr">
        <is>
          <t>合满忆老面包子的店</t>
        </is>
      </c>
      <c r="M2848">
        <v>8499</v>
      </c>
      <c r="N2848">
        <v>4.53</v>
      </c>
      <c r="O2848">
        <v>54000</v>
      </c>
      <c r="P2848" t="inlineStr">
        <is>
          <t>66852d0b26b4b600013a32ea</t>
        </is>
      </c>
      <c r="Q2848"/>
      <c r="R2848" t="inlineStr">
        <is>
          <t>14周</t>
        </is>
      </c>
      <c r="S2848" t="inlineStr">
        <is>
          <t>5.41</t>
        </is>
      </c>
      <c r="T2848" t="inlineStr">
        <is>
          <t>美食滋补</t>
        </is>
      </c>
      <c r="U2848" t="inlineStr">
        <is>
          <t>休闲零食</t>
        </is>
      </c>
      <c r="V2848" s="3">
        <v>46112.78107638889</v>
      </c>
      <c r="W2848" t="inlineStr">
        <is>
          <t>2026-Q1</t>
        </is>
      </c>
    </row>
    <row r="2849" ht="25.5" customHeight="1">
      <c r="A2849" t="inlineStr">
        <is>
          <t>笼蛮蛮Longmanman・鲜嫩豆腐 手作建德特色豆腐包 纯素半成品早餐</t>
        </is>
      </c>
      <c r="B2849" t="inlineStr">
        <is>
          <t>recveyWM0o2fUf.jpg</t>
        </is>
      </c>
      <c r="C2849" s="2" t="str">
        <f>=HYPERLINK("https://xhslink.com/m/1dpU7UdlowN", "https://xhslink.com/m/1dpU7UdlowN")</f>
        <v>https://xhslink.com/m/1dpU7UdlowN</v>
      </c>
      <c r="D2849"/>
      <c r="E2849">
        <v>5213</v>
      </c>
      <c r="F2849">
        <v>32.9</v>
      </c>
      <c r="G2849">
        <v>22.9</v>
      </c>
      <c r="H2849">
        <v>100</v>
      </c>
      <c r="I2849" t="inlineStr">
        <is>
          <t>早餐</t>
        </is>
      </c>
      <c r="J2849" t="inlineStr">
        <is>
          <t>0.02</t>
        </is>
      </c>
      <c r="K2849"/>
      <c r="L2849" t="inlineStr">
        <is>
          <t>笼蛮蛮的店</t>
        </is>
      </c>
      <c r="M2849">
        <v>2056</v>
      </c>
      <c r="N2849">
        <v>4.65</v>
      </c>
      <c r="O2849">
        <v>12000</v>
      </c>
      <c r="P2849" t="inlineStr">
        <is>
          <t>65372a17c1859000013e85de</t>
        </is>
      </c>
      <c r="Q2849"/>
      <c r="R2849" t="inlineStr">
        <is>
          <t>14周</t>
        </is>
      </c>
      <c r="S2849" t="inlineStr">
        <is>
          <t>2.54</t>
        </is>
      </c>
      <c r="T2849" t="inlineStr">
        <is>
          <t>美食滋补</t>
        </is>
      </c>
      <c r="U2849" t="inlineStr">
        <is>
          <t>休闲零食</t>
        </is>
      </c>
      <c r="V2849" s="3">
        <v>46112.78107638889</v>
      </c>
      <c r="W2849" t="inlineStr">
        <is>
          <t>2026-Q1</t>
        </is>
      </c>
    </row>
    <row r="2850" ht="25.5" customHeight="1">
      <c r="A2850" t="inlineStr">
        <is>
          <t>香葱牛轧饼宿舍办公室饼干推荐好吃年货零食夹心饼干健康小零食</t>
        </is>
      </c>
      <c r="B2850" t="inlineStr">
        <is>
          <t>recveCbldWH81I.jpg</t>
        </is>
      </c>
      <c r="C2850" s="2" t="str">
        <f>=HYPERLINK("https://xhslink.com/m/3GO7qAXIISm", "https://xhslink.com/m/3GO7qAXIISm")</f>
        <v>https://xhslink.com/m/3GO7qAXIISm</v>
      </c>
      <c r="D2850"/>
      <c r="E2850">
        <v>161000</v>
      </c>
      <c r="F2850">
        <v>18.8</v>
      </c>
      <c r="G2850"/>
      <c r="H2850">
        <v>100</v>
      </c>
      <c r="I2850" t="inlineStr">
        <is>
          <t>饼干</t>
        </is>
      </c>
      <c r="J2850" t="inlineStr">
        <is>
          <t>0.00</t>
        </is>
      </c>
      <c r="K2850" t="inlineStr">
        <is>
          <t>🔥低粉爆款</t>
        </is>
      </c>
      <c r="L2850" t="inlineStr">
        <is>
          <t>零食股东的店</t>
        </is>
      </c>
      <c r="M2850">
        <v>12000</v>
      </c>
      <c r="N2850">
        <v>4.71</v>
      </c>
      <c r="O2850">
        <v>258000</v>
      </c>
      <c r="P2850" t="inlineStr">
        <is>
          <t>67627f3e67b3ca000129c0f6</t>
        </is>
      </c>
      <c r="Q2850" t="inlineStr">
        <is>
          <t>🚫重复</t>
        </is>
      </c>
      <c r="R2850" t="inlineStr">
        <is>
          <t>14周</t>
        </is>
      </c>
      <c r="S2850" t="inlineStr">
        <is>
          <t>13.42</t>
        </is>
      </c>
      <c r="T2850" t="inlineStr">
        <is>
          <t>美食滋补</t>
        </is>
      </c>
      <c r="U2850" t="inlineStr">
        <is>
          <t>休闲零食</t>
        </is>
      </c>
      <c r="V2850" s="3">
        <v>46112.78107638889</v>
      </c>
      <c r="W2850" t="inlineStr">
        <is>
          <t>2026-Q1</t>
        </is>
      </c>
    </row>
    <row r="2851" ht="25.5" customHeight="1">
      <c r="A2851" t="inlineStr">
        <is>
          <t>香美客苏打饼干解馋鱿鱼芝士酥脆健康酥脆零食四口味</t>
        </is>
      </c>
      <c r="B2851" t="inlineStr">
        <is>
          <t>recveCblQ92CZE.jpg</t>
        </is>
      </c>
      <c r="C2851" s="2" t="str">
        <f>=HYPERLINK("https://xhslink.com/m/3MkUUUbfgKJ", "https://xhslink.com/m/3MkUUUbfgKJ")</f>
        <v>https://xhslink.com/m/3MkUUUbfgKJ</v>
      </c>
      <c r="D2851"/>
      <c r="E2851">
        <v>91000</v>
      </c>
      <c r="F2851">
        <v>29.9</v>
      </c>
      <c r="G2851">
        <v>9.9</v>
      </c>
      <c r="H2851">
        <v>100</v>
      </c>
      <c r="I2851" t="inlineStr">
        <is>
          <t>饼干</t>
        </is>
      </c>
      <c r="J2851" t="inlineStr">
        <is>
          <t>0.00</t>
        </is>
      </c>
      <c r="K2851" t="inlineStr">
        <is>
          <t>🔥低粉爆款</t>
        </is>
      </c>
      <c r="L2851" t="inlineStr">
        <is>
          <t>仙启坊i的店</t>
        </is>
      </c>
      <c r="M2851">
        <v>317</v>
      </c>
      <c r="N2851">
        <v>4.32</v>
      </c>
      <c r="O2851">
        <v>114000</v>
      </c>
      <c r="P2851" t="inlineStr">
        <is>
          <t>687f2725e019f2000188fdda</t>
        </is>
      </c>
      <c r="Q2851" t="inlineStr">
        <is>
          <t>🚫重复</t>
        </is>
      </c>
      <c r="R2851" t="inlineStr">
        <is>
          <t>14周</t>
        </is>
      </c>
      <c r="S2851" t="inlineStr">
        <is>
          <t>287.07</t>
        </is>
      </c>
      <c r="T2851" t="inlineStr">
        <is>
          <t>美食滋补</t>
        </is>
      </c>
      <c r="U2851" t="inlineStr">
        <is>
          <t>休闲零食</t>
        </is>
      </c>
      <c r="V2851" s="3">
        <v>46112.78107638889</v>
      </c>
      <c r="W2851" t="inlineStr">
        <is>
          <t>2026-Q1</t>
        </is>
      </c>
    </row>
    <row r="2852" ht="25.5" customHeight="1">
      <c r="A2852" t="inlineStr">
        <is>
          <t>Juicy零食点心意式坚果脆饼健康零食</t>
        </is>
      </c>
      <c r="B2852" t="inlineStr">
        <is>
          <t>recveCblQ9bytj.jpg</t>
        </is>
      </c>
      <c r="C2852" s="2" t="str">
        <f>=HYPERLINK("https://xhslink.com/m/4pNvcDjJ1oL", "https://xhslink.com/m/4pNvcDjJ1oL")</f>
        <v>https://xhslink.com/m/4pNvcDjJ1oL</v>
      </c>
      <c r="D2852"/>
      <c r="E2852">
        <v>143000</v>
      </c>
      <c r="F2852">
        <v>20</v>
      </c>
      <c r="G2852">
        <v>9.99</v>
      </c>
      <c r="H2852">
        <v>100</v>
      </c>
      <c r="I2852" t="inlineStr">
        <is>
          <t>饼干</t>
        </is>
      </c>
      <c r="J2852" t="inlineStr">
        <is>
          <t>0.00</t>
        </is>
      </c>
      <c r="K2852"/>
      <c r="L2852" t="inlineStr">
        <is>
          <t>JUICY SUPPLY的店</t>
        </is>
      </c>
      <c r="M2852">
        <v>261000</v>
      </c>
      <c r="N2852">
        <v>4.42</v>
      </c>
      <c r="O2852">
        <v>835000</v>
      </c>
      <c r="P2852" t="inlineStr">
        <is>
          <t>6950ab15e7d6bb0001f9e6e1</t>
        </is>
      </c>
      <c r="Q2852" t="inlineStr">
        <is>
          <t>🚫重复</t>
        </is>
      </c>
      <c r="R2852" t="inlineStr">
        <is>
          <t>14周</t>
        </is>
      </c>
      <c r="S2852" t="inlineStr">
        <is>
          <t>0.55</t>
        </is>
      </c>
      <c r="T2852" t="inlineStr">
        <is>
          <t>美食滋补</t>
        </is>
      </c>
      <c r="U2852" t="inlineStr">
        <is>
          <t>休闲零食</t>
        </is>
      </c>
      <c r="V2852" s="3">
        <v>46112.78107638889</v>
      </c>
      <c r="W2852" t="inlineStr">
        <is>
          <t>2026-Q1</t>
        </is>
      </c>
    </row>
    <row r="2853" ht="25.5" customHeight="1">
      <c r="A2853" t="inlineStr">
        <is>
          <t>啵啵奶酥拉丝曲奇巧克力饼干芒果草莓蔓越莓牛轧夹心解馋零食</t>
        </is>
      </c>
      <c r="B2853" t="inlineStr">
        <is>
          <t>recveCblQ93fQx.jpg</t>
        </is>
      </c>
      <c r="C2853" s="2" t="str">
        <f>=HYPERLINK("https://xhslink.com/m/6ZYsgXXPPJB", "https://xhslink.com/m/6ZYsgXXPPJB")</f>
        <v>https://xhslink.com/m/6ZYsgXXPPJB</v>
      </c>
      <c r="D2853"/>
      <c r="E2853">
        <v>54000</v>
      </c>
      <c r="F2853">
        <v>23.89</v>
      </c>
      <c r="G2853">
        <v>13.89</v>
      </c>
      <c r="H2853">
        <v>100</v>
      </c>
      <c r="I2853" t="inlineStr">
        <is>
          <t>饼干</t>
        </is>
      </c>
      <c r="J2853" t="inlineStr">
        <is>
          <t>0.00</t>
        </is>
      </c>
      <c r="K2853" t="inlineStr">
        <is>
          <t>🔥低粉爆款</t>
        </is>
      </c>
      <c r="L2853" t="inlineStr">
        <is>
          <t>馋饱饱零食铺的店</t>
        </is>
      </c>
      <c r="M2853">
        <v>2430</v>
      </c>
      <c r="N2853">
        <v>4.51</v>
      </c>
      <c r="O2853">
        <v>60000</v>
      </c>
      <c r="P2853" t="inlineStr">
        <is>
          <t>6909abdbb96b160001a9aada</t>
        </is>
      </c>
      <c r="Q2853" t="inlineStr">
        <is>
          <t>🚫重复</t>
        </is>
      </c>
      <c r="R2853" t="inlineStr">
        <is>
          <t>14周</t>
        </is>
      </c>
      <c r="S2853" t="inlineStr">
        <is>
          <t>22.22</t>
        </is>
      </c>
      <c r="T2853" t="inlineStr">
        <is>
          <t>美食滋补</t>
        </is>
      </c>
      <c r="U2853" t="inlineStr">
        <is>
          <t>休闲零食</t>
        </is>
      </c>
      <c r="V2853" s="3">
        <v>46112.78107638889</v>
      </c>
      <c r="W2853" t="inlineStr">
        <is>
          <t>2026-Q1</t>
        </is>
      </c>
    </row>
    <row r="2854" ht="25.5" customHeight="1">
      <c r="A2854" t="inlineStr">
        <is>
          <t>【万万】苹果包挂 包包挂件包挂新年礼物 创意包挂小众可爱包挂</t>
        </is>
      </c>
      <c r="B2854" t="inlineStr">
        <is>
          <t>recveCblQ9hcpk.jpg</t>
        </is>
      </c>
      <c r="C2854" s="2" t="str">
        <f>=HYPERLINK("https://xhslink.com/m/5VkLWGlHrvi", "https://xhslink.com/m/5VkLWGlHrvi")</f>
        <v>https://xhslink.com/m/5VkLWGlHrvi</v>
      </c>
      <c r="D2854"/>
      <c r="E2854">
        <v>18000</v>
      </c>
      <c r="F2854">
        <v>22.99</v>
      </c>
      <c r="G2854">
        <v>13.99</v>
      </c>
      <c r="H2854">
        <v>100</v>
      </c>
      <c r="I2854" t="inlineStr">
        <is>
          <t>挂饰</t>
        </is>
      </c>
      <c r="J2854" t="inlineStr">
        <is>
          <t>0.01</t>
        </is>
      </c>
      <c r="K2854" t="inlineStr">
        <is>
          <t>🔥低粉爆款</t>
        </is>
      </c>
      <c r="L2854" t="inlineStr">
        <is>
          <t>卖果蔬的万万的店</t>
        </is>
      </c>
      <c r="M2854">
        <v>177</v>
      </c>
      <c r="N2854">
        <v>4.48</v>
      </c>
      <c r="O2854">
        <v>18000</v>
      </c>
      <c r="P2854" t="inlineStr">
        <is>
          <t>68f3bb63c192ac00017042cc</t>
        </is>
      </c>
      <c r="Q2854"/>
      <c r="R2854" t="inlineStr">
        <is>
          <t>14周</t>
        </is>
      </c>
      <c r="S2854" t="inlineStr">
        <is>
          <t>101.69</t>
        </is>
      </c>
      <c r="T2854" t="inlineStr">
        <is>
          <t>服饰穿搭</t>
        </is>
      </c>
      <c r="U2854" t="inlineStr">
        <is>
          <t>鞋靴箱包</t>
        </is>
      </c>
      <c r="V2854" s="3">
        <v>46112.78107638889</v>
      </c>
      <c r="W2854" t="inlineStr">
        <is>
          <t>2026-Q1</t>
        </is>
      </c>
    </row>
    <row r="2855" ht="25.5" customHeight="1">
      <c r="A2855" t="inlineStr">
        <is>
          <t>软萌兔子毛绒公仔可爱玩偶钥匙扣挂饰包包挂件女生礼物推荐胡萝卜</t>
        </is>
      </c>
      <c r="B2855" t="inlineStr">
        <is>
          <t>recveCblQ9bld7.jpg</t>
        </is>
      </c>
      <c r="C2855" s="2" t="str">
        <f>=HYPERLINK("https://xhslink.com/m/8ZBVs2b15Vo", "https://xhslink.com/m/8ZBVs2b15Vo")</f>
        <v>https://xhslink.com/m/8ZBVs2b15Vo</v>
      </c>
      <c r="D2855"/>
      <c r="E2855">
        <v>54000</v>
      </c>
      <c r="F2855">
        <v>75</v>
      </c>
      <c r="G2855">
        <v>29.9</v>
      </c>
      <c r="H2855">
        <v>100</v>
      </c>
      <c r="I2855" t="inlineStr">
        <is>
          <t>挂饰</t>
        </is>
      </c>
      <c r="J2855" t="inlineStr">
        <is>
          <t>0.00</t>
        </is>
      </c>
      <c r="K2855" t="inlineStr">
        <is>
          <t>🔥低粉爆款</t>
        </is>
      </c>
      <c r="L2855" t="inlineStr">
        <is>
          <t>nice聚优阁的店</t>
        </is>
      </c>
      <c r="M2855">
        <v>17000</v>
      </c>
      <c r="N2855">
        <v>4.6</v>
      </c>
      <c r="O2855">
        <v>345000</v>
      </c>
      <c r="P2855" t="inlineStr">
        <is>
          <t>67b071bf132d2d0015dea1fd</t>
        </is>
      </c>
      <c r="Q2855" t="inlineStr">
        <is>
          <t>🚫重复</t>
        </is>
      </c>
      <c r="R2855" t="inlineStr">
        <is>
          <t>14周</t>
        </is>
      </c>
      <c r="S2855" t="inlineStr">
        <is>
          <t>3.18</t>
        </is>
      </c>
      <c r="T2855" t="inlineStr">
        <is>
          <t>服饰穿搭</t>
        </is>
      </c>
      <c r="U2855" t="inlineStr">
        <is>
          <t>鞋靴箱包</t>
        </is>
      </c>
      <c r="V2855" s="3">
        <v>46112.78107638889</v>
      </c>
      <c r="W2855" t="inlineStr">
        <is>
          <t>2026-Q1</t>
        </is>
      </c>
    </row>
    <row r="2856" ht="25.5" customHeight="1">
      <c r="A2856" t="inlineStr">
        <is>
          <t>原创可爱毛绒小狗雪纳瑞玩偶包包挂件包挂饰配饰钥匙扣情侣送礼物</t>
        </is>
      </c>
      <c r="B2856" t="inlineStr">
        <is>
          <t>recveCblQ9sxOd.jpg</t>
        </is>
      </c>
      <c r="C2856" s="2" t="str">
        <f>=HYPERLINK("https://xhslink.com/m/ACLzyAwXF1f", "https://xhslink.com/m/ACLzyAwXF1f")</f>
        <v>https://xhslink.com/m/ACLzyAwXF1f</v>
      </c>
      <c r="D2856"/>
      <c r="E2856">
        <v>2008</v>
      </c>
      <c r="F2856">
        <v>69.9</v>
      </c>
      <c r="G2856">
        <v>29.8</v>
      </c>
      <c r="H2856">
        <v>100</v>
      </c>
      <c r="I2856" t="inlineStr">
        <is>
          <t>挂饰</t>
        </is>
      </c>
      <c r="J2856" t="inlineStr">
        <is>
          <t>0.05</t>
        </is>
      </c>
      <c r="K2856"/>
      <c r="L2856" t="inlineStr">
        <is>
          <t>小旺玩偶的店</t>
        </is>
      </c>
      <c r="M2856">
        <v>942</v>
      </c>
      <c r="N2856">
        <v>4.36</v>
      </c>
      <c r="O2856">
        <v>12000</v>
      </c>
      <c r="P2856" t="inlineStr">
        <is>
          <t>68955c198fe347000149e5c4</t>
        </is>
      </c>
      <c r="Q2856"/>
      <c r="R2856" t="inlineStr">
        <is>
          <t>14周</t>
        </is>
      </c>
      <c r="S2856" t="inlineStr">
        <is>
          <t>2.13</t>
        </is>
      </c>
      <c r="T2856" t="inlineStr">
        <is>
          <t>服饰穿搭</t>
        </is>
      </c>
      <c r="U2856" t="inlineStr">
        <is>
          <t>鞋靴箱包</t>
        </is>
      </c>
      <c r="V2856" s="3">
        <v>46112.78107638889</v>
      </c>
      <c r="W2856" t="inlineStr">
        <is>
          <t>2026-Q1</t>
        </is>
      </c>
    </row>
    <row r="2857" ht="25.5" customHeight="1">
      <c r="A2857" t="inlineStr">
        <is>
          <t>【咖啡杯布朗玫玫】可爱甜脸原创包包挂件玩偶装饰挂饰钥匙扣礼物</t>
        </is>
      </c>
      <c r="B2857" t="inlineStr">
        <is>
          <t>recveCblQ9LWNE.jpg</t>
        </is>
      </c>
      <c r="C2857" s="2" t="str">
        <f>=HYPERLINK("https://xhslink.com/m/lLxJDIylWS", "https://xhslink.com/m/lLxJDIylWS")</f>
        <v>https://xhslink.com/m/lLxJDIylWS</v>
      </c>
      <c r="D2857"/>
      <c r="E2857">
        <v>15000</v>
      </c>
      <c r="F2857">
        <v>68.8</v>
      </c>
      <c r="G2857">
        <v>58.54</v>
      </c>
      <c r="H2857">
        <v>100</v>
      </c>
      <c r="I2857" t="inlineStr">
        <is>
          <t>挂饰</t>
        </is>
      </c>
      <c r="J2857" t="inlineStr">
        <is>
          <t>0.01</t>
        </is>
      </c>
      <c r="K2857"/>
      <c r="L2857" t="inlineStr">
        <is>
          <t>NATIE Studio的店</t>
        </is>
      </c>
      <c r="M2857">
        <v>5244</v>
      </c>
      <c r="N2857">
        <v>4.56</v>
      </c>
      <c r="O2857">
        <v>21000</v>
      </c>
      <c r="P2857" t="inlineStr">
        <is>
          <t>68490bb49d4a550001b66f18</t>
        </is>
      </c>
      <c r="Q2857" t="inlineStr">
        <is>
          <t>🚫重复</t>
        </is>
      </c>
      <c r="R2857" t="inlineStr">
        <is>
          <t>14周</t>
        </is>
      </c>
      <c r="S2857" t="inlineStr">
        <is>
          <t>2.86</t>
        </is>
      </c>
      <c r="T2857" t="inlineStr">
        <is>
          <t>服饰穿搭</t>
        </is>
      </c>
      <c r="U2857" t="inlineStr">
        <is>
          <t>鞋靴箱包</t>
        </is>
      </c>
      <c r="V2857" s="3">
        <v>46112.78107638889</v>
      </c>
      <c r="W2857" t="inlineStr">
        <is>
          <t>2026-Q1</t>
        </is>
      </c>
    </row>
    <row r="2858" ht="25.5" customHeight="1">
      <c r="A2858" t="inlineStr">
        <is>
          <t>【正版】厨师hellokitty包包挂件毛绒公仔玩偶礼物女闺蜜可爱卡通</t>
        </is>
      </c>
      <c r="B2858" t="inlineStr">
        <is>
          <t>recveCblQ90QAa.jpg</t>
        </is>
      </c>
      <c r="C2858" s="2" t="str">
        <f>=HYPERLINK("https://xhslink.com/m/5h4og4DHZNR", "https://xhslink.com/m/5h4og4DHZNR")</f>
        <v>https://xhslink.com/m/5h4og4DHZNR</v>
      </c>
      <c r="D2858"/>
      <c r="E2858">
        <v>2353</v>
      </c>
      <c r="F2858">
        <v>39.9</v>
      </c>
      <c r="G2858"/>
      <c r="H2858">
        <v>100</v>
      </c>
      <c r="I2858" t="inlineStr">
        <is>
          <t>挂饰</t>
        </is>
      </c>
      <c r="J2858" t="inlineStr">
        <is>
          <t>0.04</t>
        </is>
      </c>
      <c r="K2858"/>
      <c r="L2858" t="inlineStr">
        <is>
          <t>月亮上的邮差的店</t>
        </is>
      </c>
      <c r="M2858">
        <v>4332</v>
      </c>
      <c r="N2858">
        <v>4.69</v>
      </c>
      <c r="O2858">
        <v>65000</v>
      </c>
      <c r="P2858" t="inlineStr">
        <is>
          <t>69057011becfcc000181066b</t>
        </is>
      </c>
      <c r="Q2858" t="inlineStr">
        <is>
          <t>🚫重复</t>
        </is>
      </c>
      <c r="R2858" t="inlineStr">
        <is>
          <t>14周</t>
        </is>
      </c>
      <c r="S2858" t="inlineStr">
        <is>
          <t>0.54</t>
        </is>
      </c>
      <c r="T2858" t="inlineStr">
        <is>
          <t>服饰穿搭</t>
        </is>
      </c>
      <c r="U2858" t="inlineStr">
        <is>
          <t>鞋靴箱包</t>
        </is>
      </c>
      <c r="V2858" s="3">
        <v>46112.78107638889</v>
      </c>
      <c r="W2858" t="inlineStr">
        <is>
          <t>2026-Q1</t>
        </is>
      </c>
    </row>
    <row r="2859" ht="25.5" customHeight="1">
      <c r="A2859" t="inlineStr">
        <is>
          <t>【宅女同款kitty】黑皮长腿kitty包包挂件毛绒公仔钥匙扣挂饰</t>
        </is>
      </c>
      <c r="B2859" t="inlineStr">
        <is>
          <t>recveCblQ9K8ib.jpg</t>
        </is>
      </c>
      <c r="C2859" s="2" t="str">
        <f>=HYPERLINK("https://xhslink.com/m/6yIpI0YGokH", "https://xhslink.com/m/6yIpI0YGokH")</f>
        <v>https://xhslink.com/m/6yIpI0YGokH</v>
      </c>
      <c r="D2859"/>
      <c r="E2859">
        <v>12000</v>
      </c>
      <c r="F2859">
        <v>42.9</v>
      </c>
      <c r="G2859">
        <v>36.46</v>
      </c>
      <c r="H2859">
        <v>100</v>
      </c>
      <c r="I2859" t="inlineStr">
        <is>
          <t>挂饰</t>
        </is>
      </c>
      <c r="J2859" t="inlineStr">
        <is>
          <t>0.01</t>
        </is>
      </c>
      <c r="K2859" t="inlineStr">
        <is>
          <t>🔥低粉爆款</t>
        </is>
      </c>
      <c r="L2859" t="inlineStr">
        <is>
          <t>趣兜兜Kitty的店</t>
        </is>
      </c>
      <c r="M2859">
        <v>3131</v>
      </c>
      <c r="N2859">
        <v>4.71</v>
      </c>
      <c r="O2859">
        <v>17000</v>
      </c>
      <c r="P2859" t="inlineStr">
        <is>
          <t>67fbb9791899f10001ee43a3</t>
        </is>
      </c>
      <c r="Q2859" t="inlineStr">
        <is>
          <t>🚫重复</t>
        </is>
      </c>
      <c r="R2859" t="inlineStr">
        <is>
          <t>14周</t>
        </is>
      </c>
      <c r="S2859" t="inlineStr">
        <is>
          <t>3.83</t>
        </is>
      </c>
      <c r="T2859" t="inlineStr">
        <is>
          <t>服饰穿搭</t>
        </is>
      </c>
      <c r="U2859" t="inlineStr">
        <is>
          <t>鞋靴箱包</t>
        </is>
      </c>
      <c r="V2859" s="3">
        <v>46112.78107638889</v>
      </c>
      <c r="W2859" t="inlineStr">
        <is>
          <t>2026-Q1</t>
        </is>
      </c>
    </row>
    <row r="2860" ht="25.5" customHeight="1">
      <c r="A2860" t="inlineStr">
        <is>
          <t>新款樱花系列治愈毛绒玩偶挂件钥匙扣可爱女生礼物送闺蜜书包装饰</t>
        </is>
      </c>
      <c r="B2860" t="inlineStr">
        <is>
          <t>recveCblQ9BE0V.jpg</t>
        </is>
      </c>
      <c r="C2860" s="2" t="str">
        <f>=HYPERLINK("https://xhslink.com/m/j8ZTUjbbyF", "https://xhslink.com/m/j8ZTUjbbyF")</f>
        <v>https://xhslink.com/m/j8ZTUjbbyF</v>
      </c>
      <c r="D2860"/>
      <c r="E2860">
        <v>592</v>
      </c>
      <c r="F2860">
        <v>25.9</v>
      </c>
      <c r="G2860"/>
      <c r="H2860">
        <v>100</v>
      </c>
      <c r="I2860" t="inlineStr">
        <is>
          <t>毛绒玩偶</t>
        </is>
      </c>
      <c r="J2860" t="inlineStr">
        <is>
          <t>0.17</t>
        </is>
      </c>
      <c r="K2860"/>
      <c r="L2860" t="inlineStr">
        <is>
          <t>九野星河的店</t>
        </is>
      </c>
      <c r="M2860">
        <v>198</v>
      </c>
      <c r="N2860">
        <v>4.58</v>
      </c>
      <c r="O2860">
        <v>1785</v>
      </c>
      <c r="P2860" t="inlineStr">
        <is>
          <t>69b117f1ac2e1900013807fb</t>
        </is>
      </c>
      <c r="Q2860" t="inlineStr">
        <is>
          <t>🚫重复</t>
        </is>
      </c>
      <c r="R2860" t="inlineStr">
        <is>
          <t>14周</t>
        </is>
      </c>
      <c r="S2860" t="inlineStr">
        <is>
          <t>2.99</t>
        </is>
      </c>
      <c r="T2860" t="inlineStr">
        <is>
          <t>服饰穿搭</t>
        </is>
      </c>
      <c r="U2860" t="inlineStr">
        <is>
          <t>鞋靴箱包</t>
        </is>
      </c>
      <c r="V2860" s="3">
        <v>46112.78107638889</v>
      </c>
      <c r="W2860" t="inlineStr">
        <is>
          <t>2026-Q1</t>
        </is>
      </c>
    </row>
    <row r="2861" ht="25.5" customHeight="1">
      <c r="A2861" t="inlineStr">
        <is>
          <t>【正版】厨师hellokitty包包挂件毛绒公仔玩偶礼物女闺蜜可爱卡通</t>
        </is>
      </c>
      <c r="B2861" t="inlineStr">
        <is>
          <t>recveCblQ9FpZq.jpg</t>
        </is>
      </c>
      <c r="C2861" s="2" t="str">
        <f>=HYPERLINK("https://xhslink.com/m/66yaLaAn3I7", "https://xhslink.com/m/66yaLaAn3I7")</f>
        <v>https://xhslink.com/m/66yaLaAn3I7</v>
      </c>
      <c r="D2861"/>
      <c r="E2861">
        <v>2353</v>
      </c>
      <c r="F2861">
        <v>29.9</v>
      </c>
      <c r="G2861"/>
      <c r="H2861">
        <v>100</v>
      </c>
      <c r="I2861" t="inlineStr">
        <is>
          <t>毛绒玩偶</t>
        </is>
      </c>
      <c r="J2861" t="inlineStr">
        <is>
          <t>0.04</t>
        </is>
      </c>
      <c r="K2861"/>
      <c r="L2861" t="inlineStr">
        <is>
          <t>月亮上的邮差的店</t>
        </is>
      </c>
      <c r="M2861">
        <v>4332</v>
      </c>
      <c r="N2861">
        <v>4.69</v>
      </c>
      <c r="O2861">
        <v>65000</v>
      </c>
      <c r="P2861" t="inlineStr">
        <is>
          <t>69057011becfcc0001810671</t>
        </is>
      </c>
      <c r="Q2861" t="inlineStr">
        <is>
          <t>🚫重复</t>
        </is>
      </c>
      <c r="R2861" t="inlineStr">
        <is>
          <t>14周</t>
        </is>
      </c>
      <c r="S2861" t="inlineStr">
        <is>
          <t>0.54</t>
        </is>
      </c>
      <c r="T2861" t="inlineStr">
        <is>
          <t>服饰穿搭</t>
        </is>
      </c>
      <c r="U2861" t="inlineStr">
        <is>
          <t>鞋靴箱包</t>
        </is>
      </c>
      <c r="V2861" s="3">
        <v>46112.78107638889</v>
      </c>
      <c r="W2861" t="inlineStr">
        <is>
          <t>2026-Q1</t>
        </is>
      </c>
    </row>
    <row r="2862" ht="25.5" customHeight="1">
      <c r="A2862" t="inlineStr">
        <is>
          <t>正品天使羊毛绒玩偶娃娃玩具公仔新年生日礼物女生闺蜜男友女神节</t>
        </is>
      </c>
      <c r="B2862" t="inlineStr">
        <is>
          <t>recveCblQ9IFnD.jpg</t>
        </is>
      </c>
      <c r="C2862" s="2" t="str">
        <f>=HYPERLINK("https://xhslink.com/m/87a0VJ5sD5e", "https://xhslink.com/m/87a0VJ5sD5e")</f>
        <v>https://xhslink.com/m/87a0VJ5sD5e</v>
      </c>
      <c r="D2862"/>
      <c r="E2862">
        <v>8184</v>
      </c>
      <c r="F2862">
        <v>62.38</v>
      </c>
      <c r="G2862">
        <v>49.9</v>
      </c>
      <c r="H2862">
        <v>100</v>
      </c>
      <c r="I2862" t="inlineStr">
        <is>
          <t>毛绒玩偶</t>
        </is>
      </c>
      <c r="J2862" t="inlineStr">
        <is>
          <t>0.01</t>
        </is>
      </c>
      <c r="K2862"/>
      <c r="L2862" t="inlineStr">
        <is>
          <t>纯爱战士的礼物的店</t>
        </is>
      </c>
      <c r="M2862">
        <v>11000</v>
      </c>
      <c r="N2862">
        <v>4.54</v>
      </c>
      <c r="O2862">
        <v>43000</v>
      </c>
      <c r="P2862" t="inlineStr">
        <is>
          <t>6937198c83efdb0001f339c3</t>
        </is>
      </c>
      <c r="Q2862" t="inlineStr">
        <is>
          <t>🚫重复</t>
        </is>
      </c>
      <c r="R2862" t="inlineStr">
        <is>
          <t>14周</t>
        </is>
      </c>
      <c r="S2862" t="inlineStr">
        <is>
          <t>0.74</t>
        </is>
      </c>
      <c r="T2862" t="inlineStr">
        <is>
          <t>母婴亲子</t>
        </is>
      </c>
      <c r="U2862" t="inlineStr">
        <is>
          <t>玩具早教</t>
        </is>
      </c>
      <c r="V2862" s="3">
        <v>46112.78107638889</v>
      </c>
      <c r="W2862" t="inlineStr">
        <is>
          <t>2026-Q1</t>
        </is>
      </c>
    </row>
    <row r="2863" ht="25.5" customHeight="1">
      <c r="A2863" t="inlineStr">
        <is>
          <t>可爱蓝汐兔生日礼物毛绒玩偶送女生闺蜜男朋友女神节压床娃娃开学</t>
        </is>
      </c>
      <c r="B2863" t="inlineStr">
        <is>
          <t>recveCblQ9RT3h.jpg</t>
        </is>
      </c>
      <c r="C2863" s="2" t="str">
        <f>=HYPERLINK("https://xhslink.com/m/6JJMhzCBJsu", "https://xhslink.com/m/6JJMhzCBJsu")</f>
        <v>https://xhslink.com/m/6JJMhzCBJsu</v>
      </c>
      <c r="D2863"/>
      <c r="E2863">
        <v>2380</v>
      </c>
      <c r="F2863">
        <v>46.9</v>
      </c>
      <c r="G2863"/>
      <c r="H2863">
        <v>100</v>
      </c>
      <c r="I2863" t="inlineStr">
        <is>
          <t>毛绒玩偶</t>
        </is>
      </c>
      <c r="J2863" t="inlineStr">
        <is>
          <t>0.04</t>
        </is>
      </c>
      <c r="K2863"/>
      <c r="L2863" t="inlineStr">
        <is>
          <t>走心少女礼物（每周更新版）的店</t>
        </is>
      </c>
      <c r="M2863">
        <v>9814</v>
      </c>
      <c r="N2863">
        <v>4.59</v>
      </c>
      <c r="O2863">
        <v>76000</v>
      </c>
      <c r="P2863" t="inlineStr">
        <is>
          <t>686b9a19527b4d0001ecfd6c</t>
        </is>
      </c>
      <c r="Q2863"/>
      <c r="R2863" t="inlineStr">
        <is>
          <t>14周</t>
        </is>
      </c>
      <c r="S2863" t="inlineStr">
        <is>
          <t>0.24</t>
        </is>
      </c>
      <c r="T2863" t="inlineStr">
        <is>
          <t>母婴亲子</t>
        </is>
      </c>
      <c r="U2863" t="inlineStr">
        <is>
          <t>玩具早教</t>
        </is>
      </c>
      <c r="V2863" s="3">
        <v>46112.78107638889</v>
      </c>
      <c r="W2863" t="inlineStr">
        <is>
          <t>2026-Q1</t>
        </is>
      </c>
    </row>
    <row r="2864" ht="25.5" customHeight="1">
      <c r="A2864" t="inlineStr">
        <is>
          <t>【全职高手x玉子小虎烧】 正版联名 全职保育员系列玩偶</t>
        </is>
      </c>
      <c r="B2864" t="inlineStr">
        <is>
          <t>recveCblQ9mwfu.jpg</t>
        </is>
      </c>
      <c r="C2864" s="2" t="str">
        <f>=HYPERLINK("https://xhslink.com/m/AMexQKNCVvN", "https://xhslink.com/m/AMexQKNCVvN")</f>
        <v>https://xhslink.com/m/AMexQKNCVvN</v>
      </c>
      <c r="D2864"/>
      <c r="E2864">
        <v>2538</v>
      </c>
      <c r="F2864">
        <v>78.9</v>
      </c>
      <c r="G2864"/>
      <c r="H2864">
        <v>100</v>
      </c>
      <c r="I2864" t="inlineStr">
        <is>
          <t>毛绒玩偶</t>
        </is>
      </c>
      <c r="J2864" t="inlineStr">
        <is>
          <t>0.04</t>
        </is>
      </c>
      <c r="K2864"/>
      <c r="L2864" t="inlineStr">
        <is>
          <t>玉子小虎烧的店</t>
        </is>
      </c>
      <c r="M2864">
        <v>13000</v>
      </c>
      <c r="N2864">
        <v>4.09</v>
      </c>
      <c r="O2864">
        <v>9291</v>
      </c>
      <c r="P2864" t="inlineStr">
        <is>
          <t>697c52efd5afea0001299c23</t>
        </is>
      </c>
      <c r="Q2864"/>
      <c r="R2864" t="inlineStr">
        <is>
          <t>14周</t>
        </is>
      </c>
      <c r="S2864" t="inlineStr">
        <is>
          <t>0.20</t>
        </is>
      </c>
      <c r="T2864" t="inlineStr">
        <is>
          <t>母婴亲子</t>
        </is>
      </c>
      <c r="U2864" t="inlineStr">
        <is>
          <t>玩具早教</t>
        </is>
      </c>
      <c r="V2864" s="3">
        <v>46112.78107638889</v>
      </c>
      <c r="W2864" t="inlineStr">
        <is>
          <t>2026-Q1</t>
        </is>
      </c>
    </row>
    <row r="2865" ht="25.5" customHeight="1">
      <c r="A2865" t="inlineStr">
        <is>
          <t>【咖啡杯布朗玫玫】可爱甜脸原创包包挂件玩偶装饰挂饰钥匙扣礼物</t>
        </is>
      </c>
      <c r="B2865" t="inlineStr">
        <is>
          <t>recveCblQ9ipQ4.jpg</t>
        </is>
      </c>
      <c r="C2865" s="2" t="str">
        <f>=HYPERLINK("https://xhslink.com/m/24YQI3IUX0M", "https://xhslink.com/m/24YQI3IUX0M")</f>
        <v>https://xhslink.com/m/24YQI3IUX0M</v>
      </c>
      <c r="D2865"/>
      <c r="E2865">
        <v>15000</v>
      </c>
      <c r="F2865">
        <v>68.8</v>
      </c>
      <c r="G2865">
        <v>58.54</v>
      </c>
      <c r="H2865">
        <v>100</v>
      </c>
      <c r="I2865" t="inlineStr">
        <is>
          <t>包挂件公仔</t>
        </is>
      </c>
      <c r="J2865" t="inlineStr">
        <is>
          <t>0.01</t>
        </is>
      </c>
      <c r="K2865"/>
      <c r="L2865" t="inlineStr">
        <is>
          <t>NATIE Studio的店</t>
        </is>
      </c>
      <c r="M2865">
        <v>5244</v>
      </c>
      <c r="N2865">
        <v>4.56</v>
      </c>
      <c r="O2865">
        <v>21000</v>
      </c>
      <c r="P2865" t="inlineStr">
        <is>
          <t>6756e0747f06b00001b459da</t>
        </is>
      </c>
      <c r="Q2865" t="inlineStr">
        <is>
          <t>🚫重复</t>
        </is>
      </c>
      <c r="R2865" t="inlineStr">
        <is>
          <t>14周</t>
        </is>
      </c>
      <c r="S2865" t="inlineStr">
        <is>
          <t>2.86</t>
        </is>
      </c>
      <c r="T2865" t="inlineStr">
        <is>
          <t>服饰穿搭</t>
        </is>
      </c>
      <c r="U2865" t="inlineStr">
        <is>
          <t>鞋靴箱包</t>
        </is>
      </c>
      <c r="V2865" s="3">
        <v>46112.78107638889</v>
      </c>
      <c r="W2865" t="inlineStr">
        <is>
          <t>2026-Q1</t>
        </is>
      </c>
    </row>
    <row r="2866" ht="25.5" customHeight="1">
      <c r="A2866" t="inlineStr">
        <is>
          <t>NICI · 晚安睡衣莫拉钥匙扣可爱短尾矮袋鼠水獭等毛绒公仔玩偶包挂小挂件</t>
        </is>
      </c>
      <c r="B2866" t="inlineStr">
        <is>
          <t>recveCblQ9nl58.jpg</t>
        </is>
      </c>
      <c r="C2866" s="2" t="str">
        <f>=HYPERLINK("https://xhslink.com/m/GhTGH666oe", "https://xhslink.com/m/GhTGH666oe")</f>
        <v>https://xhslink.com/m/GhTGH666oe</v>
      </c>
      <c r="D2866"/>
      <c r="E2866">
        <v>882</v>
      </c>
      <c r="F2866">
        <v>259</v>
      </c>
      <c r="G2866">
        <v>215.15</v>
      </c>
      <c r="H2866">
        <v>100</v>
      </c>
      <c r="I2866" t="inlineStr">
        <is>
          <t>包挂件公仔</t>
        </is>
      </c>
      <c r="J2866" t="inlineStr">
        <is>
          <t>0.11</t>
        </is>
      </c>
      <c r="K2866"/>
      <c r="L2866" t="inlineStr">
        <is>
          <t>NICI旗舰店</t>
        </is>
      </c>
      <c r="M2866">
        <v>21000</v>
      </c>
      <c r="N2866">
        <v>4.48</v>
      </c>
      <c r="O2866">
        <v>18000</v>
      </c>
      <c r="P2866" t="inlineStr">
        <is>
          <t>697b0474226ff500018a5fdf</t>
        </is>
      </c>
      <c r="Q2866" t="inlineStr">
        <is>
          <t>🚫重复</t>
        </is>
      </c>
      <c r="R2866" t="inlineStr">
        <is>
          <t>14周</t>
        </is>
      </c>
      <c r="S2866" t="inlineStr">
        <is>
          <t>0.04</t>
        </is>
      </c>
      <c r="T2866" t="inlineStr">
        <is>
          <t>母婴亲子</t>
        </is>
      </c>
      <c r="U2866" t="inlineStr">
        <is>
          <t>玩具早教</t>
        </is>
      </c>
      <c r="V2866" s="3">
        <v>46112.78107638889</v>
      </c>
      <c r="W2866" t="inlineStr">
        <is>
          <t>2026-Q1</t>
        </is>
      </c>
    </row>
    <row r="2867" ht="25.5" customHeight="1">
      <c r="A2867" t="inlineStr">
        <is>
          <t>可爱大象玩偶挂件毛绒玩具包包挂件送闺蜜男女朋友生日礼物过节</t>
        </is>
      </c>
      <c r="B2867" t="inlineStr">
        <is>
          <t>recveCblQ9ZeuD.jpg</t>
        </is>
      </c>
      <c r="C2867" s="2" t="str">
        <f>=HYPERLINK("https://xhslink.com/m/AMxJN5BZmQh", "https://xhslink.com/m/AMxJN5BZmQh")</f>
        <v>https://xhslink.com/m/AMxJN5BZmQh</v>
      </c>
      <c r="D2867"/>
      <c r="E2867">
        <v>13000</v>
      </c>
      <c r="F2867">
        <v>34</v>
      </c>
      <c r="G2867">
        <v>28.9</v>
      </c>
      <c r="H2867">
        <v>100</v>
      </c>
      <c r="I2867" t="inlineStr">
        <is>
          <t>包挂件公仔</t>
        </is>
      </c>
      <c r="J2867" t="inlineStr">
        <is>
          <t>0.01</t>
        </is>
      </c>
      <c r="K2867" t="inlineStr">
        <is>
          <t>🔥低粉爆款</t>
        </is>
      </c>
      <c r="L2867" t="inlineStr">
        <is>
          <t>绒毛小友的店</t>
        </is>
      </c>
      <c r="M2867">
        <v>2231</v>
      </c>
      <c r="N2867">
        <v>4.55</v>
      </c>
      <c r="O2867">
        <v>14000</v>
      </c>
      <c r="P2867" t="inlineStr">
        <is>
          <t>68ccaa34c278030001db1542</t>
        </is>
      </c>
      <c r="Q2867" t="inlineStr">
        <is>
          <t>🚫重复</t>
        </is>
      </c>
      <c r="R2867" t="inlineStr">
        <is>
          <t>14周</t>
        </is>
      </c>
      <c r="S2867" t="inlineStr">
        <is>
          <t>5.83</t>
        </is>
      </c>
      <c r="T2867" t="inlineStr">
        <is>
          <t>母婴亲子</t>
        </is>
      </c>
      <c r="U2867" t="inlineStr">
        <is>
          <t>玩具早教</t>
        </is>
      </c>
      <c r="V2867" s="3">
        <v>46112.78107638889</v>
      </c>
      <c r="W2867" t="inlineStr">
        <is>
          <t>2026-Q1</t>
        </is>
      </c>
    </row>
    <row r="2868" ht="25.5" customHeight="1">
      <c r="A2868" t="inlineStr">
        <is>
          <t>X2HOMME · 原创moos毛绒玩偶二次元潮流学生包包挂件情侣节日礼物</t>
        </is>
      </c>
      <c r="B2868" t="inlineStr">
        <is>
          <t>recveCblQ9PJpe.jpg</t>
        </is>
      </c>
      <c r="C2868" s="2" t="str">
        <f>=HYPERLINK("https://xhslink.com/m/7FqUKmHnSLP", "https://xhslink.com/m/7FqUKmHnSLP")</f>
        <v>https://xhslink.com/m/7FqUKmHnSLP</v>
      </c>
      <c r="D2868"/>
      <c r="E2868">
        <v>2118</v>
      </c>
      <c r="F2868">
        <v>89</v>
      </c>
      <c r="G2868">
        <v>86</v>
      </c>
      <c r="H2868">
        <v>100</v>
      </c>
      <c r="I2868" t="inlineStr">
        <is>
          <t>包挂件公仔</t>
        </is>
      </c>
      <c r="J2868" t="inlineStr">
        <is>
          <t>0.05</t>
        </is>
      </c>
      <c r="K2868"/>
      <c r="L2868" t="inlineStr">
        <is>
          <t>X2HOMME旗舰店</t>
        </is>
      </c>
      <c r="M2868">
        <v>18000</v>
      </c>
      <c r="N2868">
        <v>4.42</v>
      </c>
      <c r="O2868">
        <v>3277</v>
      </c>
      <c r="P2868" t="inlineStr">
        <is>
          <t>6878863c956aac0015523d60</t>
        </is>
      </c>
      <c r="Q2868"/>
      <c r="R2868" t="inlineStr">
        <is>
          <t>14周</t>
        </is>
      </c>
      <c r="S2868" t="inlineStr">
        <is>
          <t>0.12</t>
        </is>
      </c>
      <c r="T2868" t="inlineStr">
        <is>
          <t>服饰穿搭</t>
        </is>
      </c>
      <c r="U2868" t="inlineStr">
        <is>
          <t>鞋靴箱包</t>
        </is>
      </c>
      <c r="V2868" s="3">
        <v>46112.78107638889</v>
      </c>
      <c r="W2868" t="inlineStr">
        <is>
          <t>2026-Q1</t>
        </is>
      </c>
    </row>
    <row r="2869" ht="25.5" customHeight="1">
      <c r="A2869" t="inlineStr">
        <is>
          <t>【预售】恋与深空原创同人5cm大头海星体棉花娃娃挂件</t>
        </is>
      </c>
      <c r="B2869" t="inlineStr">
        <is>
          <t>recveCblQ9EZ1J.jpg</t>
        </is>
      </c>
      <c r="C2869" s="2" t="str">
        <f>=HYPERLINK("https://xhslink.com/m/lYujmRoRS1", "https://xhslink.com/m/lYujmRoRS1")</f>
        <v>https://xhslink.com/m/lYujmRoRS1</v>
      </c>
      <c r="D2869"/>
      <c r="E2869">
        <v>6697</v>
      </c>
      <c r="F2869">
        <v>65</v>
      </c>
      <c r="G2869"/>
      <c r="H2869">
        <v>100</v>
      </c>
      <c r="I2869" t="inlineStr">
        <is>
          <t>棉花娃娃</t>
        </is>
      </c>
      <c r="J2869" t="inlineStr">
        <is>
          <t>0.01</t>
        </is>
      </c>
      <c r="K2869"/>
      <c r="L2869" t="inlineStr">
        <is>
          <t>Wawa同人社的店</t>
        </is>
      </c>
      <c r="M2869">
        <v>67000</v>
      </c>
      <c r="N2869">
        <v>4.64</v>
      </c>
      <c r="O2869">
        <v>82000</v>
      </c>
      <c r="P2869" t="inlineStr">
        <is>
          <t>6960ce691bb69f0001af374a</t>
        </is>
      </c>
      <c r="Q2869" t="inlineStr">
        <is>
          <t>🚫重复</t>
        </is>
      </c>
      <c r="R2869" t="inlineStr">
        <is>
          <t>14周</t>
        </is>
      </c>
      <c r="S2869" t="inlineStr">
        <is>
          <t>0.10</t>
        </is>
      </c>
      <c r="T2869" t="inlineStr">
        <is>
          <t>运动潮玩</t>
        </is>
      </c>
      <c r="U2869" t="inlineStr">
        <is>
          <t>潮玩手办</t>
        </is>
      </c>
      <c r="V2869" s="3">
        <v>46112.78107638889</v>
      </c>
      <c r="W2869" t="inlineStr">
        <is>
          <t>2026-Q1</t>
        </is>
      </c>
    </row>
    <row r="2870" ht="25.5" customHeight="1">
      <c r="A2870" t="inlineStr">
        <is>
          <t>二贩|恋与深空沈星回祁煜黎深秦彻夏以昼10cm棉花娃娃海星体裸娃</t>
        </is>
      </c>
      <c r="B2870" t="inlineStr">
        <is>
          <t>recveCblQ9Fa4t.jpg</t>
        </is>
      </c>
      <c r="C2870" s="2" t="str">
        <f>=HYPERLINK("https://xhslink.com/m/3sKGRRDO1nu", "https://xhslink.com/m/3sKGRRDO1nu")</f>
        <v>https://xhslink.com/m/3sKGRRDO1nu</v>
      </c>
      <c r="D2870"/>
      <c r="E2870">
        <v>32000</v>
      </c>
      <c r="F2870">
        <v>34.9</v>
      </c>
      <c r="G2870">
        <v>29.9</v>
      </c>
      <c r="H2870">
        <v>100</v>
      </c>
      <c r="I2870" t="inlineStr">
        <is>
          <t>棉花娃娃</t>
        </is>
      </c>
      <c r="J2870" t="inlineStr">
        <is>
          <t>0.00</t>
        </is>
      </c>
      <c r="K2870"/>
      <c r="L2870" t="inlineStr">
        <is>
          <t>一亩棉花地的店</t>
        </is>
      </c>
      <c r="M2870">
        <v>49000</v>
      </c>
      <c r="N2870">
        <v>4.49</v>
      </c>
      <c r="O2870">
        <v>134000</v>
      </c>
      <c r="P2870" t="inlineStr">
        <is>
          <t>6788c472bac2510001a15a74</t>
        </is>
      </c>
      <c r="Q2870" t="inlineStr">
        <is>
          <t>🚫重复</t>
        </is>
      </c>
      <c r="R2870" t="inlineStr">
        <is>
          <t>14周</t>
        </is>
      </c>
      <c r="S2870" t="inlineStr">
        <is>
          <t>0.65</t>
        </is>
      </c>
      <c r="T2870" t="inlineStr">
        <is>
          <t>运动潮玩</t>
        </is>
      </c>
      <c r="U2870" t="inlineStr">
        <is>
          <t>潮玩手办</t>
        </is>
      </c>
      <c r="V2870" s="3">
        <v>46112.78107638889</v>
      </c>
      <c r="W2870" t="inlineStr">
        <is>
          <t>2026-Q1</t>
        </is>
      </c>
    </row>
    <row r="2871" ht="25.5" customHeight="1">
      <c r="A2871" t="inlineStr">
        <is>
          <t>【预售】yaya原创鬼灭之刃同人20cm棉花娃娃及娃衣（非官方）</t>
        </is>
      </c>
      <c r="B2871" t="inlineStr">
        <is>
          <t>recveCblQ9pSJn.jpg</t>
        </is>
      </c>
      <c r="C2871" s="2" t="str">
        <f>=HYPERLINK("https://xhslink.com/m/9DxMGs6IApS", "https://xhslink.com/m/9DxMGs6IApS")</f>
        <v>https://xhslink.com/m/9DxMGs6IApS</v>
      </c>
      <c r="D2871"/>
      <c r="E2871">
        <v>10000</v>
      </c>
      <c r="F2871">
        <v>64</v>
      </c>
      <c r="G2871"/>
      <c r="H2871">
        <v>100</v>
      </c>
      <c r="I2871" t="inlineStr">
        <is>
          <t>棉花娃娃</t>
        </is>
      </c>
      <c r="J2871" t="inlineStr">
        <is>
          <t>0.01</t>
        </is>
      </c>
      <c r="K2871"/>
      <c r="L2871" t="inlineStr">
        <is>
          <t>yaya来电的店</t>
        </is>
      </c>
      <c r="M2871">
        <v>16000</v>
      </c>
      <c r="N2871">
        <v>4.59</v>
      </c>
      <c r="O2871">
        <v>203000</v>
      </c>
      <c r="P2871" t="inlineStr">
        <is>
          <t>6957b73eac83a20001ddbf46</t>
        </is>
      </c>
      <c r="Q2871" t="inlineStr">
        <is>
          <t>🚫重复</t>
        </is>
      </c>
      <c r="R2871" t="inlineStr">
        <is>
          <t>14周</t>
        </is>
      </c>
      <c r="S2871" t="inlineStr">
        <is>
          <t>0.62</t>
        </is>
      </c>
      <c r="T2871" t="inlineStr">
        <is>
          <t>运动潮玩</t>
        </is>
      </c>
      <c r="U2871" t="inlineStr">
        <is>
          <t>潮玩手办</t>
        </is>
      </c>
      <c r="V2871" s="3">
        <v>46112.78107638889</v>
      </c>
      <c r="W2871" t="inlineStr">
        <is>
          <t>2026-Q1</t>
        </is>
      </c>
    </row>
    <row r="2872" ht="25.5" customHeight="1">
      <c r="A2872" t="inlineStr">
        <is>
          <t>9.9r|恋与深空10cm小饼干体沈星回祁煜黎深秦彻夏以昼棉花娃娃</t>
        </is>
      </c>
      <c r="B2872" t="inlineStr">
        <is>
          <t>recveCblQ9GOWr.jpg</t>
        </is>
      </c>
      <c r="C2872" s="2" t="str">
        <f>=HYPERLINK("https://xhslink.com/m/DKZkcE6kAy", "https://xhslink.com/m/DKZkcE6kAy")</f>
        <v>https://xhslink.com/m/DKZkcE6kAy</v>
      </c>
      <c r="D2872"/>
      <c r="E2872">
        <v>6161</v>
      </c>
      <c r="F2872">
        <v>74.5</v>
      </c>
      <c r="G2872">
        <v>46.5</v>
      </c>
      <c r="H2872">
        <v>100</v>
      </c>
      <c r="I2872" t="inlineStr">
        <is>
          <t>棉花娃娃</t>
        </is>
      </c>
      <c r="J2872" t="inlineStr">
        <is>
          <t>0.02</t>
        </is>
      </c>
      <c r="K2872"/>
      <c r="L2872" t="inlineStr">
        <is>
          <t>一亩棉花地的店</t>
        </is>
      </c>
      <c r="M2872">
        <v>49000</v>
      </c>
      <c r="N2872">
        <v>4.49</v>
      </c>
      <c r="O2872">
        <v>134000</v>
      </c>
      <c r="P2872" t="inlineStr">
        <is>
          <t>695390b523d3ce0001229a06</t>
        </is>
      </c>
      <c r="Q2872" t="inlineStr">
        <is>
          <t>🚫重复</t>
        </is>
      </c>
      <c r="R2872" t="inlineStr">
        <is>
          <t>14周</t>
        </is>
      </c>
      <c r="S2872" t="inlineStr">
        <is>
          <t>0.13</t>
        </is>
      </c>
      <c r="T2872" t="inlineStr">
        <is>
          <t>美食滋补</t>
        </is>
      </c>
      <c r="U2872" t="inlineStr">
        <is>
          <t>休闲零食</t>
        </is>
      </c>
      <c r="V2872" s="3">
        <v>46112.78107638889</v>
      </c>
      <c r="W2872" t="inlineStr">
        <is>
          <t>2026-Q1</t>
        </is>
      </c>
    </row>
    <row r="2873" ht="25.5" customHeight="1">
      <c r="A2873" t="inlineStr">
        <is>
          <t>【预售】暖暖大喵原创同人5cm大头海星体头套头圈棉花娃娃挂件</t>
        </is>
      </c>
      <c r="B2873" t="inlineStr">
        <is>
          <t>recveCblQ9d7g0.jpg</t>
        </is>
      </c>
      <c r="C2873" s="2" t="str">
        <f>=HYPERLINK("https://xhslink.com/m/8TdSoTlnRIN", "https://xhslink.com/m/8TdSoTlnRIN")</f>
        <v>https://xhslink.com/m/8TdSoTlnRIN</v>
      </c>
      <c r="D2873"/>
      <c r="E2873">
        <v>1443</v>
      </c>
      <c r="F2873">
        <v>49</v>
      </c>
      <c r="G2873"/>
      <c r="H2873">
        <v>100</v>
      </c>
      <c r="I2873" t="inlineStr">
        <is>
          <t>棉花娃娃</t>
        </is>
      </c>
      <c r="J2873" t="inlineStr">
        <is>
          <t>0.07</t>
        </is>
      </c>
      <c r="K2873"/>
      <c r="L2873" t="inlineStr">
        <is>
          <t>Wawa同人社的店</t>
        </is>
      </c>
      <c r="M2873">
        <v>67000</v>
      </c>
      <c r="N2873">
        <v>4.64</v>
      </c>
      <c r="O2873">
        <v>82000</v>
      </c>
      <c r="P2873" t="inlineStr">
        <is>
          <t>697c797ea5576f0001389d26</t>
        </is>
      </c>
      <c r="Q2873" t="inlineStr">
        <is>
          <t>🚫重复</t>
        </is>
      </c>
      <c r="R2873" t="inlineStr">
        <is>
          <t>14周</t>
        </is>
      </c>
      <c r="S2873" t="inlineStr">
        <is>
          <t>0.02</t>
        </is>
      </c>
      <c r="T2873" t="inlineStr">
        <is>
          <t>运动潮玩</t>
        </is>
      </c>
      <c r="U2873" t="inlineStr">
        <is>
          <t>潮玩手办</t>
        </is>
      </c>
      <c r="V2873" s="3">
        <v>46112.78107638889</v>
      </c>
      <c r="W2873" t="inlineStr">
        <is>
          <t>2026-Q1</t>
        </is>
      </c>
    </row>
    <row r="2874" ht="25.5" customHeight="1">
      <c r="A2874" t="inlineStr">
        <is>
          <t>棉花星球原创正版10cm棉花娃娃男女衣服斗篷玩偶周可可公仔海星体</t>
        </is>
      </c>
      <c r="B2874" t="inlineStr">
        <is>
          <t>recveCblQ94D4F.jpg</t>
        </is>
      </c>
      <c r="C2874" s="2" t="str">
        <f>=HYPERLINK("https://xhslink.com/m/4aHwT0usDT1", "https://xhslink.com/m/4aHwT0usDT1")</f>
        <v>https://xhslink.com/m/4aHwT0usDT1</v>
      </c>
      <c r="D2874"/>
      <c r="E2874">
        <v>3876</v>
      </c>
      <c r="F2874">
        <v>20</v>
      </c>
      <c r="G2874"/>
      <c r="H2874">
        <v>100</v>
      </c>
      <c r="I2874" t="inlineStr">
        <is>
          <t>棉花娃娃</t>
        </is>
      </c>
      <c r="J2874" t="inlineStr">
        <is>
          <t>0.03</t>
        </is>
      </c>
      <c r="K2874"/>
      <c r="L2874" t="inlineStr">
        <is>
          <t>棉花星球的店</t>
        </is>
      </c>
      <c r="M2874">
        <v>119000</v>
      </c>
      <c r="N2874">
        <v>4.66</v>
      </c>
      <c r="O2874">
        <v>45000</v>
      </c>
      <c r="P2874" t="inlineStr">
        <is>
          <t>68ae7c2b5ce8aa0001456564</t>
        </is>
      </c>
      <c r="Q2874" t="inlineStr">
        <is>
          <t>🚫重复</t>
        </is>
      </c>
      <c r="R2874" t="inlineStr">
        <is>
          <t>14周</t>
        </is>
      </c>
      <c r="S2874" t="inlineStr">
        <is>
          <t>0.03</t>
        </is>
      </c>
      <c r="T2874" t="inlineStr">
        <is>
          <t>母婴亲子</t>
        </is>
      </c>
      <c r="U2874" t="inlineStr">
        <is>
          <t>玩具早教</t>
        </is>
      </c>
      <c r="V2874" s="3">
        <v>46112.78107638889</v>
      </c>
      <c r="W2874" t="inlineStr">
        <is>
          <t>2026-Q1</t>
        </is>
      </c>
    </row>
    <row r="2875" ht="25.5" customHeight="1">
      <c r="A2875" t="inlineStr">
        <is>
          <t>全款|恋与深空沈星回祁煜黎深秦彻夏以昼5cm棉花娃娃裸娃有</t>
        </is>
      </c>
      <c r="B2875" t="inlineStr">
        <is>
          <t>recveCblQ9LQpP.jpg</t>
        </is>
      </c>
      <c r="C2875" s="2" t="str">
        <f>=HYPERLINK("https://xhslink.com/m/5hySq0uReIL", "https://xhslink.com/m/5hySq0uReIL")</f>
        <v>https://xhslink.com/m/5hySq0uReIL</v>
      </c>
      <c r="D2875"/>
      <c r="E2875">
        <v>2426</v>
      </c>
      <c r="F2875">
        <v>39.9</v>
      </c>
      <c r="G2875">
        <v>27.9</v>
      </c>
      <c r="H2875">
        <v>100</v>
      </c>
      <c r="I2875" t="inlineStr">
        <is>
          <t>棉花娃娃</t>
        </is>
      </c>
      <c r="J2875" t="inlineStr">
        <is>
          <t>0.04</t>
        </is>
      </c>
      <c r="K2875"/>
      <c r="L2875" t="inlineStr">
        <is>
          <t>一亩棉花地的店</t>
        </is>
      </c>
      <c r="M2875">
        <v>49000</v>
      </c>
      <c r="N2875">
        <v>4.49</v>
      </c>
      <c r="O2875">
        <v>134000</v>
      </c>
      <c r="P2875" t="inlineStr">
        <is>
          <t>68db810cc67e470001358283</t>
        </is>
      </c>
      <c r="Q2875" t="inlineStr">
        <is>
          <t>🚫重复</t>
        </is>
      </c>
      <c r="R2875" t="inlineStr">
        <is>
          <t>14周</t>
        </is>
      </c>
      <c r="S2875" t="inlineStr">
        <is>
          <t>0.05</t>
        </is>
      </c>
      <c r="T2875" t="inlineStr">
        <is>
          <t>运动潮玩</t>
        </is>
      </c>
      <c r="U2875" t="inlineStr">
        <is>
          <t>潮玩手办</t>
        </is>
      </c>
      <c r="V2875" s="3">
        <v>46112.78107638889</v>
      </c>
      <c r="W2875" t="inlineStr">
        <is>
          <t>2026-Q1</t>
        </is>
      </c>
    </row>
    <row r="2876" ht="25.5" customHeight="1">
      <c r="A2876" t="inlineStr">
        <is>
          <t>ELFO亚克力吧唧保护盒分区收纳超清高透干湿分离谷子收纳谷美神器</t>
        </is>
      </c>
      <c r="B2876" t="inlineStr">
        <is>
          <t>recveCblQ99FUn.jpg</t>
        </is>
      </c>
      <c r="C2876" s="2" t="str">
        <f>=HYPERLINK("https://xhslink.com/m/4VsqjMYuakW", "https://xhslink.com/m/4VsqjMYuakW")</f>
        <v>https://xhslink.com/m/4VsqjMYuakW</v>
      </c>
      <c r="D2876"/>
      <c r="E2876">
        <v>19000</v>
      </c>
      <c r="F2876">
        <v>8.5</v>
      </c>
      <c r="G2876"/>
      <c r="H2876">
        <v>100</v>
      </c>
      <c r="I2876" t="inlineStr">
        <is>
          <t>谷子</t>
        </is>
      </c>
      <c r="J2876" t="inlineStr">
        <is>
          <t>0.01</t>
        </is>
      </c>
      <c r="K2876"/>
      <c r="L2876" t="inlineStr">
        <is>
          <t>ELFO元素聚焦的店</t>
        </is>
      </c>
      <c r="M2876">
        <v>100000</v>
      </c>
      <c r="N2876">
        <v>4.82</v>
      </c>
      <c r="O2876">
        <v>55000</v>
      </c>
      <c r="P2876" t="inlineStr">
        <is>
          <t>681064ddbf391700014e40eb</t>
        </is>
      </c>
      <c r="Q2876"/>
      <c r="R2876" t="inlineStr">
        <is>
          <t>14周</t>
        </is>
      </c>
      <c r="S2876" t="inlineStr">
        <is>
          <t>0.19</t>
        </is>
      </c>
      <c r="T2876" t="inlineStr">
        <is>
          <t>家居生活</t>
        </is>
      </c>
      <c r="U2876" t="inlineStr">
        <is>
          <t>家居日用</t>
        </is>
      </c>
      <c r="V2876" s="3">
        <v>46112.78107638889</v>
      </c>
      <c r="W2876" t="inlineStr">
        <is>
          <t>2026-Q1</t>
        </is>
      </c>
    </row>
    <row r="2877" ht="25.5" customHeight="1">
      <c r="A2877" t="inlineStr">
        <is>
          <t>加大款香蕉夹香蕉夹抓夹后脑勺发卡高级感竖夹一字夹发饰女 · --豹纹、琥珀款都稍有色差，介意慎拍！！</t>
        </is>
      </c>
      <c r="B2877" t="inlineStr">
        <is>
          <t>recveCblQ9aD8X.jpg</t>
        </is>
      </c>
      <c r="C2877" s="2" t="str">
        <f>=HYPERLINK("https://xhslink.com/m/4BmDvJe3kYR", "https://xhslink.com/m/4BmDvJe3kYR")</f>
        <v>https://xhslink.com/m/4BmDvJe3kYR</v>
      </c>
      <c r="D2877"/>
      <c r="E2877">
        <v>71000</v>
      </c>
      <c r="F2877">
        <v>99.9</v>
      </c>
      <c r="G2877">
        <v>84.91</v>
      </c>
      <c r="H2877">
        <v>100</v>
      </c>
      <c r="I2877" t="inlineStr">
        <is>
          <t>发卡</t>
        </is>
      </c>
      <c r="J2877" t="inlineStr">
        <is>
          <t>0.00</t>
        </is>
      </c>
      <c r="K2877" t="inlineStr">
        <is>
          <t>🔥低粉爆款</t>
        </is>
      </c>
      <c r="L2877" t="inlineStr">
        <is>
          <t>漫曼日用的店</t>
        </is>
      </c>
      <c r="M2877">
        <v>1235</v>
      </c>
      <c r="N2877">
        <v>4.68</v>
      </c>
      <c r="O2877">
        <v>77000</v>
      </c>
      <c r="P2877" t="inlineStr">
        <is>
          <t>691fb4e718096d00016e9e9a</t>
        </is>
      </c>
      <c r="Q2877"/>
      <c r="R2877" t="inlineStr">
        <is>
          <t>14周</t>
        </is>
      </c>
      <c r="S2877" t="inlineStr">
        <is>
          <t>57.49</t>
        </is>
      </c>
      <c r="T2877" t="inlineStr">
        <is>
          <t>服饰穿搭</t>
        </is>
      </c>
      <c r="U2877" t="inlineStr">
        <is>
          <t>配饰</t>
        </is>
      </c>
      <c r="V2877" s="3">
        <v>46112.78107638889</v>
      </c>
      <c r="W2877" t="inlineStr">
        <is>
          <t>2026-Q1</t>
        </is>
      </c>
    </row>
    <row r="2878" ht="25.5" customHeight="1">
      <c r="A2878" t="inlineStr">
        <is>
          <t>冷淡风气质醋酸鲨鱼夹秋冬款八爪夹日常通勤饱满盘发发夹女</t>
        </is>
      </c>
      <c r="B2878" t="inlineStr">
        <is>
          <t>recveCblQ9qhjL.jpg</t>
        </is>
      </c>
      <c r="C2878" s="2" t="str">
        <f>=HYPERLINK("https://xhslink.com/m/5FpcdNHnwqU", "https://www.xiaohongshu.com/goods-detail/68aaab786f3f720001837267?xsec_token=XBB0jkg4O93VzgcOqzgl_M3PI416pxV9k_m-cPLCqEBt4=&amp;xsec_source=app_share&amp;instation_link=xhsdiscover%3A%2F%2Fgoods_detail%2F68aaab786f3f720001837267%3Ftrade_ext%3DeyJjaGFubmVsSW5mbyI6bnVsbCwiZHNUb2tlbkluZm8iOm51bGwsInNoYXJlTGluayI6Imh0dHBzOi8vd3d3LnhpYW9ob25nc2h1LmNvbS9nb29kcy1kZXRhaWwvNjhhYWFiNzg2ZjNmNzIwMDAxODM3MjY3P2FwcHVpZD01OTA4ODZjMzM0NjA5NDIzNWUzYjZjODMiLCJsaXZlSW5mbyI6bnVsbCwic2hvcEluZm8iOm51bGwsImdvb2RzTm90ZUluZm8iOm51bGwsImNoYXRJbmZvIjpudWxsLCJzZWFyY2hJbmZvIjpudWxsLCJwcmVmZXIiOm51bGx9%26rate_limit_meta%3DitemId%253D68aaab786f3f72000183725d%26source%3D%26back_chain_id%3Dgoods_detail_share%26rn%3Dtrue&amp;xhsshare=CopyLink&amp;appuid=590886c3346094235e3b6c83&amp;apptime=1774111649&amp;share_id=2f506b4f2992448083c3493633cdd0e2")</f>
        <v>https://www.xiaohongshu.com/goods-detail/68aaab786f3f720001837267?xsec_token=XBB0jkg4O93VzgcOqzgl_M3PI416pxV9k_m-cPLCqEBt4=&amp;xsec_source=app_share&amp;instation_link=xhsdiscover%3A%2F%2Fgoods_detail%2F68aaab786f3f720001837267%3Ftrade_ext%3DeyJjaGFubmVsSW5mbyI6bnVsbCwiZHNUb2tlbkluZm8iOm51bGwsInNoYXJlTGluayI6Imh0dHBzOi8vd3d3LnhpYW9ob25nc2h1LmNvbS9nb29kcy1kZXRhaWwvNjhhYWFiNzg2ZjNmNzIwMDAxODM3MjY3P2FwcHVpZD01OTA4ODZjMzM0NjA5NDIzNWUzYjZjODMiLCJsaXZlSW5mbyI6bnVsbCwic2hvcEluZm8iOm51bGwsImdvb2RzTm90ZUluZm8iOm51bGwsImNoYXRJbmZvIjpudWxsLCJzZWFyY2hJbmZvIjpudWxsLCJwcmVmZXIiOm51bGx9%26rate_limit_meta%3DitemId%253D68aaab786f3f72000183725d%26source%3D%26back_chain_id%3Dgoods_detail_share%26rn%3Dtrue&amp;xhsshare=CopyLink&amp;appuid=590886c3346094235e3b6c83&amp;apptime=1774111649&amp;share_id=2f506b4f2992448083c3493633cdd0e2</v>
      </c>
      <c r="D2878"/>
      <c r="E2878">
        <v>19000</v>
      </c>
      <c r="F2878">
        <v>22.8</v>
      </c>
      <c r="G2878">
        <v>12.8</v>
      </c>
      <c r="H2878">
        <v>100</v>
      </c>
      <c r="I2878" t="inlineStr">
        <is>
          <t>发卡</t>
        </is>
      </c>
      <c r="J2878" t="inlineStr">
        <is>
          <t>0.01</t>
        </is>
      </c>
      <c r="K2878" t="inlineStr">
        <is>
          <t>🔥低粉爆款</t>
        </is>
      </c>
      <c r="L2878" t="inlineStr">
        <is>
          <t>月球保姆的店</t>
        </is>
      </c>
      <c r="M2878">
        <v>597</v>
      </c>
      <c r="N2878">
        <v>4.35</v>
      </c>
      <c r="O2878">
        <v>26000</v>
      </c>
      <c r="P2878" t="inlineStr">
        <is>
          <t>68aaab786f3f720001837267</t>
        </is>
      </c>
      <c r="Q2878" t="inlineStr">
        <is>
          <t>🚫重复</t>
        </is>
      </c>
      <c r="R2878" t="inlineStr">
        <is>
          <t>14周</t>
        </is>
      </c>
      <c r="S2878" t="inlineStr">
        <is>
          <t>31.83</t>
        </is>
      </c>
      <c r="T2878" t="inlineStr">
        <is>
          <t>服饰穿搭</t>
        </is>
      </c>
      <c r="U2878" t="inlineStr">
        <is>
          <t>配饰</t>
        </is>
      </c>
      <c r="V2878" s="3">
        <v>46112.78107638889</v>
      </c>
      <c r="W2878" t="inlineStr">
        <is>
          <t>2026-Q1</t>
        </is>
      </c>
    </row>
    <row r="2879" ht="25.5" customHeight="1">
      <c r="A2879" t="inlineStr">
        <is>
          <t>13cm超大号蝴蝶结香蕉夹缎面超有质感韩系双排齿马尾夹扁头必入</t>
        </is>
      </c>
      <c r="B2879" t="inlineStr">
        <is>
          <t>recveCblQ9aC2o.jpg</t>
        </is>
      </c>
      <c r="C2879" s="2" t="str">
        <f>=HYPERLINK("https://xhslink.com/m/9NEyLWuooOY", "https://xhslink.com/m/9NEyLWuooOY")</f>
        <v>https://xhslink.com/m/9NEyLWuooOY</v>
      </c>
      <c r="D2879"/>
      <c r="E2879">
        <v>18000</v>
      </c>
      <c r="F2879"/>
      <c r="G2879">
        <v>12.99</v>
      </c>
      <c r="H2879">
        <v>100</v>
      </c>
      <c r="I2879" t="inlineStr">
        <is>
          <t>发卡</t>
        </is>
      </c>
      <c r="J2879" t="inlineStr">
        <is>
          <t>0.01</t>
        </is>
      </c>
      <c r="K2879" t="inlineStr">
        <is>
          <t>🔥低粉爆款</t>
        </is>
      </c>
      <c r="L2879" t="inlineStr">
        <is>
          <t>喜饰研究所的店</t>
        </is>
      </c>
      <c r="M2879">
        <v>2442</v>
      </c>
      <c r="N2879">
        <v>4.47</v>
      </c>
      <c r="O2879">
        <v>24000</v>
      </c>
      <c r="P2879" t="inlineStr">
        <is>
          <t>68e0e68a7d3b3f0001df30b0</t>
        </is>
      </c>
      <c r="Q2879"/>
      <c r="R2879" t="inlineStr">
        <is>
          <t>14周</t>
        </is>
      </c>
      <c r="S2879" t="inlineStr">
        <is>
          <t>7.37</t>
        </is>
      </c>
      <c r="T2879" t="inlineStr">
        <is>
          <t>服饰穿搭</t>
        </is>
      </c>
      <c r="U2879" t="inlineStr">
        <is>
          <t>配饰</t>
        </is>
      </c>
      <c r="V2879" s="3">
        <v>46112.78107638889</v>
      </c>
      <c r="W2879" t="inlineStr">
        <is>
          <t>2026-Q1</t>
        </is>
      </c>
    </row>
    <row r="2880" ht="25.5" customHeight="1">
      <c r="A2880" t="inlineStr">
        <is>
          <t>ROSYDOEDIAN · 「撇起系列骨头发抓」大号小号鲨鱼夹子发夹扁平抓夹发饰创意甜美</t>
        </is>
      </c>
      <c r="B2880" t="inlineStr">
        <is>
          <t>recveCblQ9kbhk.jpg</t>
        </is>
      </c>
      <c r="C2880" s="2" t="str">
        <f>=HYPERLINK("https://www.xiaohongshu.com/goods-detail/6923cbfe95624300015c1baf?xsec_token=XBog8TruBnKpI5k1XesVA6qCCgrt34ZG2Fkgsks1zu2rg=&amp;xsec_source=app_share&amp;instation_link=xhsdiscover://goods_detail/6923cbfe95624300015c1baf?trade_ext=eyJjaGFubmVsSW5mbyI6bnVsbCwiZHNUb2tlbkluZm8iOm51bGwsInNoYXJlTGluayI6Imh0dHBzOi8vd3d3LnhpYW9ob25nc2h1LmNvbS9nb29kcy1kZXRhaWwvNjkyM2NiZmU5NTYyNDMwMDAxNWMxYmFmP2FwcHVpZD01OTA4ODZjMzM0NjA5NDIzNWUzYjZjODMiLCJsaXZlSW5mbyI6bnVsbCwic2hvcEluZm8iOm51bGwsImdvb2RzTm90ZUluZm8iOm51bGwsImNoYXRJbmZvIjpudWxsLCJzZWFyY2hJbmZvIjpudWxsLCJwcmVmZXIiOm51bGx9&amp;rate_limit_meta=itemId%3D690db75662d5c40001038ae7&amp;source=&amp;back_chain_id=goods_detail_share&amp;rn=true&amp;xhsshare=CopyLink&amp;appuid=590886c3346094235e3b6c83&amp;apptime=1774111728&amp;share_id=e97bc0fc3a2b4da9a907cb8a9c280bee", "https://www.xiaohongshu.com/goods-detail/6923cbfe95624300015c1baf?xsec_token=XBog8TruBnKpI5k1XesVA6qCCgrt34ZG2Fkgsks1zu2rg=&amp;xsec_source=app_share&amp;instation_link=xhsdiscover%3A%2F%2Fgoods_detail%2F6923cbfe95624300015c1baf%3Ftrade_ext%3DeyJjaGFubmVsSW5mbyI6bnVsbCwiZHNUb2tlbkluZm8iOm51bGwsInNoYXJlTGluayI6Imh0dHBzOi8vd3d3LnhpYW9ob25nc2h1LmNvbS9nb29kcy1kZXRhaWwvNjkyM2NiZmU5NTYyNDMwMDAxNWMxYmFmP2FwcHVpZD01OTA4ODZjMzM0NjA5NDIzNWUzYjZjODMiLCJsaXZlSW5mbyI6bnVsbCwic2hvcEluZm8iOm51bGwsImdvb2RzTm90ZUluZm8iOm51bGwsImNoYXRJbmZvIjpudWxsLCJzZWFyY2hJbmZvIjpudWxsLCJwcmVmZXIiOm51bGx9%26rate_limit_meta%3DitemId%253D690db75662d5c40001038ae7%26source%3D%26back_chain_id%3Dgoods_detail_share%26rn%3Dtrue&amp;xhsshare=CopyLink&amp;appuid=590886c3346094235e3b6c83&amp;apptime=1774111728&amp;share_id=e97bc0fc3a2b4da9a907cb8a9c280bee")</f>
        <v>https://www.xiaohongshu.com/goods-detail/6923cbfe95624300015c1baf?xsec_token=XBog8TruBnKpI5k1XesVA6qCCgrt34ZG2Fkgsks1zu2rg=&amp;xsec_source=app_share&amp;instation_link=xhsdiscover%3A%2F%2Fgoods_detail%2F6923cbfe95624300015c1baf%3Ftrade_ext%3DeyJjaGFubmVsSW5mbyI6bnVsbCwiZHNUb2tlbkluZm8iOm51bGwsInNoYXJlTGluayI6Imh0dHBzOi8vd3d3LnhpYW9ob25nc2h1LmNvbS9nb29kcy1kZXRhaWwvNjkyM2NiZmU5NTYyNDMwMDAxNWMxYmFmP2FwcHVpZD01OTA4ODZjMzM0NjA5NDIzNWUzYjZjODMiLCJsaXZlSW5mbyI6bnVsbCwic2hvcEluZm8iOm51bGwsImdvb2RzTm90ZUluZm8iOm51bGwsImNoYXRJbmZvIjpudWxsLCJzZWFyY2hJbmZvIjpudWxsLCJwcmVmZXIiOm51bGx9%26rate_limit_meta%3DitemId%253D690db75662d5c40001038ae7%26source%3D%26back_chain_id%3Dgoods_detail_share%26rn%3Dtrue&amp;xhsshare=CopyLink&amp;appuid=590886c3346094235e3b6c83&amp;apptime=1774111728&amp;share_id=e97bc0fc3a2b4da9a907cb8a9c280bee</v>
      </c>
      <c r="D2880"/>
      <c r="E2880">
        <v>9305</v>
      </c>
      <c r="F2880">
        <v>113</v>
      </c>
      <c r="G2880">
        <v>99</v>
      </c>
      <c r="H2880">
        <v>100</v>
      </c>
      <c r="I2880" t="inlineStr">
        <is>
          <t>发卡</t>
        </is>
      </c>
      <c r="J2880" t="inlineStr">
        <is>
          <t>0.01</t>
        </is>
      </c>
      <c r="K2880"/>
      <c r="L2880" t="inlineStr">
        <is>
          <t>ROSYDOEDIAN的店</t>
        </is>
      </c>
      <c r="M2880">
        <v>281000</v>
      </c>
      <c r="N2880">
        <v>4.58</v>
      </c>
      <c r="O2880">
        <v>172000</v>
      </c>
      <c r="P2880" t="inlineStr">
        <is>
          <t>6923cbfe95624300015c1baf</t>
        </is>
      </c>
      <c r="Q2880"/>
      <c r="R2880" t="inlineStr">
        <is>
          <t>14周</t>
        </is>
      </c>
      <c r="S2880" t="inlineStr">
        <is>
          <t>0.03</t>
        </is>
      </c>
      <c r="T2880" t="inlineStr">
        <is>
          <t>服饰穿搭</t>
        </is>
      </c>
      <c r="U2880" t="inlineStr">
        <is>
          <t>配饰</t>
        </is>
      </c>
      <c r="V2880" s="3">
        <v>46112.78107638889</v>
      </c>
      <c r="W2880" t="inlineStr">
        <is>
          <t>2026-Q1</t>
        </is>
      </c>
    </row>
    <row r="2881" ht="25.5" customHeight="1">
      <c r="A2881" t="inlineStr">
        <is>
          <t>【儿保推荐】0~3岁蒙氏拼图中英双语启蒙早教蒙氏玩具婴童专用</t>
        </is>
      </c>
      <c r="B2881" t="inlineStr">
        <is>
          <t>recveCblQ9tBLC.jpg</t>
        </is>
      </c>
      <c r="C2881" s="2" t="str">
        <f>=HYPERLINK("https://www.xiaohongshu.com/goods-detail/68b6800711843c0001f20090?xsec_token=XBm_o405AYKoH4-wz85FOWENyGi0L1zsElYBGCxHIEm58=&amp;xsec_source=app_share&amp;instation_link=xhsdiscover://goods_detail/68b6800711843c0001f20090?trade_ext=eyJjaGFubmVsSW5mbyI6bnVsbCwiZHNUb2tlbkluZm8iOm51bGwsInNoYXJlTGluayI6Imh0dHBzOi8vd3d3LnhpYW9ob25nc2h1LmNvbS9nb29kcy1kZXRhaWwvNjhiNjgwMDcxMTg0M2MwMDAxZjIwMDkwP2FwcHVpZD01OTA4ODZjMzM0NjA5NDIzNWUzYjZjODMiLCJsaXZlSW5mbyI6bnVsbCwic2hvcEluZm8iOm51bGwsImdvb2RzTm90ZUluZm8iOm51bGwsImNoYXRJbmZvIjpudWxsLCJzZWFyY2hJbmZvIjpudWxsLCJwcmVmZXIiOm51bGx9&amp;rate_limit_meta=itemId%3D68b67eea4290ae00157b3bd6&amp;source=&amp;back_chain_id=goods_detail_share&amp;rn=true&amp;xhsshare=CopyLink&amp;appuid=590886c3346094235e3b6c83&amp;apptime=1774180601&amp;share_id=25e261b0dfec4d2c922c9a81bc36ba8d", "https://www.xiaohongshu.com/goods-detail/68b6800711843c0001f20090?xsec_token=XBm_o405AYKoH4-wz85FOWENyGi0L1zsElYBGCxHIEm58=&amp;xsec_source=app_share&amp;instation_link=xhsdiscover%3A%2F%2Fgoods_detail%2F68b6800711843c0001f20090%3Ftrade_ext%3DeyJjaGFubmVsSW5mbyI6bnVsbCwiZHNUb2tlbkluZm8iOm51bGwsInNoYXJlTGluayI6Imh0dHBzOi8vd3d3LnhpYW9ob25nc2h1LmNvbS9nb29kcy1kZXRhaWwvNjhiNjgwMDcxMTg0M2MwMDAxZjIwMDkwP2FwcHVpZD01OTA4ODZjMzM0NjA5NDIzNWUzYjZjODMiLCJsaXZlSW5mbyI6bnVsbCwic2hvcEluZm8iOm51bGwsImdvb2RzTm90ZUluZm8iOm51bGwsImNoYXRJbmZvIjpudWxsLCJzZWFyY2hJbmZvIjpudWxsLCJwcmVmZXIiOm51bGx9%26rate_limit_meta%3DitemId%253D68b67eea4290ae00157b3bd6%26source%3D%26back_chain_id%3Dgoods_detail_share%26rn%3Dtrue&amp;xhsshare=CopyLink&amp;appuid=590886c3346094235e3b6c83&amp;apptime=1774180601&amp;share_id=25e261b0dfec4d2c922c9a81bc36ba8d")</f>
        <v>https://www.xiaohongshu.com/goods-detail/68b6800711843c0001f20090?xsec_token=XBm_o405AYKoH4-wz85FOWENyGi0L1zsElYBGCxHIEm58=&amp;xsec_source=app_share&amp;instation_link=xhsdiscover%3A%2F%2Fgoods_detail%2F68b6800711843c0001f20090%3Ftrade_ext%3DeyJjaGFubmVsSW5mbyI6bnVsbCwiZHNUb2tlbkluZm8iOm51bGwsInNoYXJlTGluayI6Imh0dHBzOi8vd3d3LnhpYW9ob25nc2h1LmNvbS9nb29kcy1kZXRhaWwvNjhiNjgwMDcxMTg0M2MwMDAxZjIwMDkwP2FwcHVpZD01OTA4ODZjMzM0NjA5NDIzNWUzYjZjODMiLCJsaXZlSW5mbyI6bnVsbCwic2hvcEluZm8iOm51bGwsImdvb2RzTm90ZUluZm8iOm51bGwsImNoYXRJbmZvIjpudWxsLCJzZWFyY2hJbmZvIjpudWxsLCJwcmVmZXIiOm51bGx9%26rate_limit_meta%3DitemId%253D68b67eea4290ae00157b3bd6%26source%3D%26back_chain_id%3Dgoods_detail_share%26rn%3Dtrue&amp;xhsshare=CopyLink&amp;appuid=590886c3346094235e3b6c83&amp;apptime=1774180601&amp;share_id=25e261b0dfec4d2c922c9a81bc36ba8d</v>
      </c>
      <c r="D2881"/>
      <c r="E2881">
        <v>53000</v>
      </c>
      <c r="F2881">
        <v>69.9</v>
      </c>
      <c r="G2881">
        <v>35.9</v>
      </c>
      <c r="H2881">
        <v>100</v>
      </c>
      <c r="I2881" t="inlineStr">
        <is>
          <t>玩具</t>
        </is>
      </c>
      <c r="J2881" t="inlineStr">
        <is>
          <t>0.00</t>
        </is>
      </c>
      <c r="K2881" t="inlineStr">
        <is>
          <t>🔥低粉爆款</t>
        </is>
      </c>
      <c r="L2881" t="inlineStr">
        <is>
          <t>辣妈美美好物（90斤版）的店</t>
        </is>
      </c>
      <c r="M2881">
        <v>6312</v>
      </c>
      <c r="N2881">
        <v>4.66</v>
      </c>
      <c r="O2881">
        <v>202000</v>
      </c>
      <c r="P2881" t="inlineStr">
        <is>
          <t>68b6800711843c0001f20090</t>
        </is>
      </c>
      <c r="Q2881" t="inlineStr">
        <is>
          <t>🚫重复</t>
        </is>
      </c>
      <c r="R2881" t="inlineStr">
        <is>
          <t>14周</t>
        </is>
      </c>
      <c r="S2881" t="inlineStr">
        <is>
          <t>8.40</t>
        </is>
      </c>
      <c r="T2881" t="inlineStr">
        <is>
          <t>母婴亲子</t>
        </is>
      </c>
      <c r="U2881" t="inlineStr">
        <is>
          <t>玩具早教</t>
        </is>
      </c>
      <c r="V2881" s="3">
        <v>46112.78107638889</v>
      </c>
      <c r="W2881" t="inlineStr">
        <is>
          <t>2026-Q1</t>
        </is>
      </c>
    </row>
    <row r="2882" ht="25.5" customHeight="1">
      <c r="A2882" t="inlineStr">
        <is>
          <t>生日礼物|淘嘟嘟机械狗新款智能遥控狗益智儿童生日玩具户外新年</t>
        </is>
      </c>
      <c r="B2882" t="inlineStr">
        <is>
          <t>recveCblQ9AxZA.jpg</t>
        </is>
      </c>
      <c r="C2882" s="2" t="str">
        <f>=HYPERLINK("https://www.xiaohongshu.com/goods-detail/689e96cd66d44d0001f2b6f0?xsec_token=XBnW_J34VPhv61MsL5ii-7n8AWJwL5CU0a9B5zG1aJzgc=&amp;xsec_source=app_share&amp;instation_link=xhsdiscover://goods_detail/689e96cd66d44d0001f2b6f0?trade_ext=eyJjaGFubmVsSW5mbyI6bnVsbCwiZHNUb2tlbkluZm8iOm51bGwsInNoYXJlTGluayI6Imh0dHBzOi8vd3d3LnhpYW9ob25nc2h1LmNvbS9nb29kcy1kZXRhaWwvNjg5ZTk2Y2Q2NmQ0NGQwMDAxZjJiNmYwP2FwcHVpZD01OTA4ODZjMzM0NjA5NDIzNWUzYjZjODMiLCJsaXZlSW5mbyI6bnVsbCwic2hvcEluZm8iOm51bGwsImdvb2RzTm90ZUluZm8iOm51bGwsImNoYXRJbmZvIjpudWxsLCJzZWFyY2hJbmZvIjpudWxsLCJwcmVmZXIiOm51bGx9&amp;rate_limit_meta=itemId%3D67405595ec68d7000189275b&amp;source=&amp;back_chain_id=goods_detail_share&amp;rn=true&amp;xhsshare=CopyLink&amp;appuid=590886c3346094235e3b6c83&amp;apptime=1774180726&amp;share_id=e709b2aecb99411ca1815828bc6fd75c", "https://www.xiaohongshu.com/goods-detail/689e96cd66d44d0001f2b6f0?xsec_token=XBnW_J34VPhv61MsL5ii-7n8AWJwL5CU0a9B5zG1aJzgc=&amp;xsec_source=app_share&amp;instation_link=xhsdiscover%3A%2F%2Fgoods_detail%2F689e96cd66d44d0001f2b6f0%3Ftrade_ext%3DeyJjaGFubmVsSW5mbyI6bnVsbCwiZHNUb2tlbkluZm8iOm51bGwsInNoYXJlTGluayI6Imh0dHBzOi8vd3d3LnhpYW9ob25nc2h1LmNvbS9nb29kcy1kZXRhaWwvNjg5ZTk2Y2Q2NmQ0NGQwMDAxZjJiNmYwP2FwcHVpZD01OTA4ODZjMzM0NjA5NDIzNWUzYjZjODMiLCJsaXZlSW5mbyI6bnVsbCwic2hvcEluZm8iOm51bGwsImdvb2RzTm90ZUluZm8iOm51bGwsImNoYXRJbmZvIjpudWxsLCJzZWFyY2hJbmZvIjpudWxsLCJwcmVmZXIiOm51bGx9%26rate_limit_meta%3DitemId%253D67405595ec68d7000189275b%26source%3D%26back_chain_id%3Dgoods_detail_share%26rn%3Dtrue&amp;xhsshare=CopyLink&amp;appuid=590886c3346094235e3b6c83&amp;apptime=1774180726&amp;share_id=e709b2aecb99411ca1815828bc6fd75c")</f>
        <v>https://www.xiaohongshu.com/goods-detail/689e96cd66d44d0001f2b6f0?xsec_token=XBnW_J34VPhv61MsL5ii-7n8AWJwL5CU0a9B5zG1aJzgc=&amp;xsec_source=app_share&amp;instation_link=xhsdiscover%3A%2F%2Fgoods_detail%2F689e96cd66d44d0001f2b6f0%3Ftrade_ext%3DeyJjaGFubmVsSW5mbyI6bnVsbCwiZHNUb2tlbkluZm8iOm51bGwsInNoYXJlTGluayI6Imh0dHBzOi8vd3d3LnhpYW9ob25nc2h1LmNvbS9nb29kcy1kZXRhaWwvNjg5ZTk2Y2Q2NmQ0NGQwMDAxZjJiNmYwP2FwcHVpZD01OTA4ODZjMzM0NjA5NDIzNWUzYjZjODMiLCJsaXZlSW5mbyI6bnVsbCwic2hvcEluZm8iOm51bGwsImdvb2RzTm90ZUluZm8iOm51bGwsImNoYXRJbmZvIjpudWxsLCJzZWFyY2hJbmZvIjpudWxsLCJwcmVmZXIiOm51bGx9%26rate_limit_meta%3DitemId%253D67405595ec68d7000189275b%26source%3D%26back_chain_id%3Dgoods_detail_share%26rn%3Dtrue&amp;xhsshare=CopyLink&amp;appuid=590886c3346094235e3b6c83&amp;apptime=1774180726&amp;share_id=e709b2aecb99411ca1815828bc6fd75c</v>
      </c>
      <c r="D2882"/>
      <c r="E2882">
        <v>17000</v>
      </c>
      <c r="F2882">
        <v>178</v>
      </c>
      <c r="G2882">
        <v>148</v>
      </c>
      <c r="H2882">
        <v>100</v>
      </c>
      <c r="I2882" t="inlineStr">
        <is>
          <t>玩具</t>
        </is>
      </c>
      <c r="J2882" t="inlineStr">
        <is>
          <t>0.01</t>
        </is>
      </c>
      <c r="K2882"/>
      <c r="L2882" t="inlineStr">
        <is>
          <t>淘嘟嘟的店</t>
        </is>
      </c>
      <c r="M2882">
        <v>8278</v>
      </c>
      <c r="N2882">
        <v>4.58</v>
      </c>
      <c r="O2882">
        <v>39000</v>
      </c>
      <c r="P2882" t="inlineStr">
        <is>
          <t>689e96cd66d44d0001f2b6f0</t>
        </is>
      </c>
      <c r="Q2882"/>
      <c r="R2882" t="inlineStr">
        <is>
          <t>14周</t>
        </is>
      </c>
      <c r="S2882" t="inlineStr">
        <is>
          <t>2.05</t>
        </is>
      </c>
      <c r="T2882" t="inlineStr">
        <is>
          <t>母婴亲子</t>
        </is>
      </c>
      <c r="U2882" t="inlineStr">
        <is>
          <t>童装童鞋</t>
        </is>
      </c>
      <c r="V2882" s="3">
        <v>46112.78107638889</v>
      </c>
      <c r="W2882" t="inlineStr">
        <is>
          <t>2026-Q1</t>
        </is>
      </c>
    </row>
    <row r="2883" ht="25.5" customHeight="1">
      <c r="A2883" t="inlineStr">
        <is>
          <t>【女团打造】原创自由式丰胯 无敌辣妹低腰微喇牛仔裤</t>
        </is>
      </c>
      <c r="B2883" t="inlineStr">
        <is>
          <t>recveCblQ9xytF.jpg</t>
        </is>
      </c>
      <c r="C2883" s="2" t="str">
        <f>=HYPERLINK("https://xhslink.com/m/3u4HRgKR7UI", "https://xhslink.com/m/3u4HRgKR7UI")</f>
        <v>https://xhslink.com/m/3u4HRgKR7UI</v>
      </c>
      <c r="D2883"/>
      <c r="E2883">
        <v>11000</v>
      </c>
      <c r="F2883">
        <v>199</v>
      </c>
      <c r="G2883"/>
      <c r="H2883">
        <v>100</v>
      </c>
      <c r="I2883" t="inlineStr">
        <is>
          <t>牛仔裤</t>
        </is>
      </c>
      <c r="J2883" t="inlineStr">
        <is>
          <t>0.01</t>
        </is>
      </c>
      <c r="K2883"/>
      <c r="L2883" t="inlineStr">
        <is>
          <t>行行好Haveaheart的店</t>
        </is>
      </c>
      <c r="M2883">
        <v>70000</v>
      </c>
      <c r="N2883">
        <v>4.61</v>
      </c>
      <c r="O2883">
        <v>82000</v>
      </c>
      <c r="P2883" t="inlineStr">
        <is>
          <t>66ea9929280d740001667f95</t>
        </is>
      </c>
      <c r="Q2883" t="inlineStr">
        <is>
          <t>🚫重复</t>
        </is>
      </c>
      <c r="R2883" t="inlineStr">
        <is>
          <t>14周</t>
        </is>
      </c>
      <c r="S2883" t="inlineStr">
        <is>
          <t>0.16</t>
        </is>
      </c>
      <c r="T2883" t="inlineStr">
        <is>
          <t>服饰穿搭</t>
        </is>
      </c>
      <c r="U2883" t="inlineStr">
        <is>
          <t>女装</t>
        </is>
      </c>
      <c r="V2883" s="3">
        <v>46112.78107638889</v>
      </c>
      <c r="W2883" t="inlineStr">
        <is>
          <t>2026-Q1</t>
        </is>
      </c>
    </row>
    <row r="2884" ht="25.5" customHeight="1">
      <c r="A2884" t="inlineStr">
        <is>
          <t>【镇店神裤】蓝色梨形入春神裤修饰腿型遮胯窄版阔腿直筒牛仔裤女</t>
        </is>
      </c>
      <c r="B2884" t="inlineStr">
        <is>
          <t>recveCblQ9DpCn.jpg</t>
        </is>
      </c>
      <c r="C2884" s="2" t="str">
        <f>=HYPERLINK("https://xhslink.com/m/biCmXC5uQ1", "https://xhslink.com/m/biCmXC5uQ1")</f>
        <v>https://xhslink.com/m/biCmXC5uQ1</v>
      </c>
      <c r="D2884"/>
      <c r="E2884">
        <v>29000</v>
      </c>
      <c r="F2884">
        <v>199</v>
      </c>
      <c r="G2884">
        <v>179</v>
      </c>
      <c r="H2884">
        <v>100</v>
      </c>
      <c r="I2884" t="inlineStr">
        <is>
          <t>牛仔裤</t>
        </is>
      </c>
      <c r="J2884" t="inlineStr">
        <is>
          <t>0.00</t>
        </is>
      </c>
      <c r="K2884" t="inlineStr">
        <is>
          <t>🔥低粉爆款</t>
        </is>
      </c>
      <c r="L2884" t="inlineStr">
        <is>
          <t>BLACKKUKU高定牛仔的店</t>
        </is>
      </c>
      <c r="M2884">
        <v>4114</v>
      </c>
      <c r="N2884">
        <v>4.57</v>
      </c>
      <c r="O2884">
        <v>40000</v>
      </c>
      <c r="P2884" t="inlineStr">
        <is>
          <t>67b42869db1dc100010a68ad</t>
        </is>
      </c>
      <c r="Q2884" t="inlineStr">
        <is>
          <t>🚫重复</t>
        </is>
      </c>
      <c r="R2884" t="inlineStr">
        <is>
          <t>14周</t>
        </is>
      </c>
      <c r="S2884" t="inlineStr">
        <is>
          <t>7.05</t>
        </is>
      </c>
      <c r="T2884" t="inlineStr">
        <is>
          <t>服饰穿搭</t>
        </is>
      </c>
      <c r="U2884" t="inlineStr">
        <is>
          <t>女装</t>
        </is>
      </c>
      <c r="V2884" s="3">
        <v>46112.78107638889</v>
      </c>
      <c r="W2884" t="inlineStr">
        <is>
          <t>2026-Q1</t>
        </is>
      </c>
    </row>
    <row r="2885" ht="25.5" customHeight="1">
      <c r="A2885" t="inlineStr">
        <is>
          <t>无需600+大哥同款自留高p质水洗浅咖直筒牛仔裤拿铁裤卷边也好看</t>
        </is>
      </c>
      <c r="B2885" t="inlineStr">
        <is>
          <t>recveCblQ9uFf6.jpg</t>
        </is>
      </c>
      <c r="C2885" s="2" t="str">
        <f>=HYPERLINK("https://xhslink.com/m/zU3QQoM3WP", "https://xhslink.com/m/zU3QQoM3WP")</f>
        <v>https://xhslink.com/m/zU3QQoM3WP</v>
      </c>
      <c r="D2885"/>
      <c r="E2885">
        <v>6037</v>
      </c>
      <c r="F2885">
        <v>279</v>
      </c>
      <c r="G2885">
        <v>269</v>
      </c>
      <c r="H2885">
        <v>100</v>
      </c>
      <c r="I2885" t="inlineStr">
        <is>
          <t>牛仔裤</t>
        </is>
      </c>
      <c r="J2885" t="inlineStr">
        <is>
          <t>0.02</t>
        </is>
      </c>
      <c r="K2885"/>
      <c r="L2885" t="inlineStr">
        <is>
          <t>爱穿搭de大麦麦私服社的店</t>
        </is>
      </c>
      <c r="M2885">
        <v>14000</v>
      </c>
      <c r="N2885">
        <v>4.73</v>
      </c>
      <c r="O2885">
        <v>30000</v>
      </c>
      <c r="P2885" t="inlineStr">
        <is>
          <t>68b5374a0f0ca400157155d5</t>
        </is>
      </c>
      <c r="Q2885" t="inlineStr">
        <is>
          <t>🚫重复</t>
        </is>
      </c>
      <c r="R2885" t="inlineStr">
        <is>
          <t>14周</t>
        </is>
      </c>
      <c r="S2885" t="inlineStr">
        <is>
          <t>0.43</t>
        </is>
      </c>
      <c r="T2885" t="inlineStr">
        <is>
          <t>服饰穿搭</t>
        </is>
      </c>
      <c r="U2885" t="inlineStr">
        <is>
          <t>女装</t>
        </is>
      </c>
      <c r="V2885" s="3">
        <v>46112.78107638889</v>
      </c>
      <c r="W2885" t="inlineStr">
        <is>
          <t>2026-Q1</t>
        </is>
      </c>
    </row>
    <row r="2886" ht="25.5" customHeight="1">
      <c r="A2886" t="inlineStr">
        <is>
          <t>深蓝色复古高腰显瘦直筒牛仔裤女设计感宽松休闲裤拖地裤长裤子</t>
        </is>
      </c>
      <c r="B2886" t="inlineStr">
        <is>
          <t>recveCblQ9spaw.jpg</t>
        </is>
      </c>
      <c r="C2886" s="2" t="str">
        <f>=HYPERLINK("https://xhslink.com/m/3BDJsfeCezX", "https://xhslink.com/m/3BDJsfeCezX")</f>
        <v>https://xhslink.com/m/3BDJsfeCezX</v>
      </c>
      <c r="D2886"/>
      <c r="E2886">
        <v>83000</v>
      </c>
      <c r="F2886">
        <v>89</v>
      </c>
      <c r="G2886">
        <v>88</v>
      </c>
      <c r="H2886">
        <v>100</v>
      </c>
      <c r="I2886" t="inlineStr">
        <is>
          <t>牛仔裤</t>
        </is>
      </c>
      <c r="J2886" t="inlineStr">
        <is>
          <t>0.00</t>
        </is>
      </c>
      <c r="K2886"/>
      <c r="L2886" t="inlineStr">
        <is>
          <t>哈哈哈的店</t>
        </is>
      </c>
      <c r="M2886">
        <v>202000</v>
      </c>
      <c r="N2886">
        <v>4.53</v>
      </c>
      <c r="O2886">
        <v>1069000</v>
      </c>
      <c r="P2886" t="inlineStr">
        <is>
          <t>66c466323f0b5b000138db30</t>
        </is>
      </c>
      <c r="Q2886" t="inlineStr">
        <is>
          <t>🚫重复</t>
        </is>
      </c>
      <c r="R2886" t="inlineStr">
        <is>
          <t>14周</t>
        </is>
      </c>
      <c r="S2886" t="inlineStr">
        <is>
          <t>0.41</t>
        </is>
      </c>
      <c r="T2886" t="inlineStr">
        <is>
          <t>服饰穿搭</t>
        </is>
      </c>
      <c r="U2886" t="inlineStr">
        <is>
          <t>女装</t>
        </is>
      </c>
      <c r="V2886" s="3">
        <v>46112.78107638889</v>
      </c>
      <c r="W2886" t="inlineStr">
        <is>
          <t>2026-Q1</t>
        </is>
      </c>
    </row>
    <row r="2887" ht="25.5" customHeight="1">
      <c r="A2887" t="inlineStr">
        <is>
          <t>【一穿就会爱上】美式复古高腰阔腿裤直筒七分裤牛仔裤女裤牛子裤</t>
        </is>
      </c>
      <c r="B2887" t="inlineStr">
        <is>
          <t>recveCblQ9QptJ.jpg</t>
        </is>
      </c>
      <c r="C2887" s="2" t="str">
        <f>=HYPERLINK("https://xhslink.com/m/8tNcQH3eL4b", "https://xhslink.com/m/8tNcQH3eL4b")</f>
        <v>https://xhslink.com/m/8tNcQH3eL4b</v>
      </c>
      <c r="D2887"/>
      <c r="E2887">
        <v>4611</v>
      </c>
      <c r="F2887">
        <v>108</v>
      </c>
      <c r="G2887">
        <v>78</v>
      </c>
      <c r="H2887">
        <v>100</v>
      </c>
      <c r="I2887" t="inlineStr">
        <is>
          <t>牛仔裤</t>
        </is>
      </c>
      <c r="J2887" t="inlineStr">
        <is>
          <t>0.02</t>
        </is>
      </c>
      <c r="K2887" t="inlineStr">
        <is>
          <t>🔥低粉爆款</t>
        </is>
      </c>
      <c r="L2887" t="inlineStr">
        <is>
          <t>没有双眼皮呀的店</t>
        </is>
      </c>
      <c r="M2887">
        <v>457</v>
      </c>
      <c r="N2887">
        <v>4.58</v>
      </c>
      <c r="O2887">
        <v>23000</v>
      </c>
      <c r="P2887" t="inlineStr">
        <is>
          <t>683d2106317c900001afffca</t>
        </is>
      </c>
      <c r="Q2887" t="inlineStr">
        <is>
          <t>🚫重复</t>
        </is>
      </c>
      <c r="R2887" t="inlineStr">
        <is>
          <t>14周</t>
        </is>
      </c>
      <c r="S2887" t="inlineStr">
        <is>
          <t>10.09</t>
        </is>
      </c>
      <c r="T2887" t="inlineStr">
        <is>
          <t>服饰穿搭</t>
        </is>
      </c>
      <c r="U2887" t="inlineStr">
        <is>
          <t>女装</t>
        </is>
      </c>
      <c r="V2887" s="3">
        <v>46112.78107638889</v>
      </c>
      <c r="W2887" t="inlineStr">
        <is>
          <t>2026-Q1</t>
        </is>
      </c>
    </row>
    <row r="2888" ht="25.5" customHeight="1">
      <c r="A2888" t="inlineStr">
        <is>
          <t>2026春夏新款白色宽松褶皱纹理直筒牛仔裤女显瘦垂感宽松阔腿裤子</t>
        </is>
      </c>
      <c r="B2888" t="inlineStr">
        <is>
          <t>recveCblQ9iLi1.jpg</t>
        </is>
      </c>
      <c r="C2888" s="2" t="str">
        <f>=HYPERLINK("https://xhslink.com/m/6A6kVC1j9Gg", "https://xhslink.com/m/6A6kVC1j9Gg")</f>
        <v>https://xhslink.com/m/6A6kVC1j9Gg</v>
      </c>
      <c r="D2888"/>
      <c r="E2888">
        <v>65000</v>
      </c>
      <c r="F2888">
        <v>119</v>
      </c>
      <c r="G2888">
        <v>88</v>
      </c>
      <c r="H2888">
        <v>100</v>
      </c>
      <c r="I2888" t="inlineStr">
        <is>
          <t>牛仔裤</t>
        </is>
      </c>
      <c r="J2888" t="inlineStr">
        <is>
          <t>0.00</t>
        </is>
      </c>
      <c r="K2888"/>
      <c r="L2888" t="inlineStr">
        <is>
          <t>圈圈不转圈⭕的店</t>
        </is>
      </c>
      <c r="M2888">
        <v>30000</v>
      </c>
      <c r="N2888">
        <v>4.47</v>
      </c>
      <c r="O2888">
        <v>236000</v>
      </c>
      <c r="P2888" t="inlineStr">
        <is>
          <t>66ab53d7afd4620001900bac</t>
        </is>
      </c>
      <c r="Q2888" t="inlineStr">
        <is>
          <t>🚫重复</t>
        </is>
      </c>
      <c r="R2888" t="inlineStr">
        <is>
          <t>14周</t>
        </is>
      </c>
      <c r="S2888" t="inlineStr">
        <is>
          <t>2.17</t>
        </is>
      </c>
      <c r="T2888" t="inlineStr">
        <is>
          <t>服饰穿搭</t>
        </is>
      </c>
      <c r="U2888" t="inlineStr">
        <is>
          <t>女装</t>
        </is>
      </c>
      <c r="V2888" s="3">
        <v>46112.78107638889</v>
      </c>
      <c r="W2888" t="inlineStr">
        <is>
          <t>2026-Q1</t>
        </is>
      </c>
    </row>
    <row r="2889" ht="25.5" customHeight="1">
      <c r="A2889" t="inlineStr">
        <is>
          <t>复古扎染废土风破洞牛仔裤女2026春季设计感洗水阔腿显瘦拖地裤</t>
        </is>
      </c>
      <c r="B2889" t="inlineStr">
        <is>
          <t>recveCblQ98Db2.jpg</t>
        </is>
      </c>
      <c r="C2889" s="2" t="str">
        <f>=HYPERLINK("https://xhslink.com/m/2HbMxroYsS1", "https://xhslink.com/m/2HbMxroYsS1")</f>
        <v>https://xhslink.com/m/2HbMxroYsS1</v>
      </c>
      <c r="D2889"/>
      <c r="E2889">
        <v>15000</v>
      </c>
      <c r="F2889">
        <v>89.96</v>
      </c>
      <c r="G2889"/>
      <c r="H2889">
        <v>100</v>
      </c>
      <c r="I2889" t="inlineStr">
        <is>
          <t>牛仔裤</t>
        </is>
      </c>
      <c r="J2889" t="inlineStr">
        <is>
          <t>0.01</t>
        </is>
      </c>
      <c r="K2889"/>
      <c r="L2889" t="inlineStr">
        <is>
          <t>789服饰的店</t>
        </is>
      </c>
      <c r="M2889">
        <v>6018</v>
      </c>
      <c r="N2889">
        <v>4.41</v>
      </c>
      <c r="O2889">
        <v>55000</v>
      </c>
      <c r="P2889" t="inlineStr">
        <is>
          <t>680215a108e7530001ac4224</t>
        </is>
      </c>
      <c r="Q2889"/>
      <c r="R2889" t="inlineStr">
        <is>
          <t>14周</t>
        </is>
      </c>
      <c r="S2889" t="inlineStr">
        <is>
          <t>2.49</t>
        </is>
      </c>
      <c r="T2889" t="inlineStr">
        <is>
          <t>服饰穿搭</t>
        </is>
      </c>
      <c r="U2889" t="inlineStr">
        <is>
          <t>女装</t>
        </is>
      </c>
      <c r="V2889" s="3">
        <v>46112.78107638889</v>
      </c>
      <c r="W2889" t="inlineStr">
        <is>
          <t>2026-Q1</t>
        </is>
      </c>
    </row>
    <row r="2890" ht="25.5" customHeight="1">
      <c r="A2890" t="inlineStr">
        <is>
          <t>大码女装复古蓝哈伦牛仔裤宽松夏季新款显瘦胖妹妹弹力九分哈伦裤</t>
        </is>
      </c>
      <c r="B2890" t="inlineStr">
        <is>
          <t>recveCblQ9k50C.jpg</t>
        </is>
      </c>
      <c r="C2890" s="2" t="str">
        <f>=HYPERLINK("https://xhslink.com/m/Ay913mANNSV", "https://xhslink.com/m/Ay913mANNSV")</f>
        <v>https://xhslink.com/m/Ay913mANNSV</v>
      </c>
      <c r="D2890"/>
      <c r="E2890">
        <v>3582</v>
      </c>
      <c r="F2890">
        <v>89.9</v>
      </c>
      <c r="G2890">
        <v>76.41</v>
      </c>
      <c r="H2890">
        <v>100</v>
      </c>
      <c r="I2890" t="inlineStr">
        <is>
          <t>牛仔裤</t>
        </is>
      </c>
      <c r="J2890" t="inlineStr">
        <is>
          <t>0.03</t>
        </is>
      </c>
      <c r="K2890"/>
      <c r="L2890" t="inlineStr">
        <is>
          <t>良小米的店</t>
        </is>
      </c>
      <c r="M2890">
        <v>8306</v>
      </c>
      <c r="N2890">
        <v>4.46</v>
      </c>
      <c r="O2890">
        <v>77000</v>
      </c>
      <c r="P2890" t="inlineStr">
        <is>
          <t>66af72ce24b78b00019a2a3b</t>
        </is>
      </c>
      <c r="Q2890"/>
      <c r="R2890" t="inlineStr">
        <is>
          <t>14周</t>
        </is>
      </c>
      <c r="S2890" t="inlineStr">
        <is>
          <t>0.43</t>
        </is>
      </c>
      <c r="T2890" t="inlineStr">
        <is>
          <t>服饰穿搭</t>
        </is>
      </c>
      <c r="U2890" t="inlineStr">
        <is>
          <t>女装</t>
        </is>
      </c>
      <c r="V2890" s="3">
        <v>46112.78107638889</v>
      </c>
      <c r="W2890" t="inlineStr">
        <is>
          <t>2026-Q1</t>
        </is>
      </c>
    </row>
    <row r="2891" ht="25.5" customHeight="1">
      <c r="A2891" t="inlineStr">
        <is>
          <t>水泥灰牛仔裤女春季2026年新款直筒宽松高腰显瘦弹力窄版阔腿裤子</t>
        </is>
      </c>
      <c r="B2891" t="inlineStr">
        <is>
          <t>recveCblQ9oeah.jpg</t>
        </is>
      </c>
      <c r="C2891" s="2" t="str">
        <f>=HYPERLINK("https://xhslink.com/m/jKjvgoV7rq", "https://xhslink.com/m/jKjvgoV7rq")</f>
        <v>https://xhslink.com/m/jKjvgoV7rq</v>
      </c>
      <c r="D2891"/>
      <c r="E2891">
        <v>8331</v>
      </c>
      <c r="F2891">
        <v>99</v>
      </c>
      <c r="G2891">
        <v>79</v>
      </c>
      <c r="H2891">
        <v>100</v>
      </c>
      <c r="I2891" t="inlineStr">
        <is>
          <t>牛仔裤</t>
        </is>
      </c>
      <c r="J2891" t="inlineStr">
        <is>
          <t>0.01</t>
        </is>
      </c>
      <c r="K2891"/>
      <c r="L2891" t="inlineStr">
        <is>
          <t>饱饱的女装服饰店的店</t>
        </is>
      </c>
      <c r="M2891">
        <v>7504</v>
      </c>
      <c r="N2891">
        <v>4.7</v>
      </c>
      <c r="O2891">
        <v>145000</v>
      </c>
      <c r="P2891" t="inlineStr">
        <is>
          <t>66c9d3165c80460001da1a5f</t>
        </is>
      </c>
      <c r="Q2891" t="inlineStr">
        <is>
          <t>🚫重复</t>
        </is>
      </c>
      <c r="R2891" t="inlineStr">
        <is>
          <t>14周</t>
        </is>
      </c>
      <c r="S2891" t="inlineStr">
        <is>
          <t>1.11</t>
        </is>
      </c>
      <c r="T2891" t="inlineStr">
        <is>
          <t>服饰穿搭</t>
        </is>
      </c>
      <c r="U2891" t="inlineStr">
        <is>
          <t>女装</t>
        </is>
      </c>
      <c r="V2891" s="3">
        <v>46112.78107638889</v>
      </c>
      <c r="W2891" t="inlineStr">
        <is>
          <t>2026-Q1</t>
        </is>
      </c>
    </row>
    <row r="2892" ht="25.5" customHeight="1">
      <c r="A2892" t="inlineStr">
        <is>
          <t>【现货】韩系巧克力棕牛仔裤｜四面弹看不见膝盖骨显腿直直筒</t>
        </is>
      </c>
      <c r="B2892" t="inlineStr">
        <is>
          <t>recveCblQ9rhBw.jpg</t>
        </is>
      </c>
      <c r="C2892" s="2" t="str">
        <f>=HYPERLINK("https://xhslink.com/m/AICYenJIvsz", "https://xhslink.com/m/AICYenJIvsz")</f>
        <v>https://xhslink.com/m/AICYenJIvsz</v>
      </c>
      <c r="D2892"/>
      <c r="E2892">
        <v>4280</v>
      </c>
      <c r="F2892">
        <v>209</v>
      </c>
      <c r="G2892"/>
      <c r="H2892">
        <v>100</v>
      </c>
      <c r="I2892" t="inlineStr">
        <is>
          <t>牛仔裤</t>
        </is>
      </c>
      <c r="J2892" t="inlineStr">
        <is>
          <t>0.02</t>
        </is>
      </c>
      <c r="K2892"/>
      <c r="L2892" t="inlineStr">
        <is>
          <t>实穿希的店</t>
        </is>
      </c>
      <c r="M2892">
        <v>27000</v>
      </c>
      <c r="N2892">
        <v>4.71</v>
      </c>
      <c r="O2892">
        <v>105000</v>
      </c>
      <c r="P2892" t="inlineStr">
        <is>
          <t>693432ef691100000172145f</t>
        </is>
      </c>
      <c r="Q2892"/>
      <c r="R2892" t="inlineStr">
        <is>
          <t>14周</t>
        </is>
      </c>
      <c r="S2892" t="inlineStr">
        <is>
          <t>0.16</t>
        </is>
      </c>
      <c r="T2892" t="inlineStr">
        <is>
          <t>服饰穿搭</t>
        </is>
      </c>
      <c r="U2892" t="inlineStr">
        <is>
          <t>女装</t>
        </is>
      </c>
      <c r="V2892" s="3">
        <v>46112.78107638889</v>
      </c>
      <c r="W2892" t="inlineStr">
        <is>
          <t>2026-Q1</t>
        </is>
      </c>
    </row>
    <row r="2893" ht="25.5" customHeight="1">
      <c r="A2893" t="inlineStr">
        <is>
          <t>不贴腿直筒微喇裤有弹力遮肉显瘦</t>
        </is>
      </c>
      <c r="B2893" t="inlineStr">
        <is>
          <t>recveCblQ9I7mj.jpg</t>
        </is>
      </c>
      <c r="C2893" s="2" t="str">
        <f>=HYPERLINK("https://xhslink.com/m/6gQqRnUbSr", "https://xhslink.com/m/6gQqRnUbSr")</f>
        <v>https://xhslink.com/m/6gQqRnUbSr</v>
      </c>
      <c r="D2893"/>
      <c r="E2893">
        <v>9603</v>
      </c>
      <c r="F2893">
        <v>129</v>
      </c>
      <c r="G2893"/>
      <c r="H2893">
        <v>100</v>
      </c>
      <c r="I2893" t="inlineStr">
        <is>
          <t>牛仔裤</t>
        </is>
      </c>
      <c r="J2893" t="inlineStr">
        <is>
          <t>0.01</t>
        </is>
      </c>
      <c r="K2893" t="inlineStr">
        <is>
          <t>🔥低粉爆款</t>
        </is>
      </c>
      <c r="L2893" t="inlineStr">
        <is>
          <t>胡英俊h的店</t>
        </is>
      </c>
      <c r="M2893">
        <v>992</v>
      </c>
      <c r="N2893">
        <v>4.55</v>
      </c>
      <c r="O2893">
        <v>10000</v>
      </c>
      <c r="P2893" t="inlineStr">
        <is>
          <t>671b0a21fe85310001186d10</t>
        </is>
      </c>
      <c r="Q2893"/>
      <c r="R2893" t="inlineStr">
        <is>
          <t>14周</t>
        </is>
      </c>
      <c r="S2893" t="inlineStr">
        <is>
          <t>9.68</t>
        </is>
      </c>
      <c r="T2893" t="inlineStr">
        <is>
          <t>服饰穿搭</t>
        </is>
      </c>
      <c r="U2893" t="inlineStr">
        <is>
          <t>女装</t>
        </is>
      </c>
      <c r="V2893" s="3">
        <v>46112.78107638889</v>
      </c>
      <c r="W2893" t="inlineStr">
        <is>
          <t>2026-Q1</t>
        </is>
      </c>
    </row>
    <row r="2894" ht="25.5" customHeight="1">
      <c r="A2894" t="inlineStr">
        <is>
          <t>法式高腰牛仔裤直筒阔腿裤牛仔裤显瘦九分牛仔裤法式牛仔裤</t>
        </is>
      </c>
      <c r="B2894" t="inlineStr">
        <is>
          <t>recveCblQ9JP6S.jpg</t>
        </is>
      </c>
      <c r="C2894" s="2" t="str">
        <f>=HYPERLINK("https://xhslink.com/m/2nsWrn0IoKY", "https://xhslink.com/m/2nsWrn0IoKY")</f>
        <v>https://xhslink.com/m/2nsWrn0IoKY</v>
      </c>
      <c r="D2894"/>
      <c r="E2894">
        <v>1992</v>
      </c>
      <c r="F2894">
        <v>238</v>
      </c>
      <c r="G2894"/>
      <c r="H2894">
        <v>100</v>
      </c>
      <c r="I2894" t="inlineStr">
        <is>
          <t>牛仔裤</t>
        </is>
      </c>
      <c r="J2894" t="inlineStr">
        <is>
          <t>0.05</t>
        </is>
      </c>
      <c r="K2894"/>
      <c r="L2894" t="inlineStr">
        <is>
          <t>cindy辣妈成长记的店</t>
        </is>
      </c>
      <c r="M2894">
        <v>54000</v>
      </c>
      <c r="N2894">
        <v>4.59</v>
      </c>
      <c r="O2894">
        <v>56000</v>
      </c>
      <c r="P2894" t="inlineStr">
        <is>
          <t>6603982a36cb6300016774b2</t>
        </is>
      </c>
      <c r="Q2894"/>
      <c r="R2894" t="inlineStr">
        <is>
          <t>14周</t>
        </is>
      </c>
      <c r="S2894" t="inlineStr">
        <is>
          <t>0.04</t>
        </is>
      </c>
      <c r="T2894" t="inlineStr">
        <is>
          <t>服饰穿搭</t>
        </is>
      </c>
      <c r="U2894" t="inlineStr">
        <is>
          <t>女装</t>
        </is>
      </c>
      <c r="V2894" s="3">
        <v>46112.78107638889</v>
      </c>
      <c r="W2894" t="inlineStr">
        <is>
          <t>2026-Q1</t>
        </is>
      </c>
    </row>
    <row r="2895" ht="25.5" customHeight="1">
      <c r="A2895" t="inlineStr">
        <is>
          <t>24小时发出 复古做旧洗水牛仔美式宽松高腰阔腿直筒裤2026新款</t>
        </is>
      </c>
      <c r="B2895" t="inlineStr">
        <is>
          <t>recveCblQ90H7P.jpg</t>
        </is>
      </c>
      <c r="C2895" s="2" t="str">
        <f>=HYPERLINK("https://xhslink.com/m/Ac5FJPn8h3h", "https://xhslink.com/m/Ac5FJPn8h3h")</f>
        <v>https://xhslink.com/m/Ac5FJPn8h3h</v>
      </c>
      <c r="D2895"/>
      <c r="E2895">
        <v>13000</v>
      </c>
      <c r="F2895">
        <v>199</v>
      </c>
      <c r="G2895">
        <v>99.99</v>
      </c>
      <c r="H2895">
        <v>100</v>
      </c>
      <c r="I2895" t="inlineStr">
        <is>
          <t>牛仔裤</t>
        </is>
      </c>
      <c r="J2895" t="inlineStr">
        <is>
          <t>0.01</t>
        </is>
      </c>
      <c r="K2895"/>
      <c r="L2895" t="inlineStr">
        <is>
          <t>一只雯的店</t>
        </is>
      </c>
      <c r="M2895">
        <v>12000</v>
      </c>
      <c r="N2895">
        <v>4.57</v>
      </c>
      <c r="O2895">
        <v>248000</v>
      </c>
      <c r="P2895" t="inlineStr">
        <is>
          <t>66d5660c98027b00018cca02</t>
        </is>
      </c>
      <c r="Q2895" t="inlineStr">
        <is>
          <t>🚫重复</t>
        </is>
      </c>
      <c r="R2895" t="inlineStr">
        <is>
          <t>14周</t>
        </is>
      </c>
      <c r="S2895" t="inlineStr">
        <is>
          <t>1.08</t>
        </is>
      </c>
      <c r="T2895" t="inlineStr">
        <is>
          <t>服饰穿搭</t>
        </is>
      </c>
      <c r="U2895" t="inlineStr">
        <is>
          <t>女装</t>
        </is>
      </c>
      <c r="V2895" s="3">
        <v>46112.78107638889</v>
      </c>
      <c r="W2895" t="inlineStr">
        <is>
          <t>2026-Q1</t>
        </is>
      </c>
    </row>
    <row r="2896" ht="25.5" customHeight="1">
      <c r="A2896" t="inlineStr">
        <is>
          <t>MAMIMAMI HOME · 六月龄必买蒙氏早教玩具硅胶积木叠叠乐食品级可啃咬婴儿玩具</t>
        </is>
      </c>
      <c r="B2896" t="inlineStr">
        <is>
          <t>recveCblQ9f8Aa.jpg</t>
        </is>
      </c>
      <c r="C2896" s="2" t="str">
        <f>=HYPERLINK("https://xhslink.com/m/27YLGtjIwZs", "https://xhslink.com/m/27YLGtjIwZs")</f>
        <v>https://xhslink.com/m/27YLGtjIwZs</v>
      </c>
      <c r="D2896"/>
      <c r="E2896">
        <v>15000</v>
      </c>
      <c r="F2896">
        <v>78</v>
      </c>
      <c r="G2896">
        <v>66.3</v>
      </c>
      <c r="H2896">
        <v>100</v>
      </c>
      <c r="I2896" t="inlineStr">
        <is>
          <t>早教玩具</t>
        </is>
      </c>
      <c r="J2896" t="inlineStr">
        <is>
          <t>0.01</t>
        </is>
      </c>
      <c r="K2896"/>
      <c r="L2896" t="inlineStr">
        <is>
          <t>MAMIMAMI HOME的店</t>
        </is>
      </c>
      <c r="M2896">
        <v>12000</v>
      </c>
      <c r="N2896">
        <v>4.66</v>
      </c>
      <c r="O2896">
        <v>52000</v>
      </c>
      <c r="P2896" t="inlineStr">
        <is>
          <t>64c779a496714d0001f0aa47</t>
        </is>
      </c>
      <c r="Q2896"/>
      <c r="R2896" t="inlineStr">
        <is>
          <t>14周</t>
        </is>
      </c>
      <c r="S2896" t="inlineStr">
        <is>
          <t>1.25</t>
        </is>
      </c>
      <c r="T2896" t="inlineStr">
        <is>
          <t>母婴亲子</t>
        </is>
      </c>
      <c r="U2896" t="inlineStr">
        <is>
          <t>玩具早教</t>
        </is>
      </c>
      <c r="V2896" s="3">
        <v>46112.78107638889</v>
      </c>
      <c r="W2896" t="inlineStr">
        <is>
          <t>2026-Q1</t>
        </is>
      </c>
    </row>
    <row r="2897" ht="25.5" customHeight="1">
      <c r="A2897" t="inlineStr">
        <is>
          <t>【前5000单18.8包邮】大块磁力拼图 动物交通海洋 早教认知冰箱贴</t>
        </is>
      </c>
      <c r="B2897" t="inlineStr">
        <is>
          <t>recveCblQ942Kw.jpg</t>
        </is>
      </c>
      <c r="C2897" s="2" t="str">
        <f>=HYPERLINK("https://xhslink.com/m/1iv9UcJpJUN", "https://xhslink.com/m/1iv9UcJpJUN")</f>
        <v>https://xhslink.com/m/1iv9UcJpJUN</v>
      </c>
      <c r="D2897"/>
      <c r="E2897">
        <v>4770</v>
      </c>
      <c r="F2897">
        <v>38.8</v>
      </c>
      <c r="G2897">
        <v>18.8</v>
      </c>
      <c r="H2897">
        <v>100</v>
      </c>
      <c r="I2897" t="inlineStr">
        <is>
          <t>早教玩具</t>
        </is>
      </c>
      <c r="J2897" t="inlineStr">
        <is>
          <t>0.02</t>
        </is>
      </c>
      <c r="K2897" t="inlineStr">
        <is>
          <t>🔥低粉爆款</t>
        </is>
      </c>
      <c r="L2897" t="inlineStr">
        <is>
          <t>Star Domi的店</t>
        </is>
      </c>
      <c r="M2897">
        <v>1178</v>
      </c>
      <c r="N2897">
        <v>4.66</v>
      </c>
      <c r="O2897">
        <v>5136</v>
      </c>
      <c r="P2897" t="inlineStr">
        <is>
          <t>692453d633d9ce0001550382</t>
        </is>
      </c>
      <c r="Q2897" t="inlineStr">
        <is>
          <t>🚫重复</t>
        </is>
      </c>
      <c r="R2897" t="inlineStr">
        <is>
          <t>14周</t>
        </is>
      </c>
      <c r="S2897" t="inlineStr">
        <is>
          <t>4.05</t>
        </is>
      </c>
      <c r="T2897" t="inlineStr">
        <is>
          <t>母婴亲子</t>
        </is>
      </c>
      <c r="U2897" t="inlineStr">
        <is>
          <t>玩具早教</t>
        </is>
      </c>
      <c r="V2897" s="3">
        <v>46112.78107638889</v>
      </c>
      <c r="W2897" t="inlineStr">
        <is>
          <t>2026-Q1</t>
        </is>
      </c>
    </row>
    <row r="2898" ht="25.5" customHeight="1">
      <c r="A2898" t="inlineStr">
        <is>
          <t>【10月+】蒙氏实木几何形状配对认知手抓板儿童早教益智积木玩具</t>
        </is>
      </c>
      <c r="B2898" t="inlineStr">
        <is>
          <t>recveCblQ9FzHh.jpg</t>
        </is>
      </c>
      <c r="C2898" s="2" t="str">
        <f>=HYPERLINK("https://xhslink.com/m/xA5ZcNyhur", "https://xhslink.com/m/xA5ZcNyhur")</f>
        <v>https://xhslink.com/m/xA5ZcNyhur</v>
      </c>
      <c r="D2898"/>
      <c r="E2898">
        <v>3541</v>
      </c>
      <c r="F2898">
        <v>54</v>
      </c>
      <c r="G2898"/>
      <c r="H2898">
        <v>100</v>
      </c>
      <c r="I2898" t="inlineStr">
        <is>
          <t>早教玩具</t>
        </is>
      </c>
      <c r="J2898" t="inlineStr">
        <is>
          <t>0.03</t>
        </is>
      </c>
      <c r="K2898"/>
      <c r="L2898" t="inlineStr">
        <is>
          <t>蒙氏实木玩具工厂(浙江云和)的店</t>
        </is>
      </c>
      <c r="M2898">
        <v>4223</v>
      </c>
      <c r="N2898">
        <v>4.58</v>
      </c>
      <c r="O2898">
        <v>15000</v>
      </c>
      <c r="P2898" t="inlineStr">
        <is>
          <t>688710edc165480015591808</t>
        </is>
      </c>
      <c r="Q2898"/>
      <c r="R2898" t="inlineStr">
        <is>
          <t>14周</t>
        </is>
      </c>
      <c r="S2898" t="inlineStr">
        <is>
          <t>0.84</t>
        </is>
      </c>
      <c r="T2898" t="inlineStr">
        <is>
          <t>母婴亲子</t>
        </is>
      </c>
      <c r="U2898" t="inlineStr">
        <is>
          <t>玩具早教</t>
        </is>
      </c>
      <c r="V2898" s="3">
        <v>46112.78107638889</v>
      </c>
      <c r="W2898" t="inlineStr">
        <is>
          <t>2026-Q1</t>
        </is>
      </c>
    </row>
    <row r="2899" ht="25.5" customHeight="1">
      <c r="A2899" t="inlineStr">
        <is>
          <t>淡干墨鱼干，淡晒墨鱼干，东海海捕墨鱼干全淡干不加盐</t>
        </is>
      </c>
      <c r="B2899" t="inlineStr">
        <is>
          <t>recveCblQ9XOQ9.jpg</t>
        </is>
      </c>
      <c r="C2899" s="2" t="str">
        <f>=HYPERLINK("https://xhslink.com/m/3JLSkShY08s", "https://xhslink.com/m/3JLSkShY08s")</f>
        <v>https://xhslink.com/m/3JLSkShY08s</v>
      </c>
      <c r="D2899"/>
      <c r="E2899">
        <v>31000</v>
      </c>
      <c r="F2899">
        <v>42</v>
      </c>
      <c r="G2899">
        <v>35</v>
      </c>
      <c r="H2899">
        <v>100</v>
      </c>
      <c r="I2899" t="inlineStr">
        <is>
          <t>海鲜水产</t>
        </is>
      </c>
      <c r="J2899" t="inlineStr">
        <is>
          <t>0.00</t>
        </is>
      </c>
      <c r="K2899"/>
      <c r="L2899" t="inlineStr">
        <is>
          <t>卖东海墨鱼干的店</t>
        </is>
      </c>
      <c r="M2899">
        <v>12000</v>
      </c>
      <c r="N2899">
        <v>4.69</v>
      </c>
      <c r="O2899">
        <v>63000</v>
      </c>
      <c r="P2899" t="inlineStr">
        <is>
          <t>68ef638c9176f500015ed878</t>
        </is>
      </c>
      <c r="Q2899" t="inlineStr">
        <is>
          <t>🚫重复</t>
        </is>
      </c>
      <c r="R2899" t="inlineStr">
        <is>
          <t>14周</t>
        </is>
      </c>
      <c r="S2899" t="inlineStr">
        <is>
          <t>2.58</t>
        </is>
      </c>
      <c r="T2899" t="inlineStr">
        <is>
          <t>美食滋补</t>
        </is>
      </c>
      <c r="U2899" t="inlineStr">
        <is>
          <t>生鲜特产</t>
        </is>
      </c>
      <c r="V2899" s="3">
        <v>46112.78107638889</v>
      </c>
      <c r="W2899" t="inlineStr">
        <is>
          <t>2026-Q1</t>
        </is>
      </c>
    </row>
    <row r="2900" ht="25.5" customHeight="1">
      <c r="A2900" t="inlineStr">
        <is>
          <t>沥水神器钢丝球洗碗池收纳架厨房沥水架水池洗洁精海绵抹布置物架</t>
        </is>
      </c>
      <c r="B2900" t="inlineStr">
        <is>
          <t>recveCblQ9sZ40.jpg</t>
        </is>
      </c>
      <c r="C2900" s="2" t="str">
        <f>=HYPERLINK("https://xhslink.com/m/ATN41vJz8th", "https://xhslink.com/m/ATN41vJz8th")</f>
        <v>https://xhslink.com/m/ATN41vJz8th</v>
      </c>
      <c r="D2900"/>
      <c r="E2900">
        <v>33000</v>
      </c>
      <c r="F2900">
        <v>27.9</v>
      </c>
      <c r="G2900">
        <v>18.9</v>
      </c>
      <c r="H2900">
        <v>100</v>
      </c>
      <c r="I2900" t="inlineStr">
        <is>
          <t>沥水架</t>
        </is>
      </c>
      <c r="J2900" t="inlineStr">
        <is>
          <t>0.00</t>
        </is>
      </c>
      <c r="K2900" t="inlineStr">
        <is>
          <t>🔥低粉爆款</t>
        </is>
      </c>
      <c r="L2900" t="inlineStr">
        <is>
          <t>薯条宝藏铺的店</t>
        </is>
      </c>
      <c r="M2900">
        <v>4637</v>
      </c>
      <c r="N2900">
        <v>4.49</v>
      </c>
      <c r="O2900">
        <v>81000</v>
      </c>
      <c r="P2900" t="inlineStr">
        <is>
          <t>6690a025a38fcd0001f4a6fc</t>
        </is>
      </c>
      <c r="Q2900" t="inlineStr">
        <is>
          <t>🚫重复</t>
        </is>
      </c>
      <c r="R2900" t="inlineStr">
        <is>
          <t>14周</t>
        </is>
      </c>
      <c r="S2900" t="inlineStr">
        <is>
          <t>7.12</t>
        </is>
      </c>
      <c r="T2900" t="inlineStr">
        <is>
          <t>家居生活</t>
        </is>
      </c>
      <c r="U2900" t="inlineStr">
        <is>
          <t>家居日用</t>
        </is>
      </c>
      <c r="V2900" s="3">
        <v>46112.78107638889</v>
      </c>
      <c r="W2900" t="inlineStr">
        <is>
          <t>2026-Q1</t>
        </is>
      </c>
    </row>
    <row r="2901" ht="25.5" customHeight="1">
      <c r="A2901" t="inlineStr">
        <is>
          <t>【冲刺1w单+新店4折】儿童彩窗磁力片100pcs摩天轮磁性积木益智</t>
        </is>
      </c>
      <c r="B2901" t="inlineStr">
        <is>
          <t>recveCblQ9jTXO.jpg</t>
        </is>
      </c>
      <c r="C2901" s="2" t="str">
        <f>=HYPERLINK("https://xhslink.com/m/6bb5Nziu0Nr", "https://xhslink.com/m/6bb5Nziu0Nr")</f>
        <v>https://xhslink.com/m/6bb5Nziu0Nr</v>
      </c>
      <c r="D2901"/>
      <c r="E2901">
        <v>13000</v>
      </c>
      <c r="F2901">
        <v>159.9</v>
      </c>
      <c r="G2901">
        <v>59.9</v>
      </c>
      <c r="H2901">
        <v>100</v>
      </c>
      <c r="I2901" t="inlineStr">
        <is>
          <t>益智玩具</t>
        </is>
      </c>
      <c r="J2901" t="inlineStr">
        <is>
          <t>0.01</t>
        </is>
      </c>
      <c r="K2901" t="inlineStr">
        <is>
          <t>🔥低粉爆款</t>
        </is>
      </c>
      <c r="L2901" t="inlineStr">
        <is>
          <t>TC萌友乐园的店</t>
        </is>
      </c>
      <c r="M2901">
        <v>67</v>
      </c>
      <c r="N2901">
        <v>4.68</v>
      </c>
      <c r="O2901">
        <v>20000</v>
      </c>
      <c r="P2901" t="inlineStr">
        <is>
          <t>68947907a4eea10015e47013</t>
        </is>
      </c>
      <c r="Q2901" t="inlineStr">
        <is>
          <t>🚫重复</t>
        </is>
      </c>
      <c r="R2901" t="inlineStr">
        <is>
          <t>14周</t>
        </is>
      </c>
      <c r="S2901" t="inlineStr">
        <is>
          <t>194.03</t>
        </is>
      </c>
      <c r="T2901" t="inlineStr">
        <is>
          <t>母婴亲子</t>
        </is>
      </c>
      <c r="U2901" t="inlineStr">
        <is>
          <t>玩具早教</t>
        </is>
      </c>
      <c r="V2901" s="3">
        <v>46112.78107638889</v>
      </c>
      <c r="W2901" t="inlineStr">
        <is>
          <t>2026-Q1</t>
        </is>
      </c>
    </row>
    <row r="2902" ht="25.5" customHeight="1">
      <c r="A2902" t="inlineStr">
        <is>
          <t>心香宜 · 新生婴儿枕头硅胶定型枕0-1岁透气圆头型防偏头相芯向依</t>
        </is>
      </c>
      <c r="B2902" t="inlineStr">
        <is>
          <t>recveCblQ9aNBu.jpg</t>
        </is>
      </c>
      <c r="C2902" s="2" t="str">
        <f>=HYPERLINK("https://xhslink.com/m/4QIQgQ5luDi", "https://xhslink.com/m/4QIQgQ5luDi")</f>
        <v>https://xhslink.com/m/4QIQgQ5luDi</v>
      </c>
      <c r="D2902"/>
      <c r="E2902">
        <v>14000</v>
      </c>
      <c r="F2902">
        <v>259</v>
      </c>
      <c r="G2902">
        <v>174</v>
      </c>
      <c r="H2902">
        <v>100</v>
      </c>
      <c r="I2902" t="inlineStr">
        <is>
          <t>婴儿用品</t>
        </is>
      </c>
      <c r="J2902" t="inlineStr">
        <is>
          <t>0.01</t>
        </is>
      </c>
      <c r="K2902" t="inlineStr">
        <is>
          <t>🔥低粉爆款</t>
        </is>
      </c>
      <c r="L2902" t="inlineStr">
        <is>
          <t>心香宜旗舰店</t>
        </is>
      </c>
      <c r="M2902">
        <v>1020</v>
      </c>
      <c r="N2902">
        <v>4.66</v>
      </c>
      <c r="O2902">
        <v>15000</v>
      </c>
      <c r="P2902" t="inlineStr">
        <is>
          <t>6582631d2d99720001c21439</t>
        </is>
      </c>
      <c r="Q2902"/>
      <c r="R2902" t="inlineStr">
        <is>
          <t>14周</t>
        </is>
      </c>
      <c r="S2902" t="inlineStr">
        <is>
          <t>13.73</t>
        </is>
      </c>
      <c r="T2902" t="inlineStr">
        <is>
          <t>母婴亲子</t>
        </is>
      </c>
      <c r="U2902" t="inlineStr">
        <is>
          <t>婴幼用品</t>
        </is>
      </c>
      <c r="V2902" s="3">
        <v>46112.78107638889</v>
      </c>
      <c r="W2902" t="inlineStr">
        <is>
          <t>2026-Q1</t>
        </is>
      </c>
    </row>
    <row r="2903" ht="25.5" customHeight="1">
      <c r="A2903" t="inlineStr">
        <is>
          <t>belepa · 新生婴儿推车挂件风铃床铃宝宝出行安抚玩具早教视觉发育小月龄</t>
        </is>
      </c>
      <c r="B2903" t="inlineStr">
        <is>
          <t>recveCblQ9ed80.jpg</t>
        </is>
      </c>
      <c r="C2903" s="2" t="str">
        <f>=HYPERLINK("https://xhslink.com/m/9wZK5WrRXiM", "https://xhslink.com/m/9wZK5WrRXiM")</f>
        <v>https://xhslink.com/m/9wZK5WrRXiM</v>
      </c>
      <c r="D2903"/>
      <c r="E2903">
        <v>13000</v>
      </c>
      <c r="F2903">
        <v>16</v>
      </c>
      <c r="G2903"/>
      <c r="H2903">
        <v>100</v>
      </c>
      <c r="I2903" t="inlineStr">
        <is>
          <t>宝宝玩具</t>
        </is>
      </c>
      <c r="J2903" t="inlineStr">
        <is>
          <t>0.01</t>
        </is>
      </c>
      <c r="K2903" t="inlineStr">
        <is>
          <t>🔥低粉爆款</t>
        </is>
      </c>
      <c r="L2903" t="inlineStr">
        <is>
          <t>狂奔的小羊的店</t>
        </is>
      </c>
      <c r="M2903">
        <v>430</v>
      </c>
      <c r="N2903">
        <v>4.67</v>
      </c>
      <c r="O2903">
        <v>16000</v>
      </c>
      <c r="P2903" t="inlineStr">
        <is>
          <t>6853787fe32134000161b82f</t>
        </is>
      </c>
      <c r="Q2903"/>
      <c r="R2903" t="inlineStr">
        <is>
          <t>14周</t>
        </is>
      </c>
      <c r="S2903" t="inlineStr">
        <is>
          <t>30.23</t>
        </is>
      </c>
      <c r="T2903" t="inlineStr">
        <is>
          <t>母婴亲子</t>
        </is>
      </c>
      <c r="U2903" t="inlineStr">
        <is>
          <t>玩具早教</t>
        </is>
      </c>
      <c r="V2903" s="3">
        <v>46112.78107638889</v>
      </c>
      <c r="W2903" t="inlineStr">
        <is>
          <t>2026-Q1</t>
        </is>
      </c>
    </row>
    <row r="2904" ht="25.5" customHeight="1">
      <c r="A2904" t="inlineStr">
        <is>
          <t>新款儿童磁性画板运笔训练益智早教趣味握笔训练幼儿园宝宝玩具</t>
        </is>
      </c>
      <c r="B2904" t="inlineStr">
        <is>
          <t>recveCblQ9swT0.jpg</t>
        </is>
      </c>
      <c r="C2904" s="2" t="str">
        <f>=HYPERLINK("https://xhslink.com/m/7wygFHPu9jl", "https://xhslink.com/m/7wygFHPu9jl")</f>
        <v>https://xhslink.com/m/7wygFHPu9jl</v>
      </c>
      <c r="D2904"/>
      <c r="E2904">
        <v>18000</v>
      </c>
      <c r="F2904">
        <v>31.9</v>
      </c>
      <c r="G2904">
        <v>22.9</v>
      </c>
      <c r="H2904">
        <v>100</v>
      </c>
      <c r="I2904" t="inlineStr">
        <is>
          <t>宝宝玩具</t>
        </is>
      </c>
      <c r="J2904" t="inlineStr">
        <is>
          <t>0.01</t>
        </is>
      </c>
      <c r="K2904"/>
      <c r="L2904" t="inlineStr">
        <is>
          <t>墩墩妈妈的店</t>
        </is>
      </c>
      <c r="M2904">
        <v>6183</v>
      </c>
      <c r="N2904">
        <v>4.42</v>
      </c>
      <c r="O2904">
        <v>29000</v>
      </c>
      <c r="P2904" t="inlineStr">
        <is>
          <t>687538803b9d4700157255fc</t>
        </is>
      </c>
      <c r="Q2904"/>
      <c r="R2904" t="inlineStr">
        <is>
          <t>14周</t>
        </is>
      </c>
      <c r="S2904" t="inlineStr">
        <is>
          <t>2.91</t>
        </is>
      </c>
      <c r="T2904" t="inlineStr">
        <is>
          <t>母婴亲子</t>
        </is>
      </c>
      <c r="U2904" t="inlineStr">
        <is>
          <t>童装童鞋</t>
        </is>
      </c>
      <c r="V2904" s="3">
        <v>46112.78107638889</v>
      </c>
      <c r="W2904" t="inlineStr">
        <is>
          <t>2026-Q1</t>
        </is>
      </c>
    </row>
    <row r="2905" ht="25.5" customHeight="1">
      <c r="A2905" t="inlineStr">
        <is>
          <t>【冲刺1w单+新店4折】儿童彩窗磁力片100pcs摩天轮磁性积木益智</t>
        </is>
      </c>
      <c r="B2905" t="inlineStr">
        <is>
          <t>recveCblQ9HmBw.jpg</t>
        </is>
      </c>
      <c r="C2905" s="2" t="str">
        <f>=HYPERLINK("https://xhslink.com/m/3SX31KxAXYK", "https://xhslink.com/m/3SX31KxAXYK")</f>
        <v>https://xhslink.com/m/3SX31KxAXYK</v>
      </c>
      <c r="D2905"/>
      <c r="E2905">
        <v>13000</v>
      </c>
      <c r="F2905">
        <v>179.9</v>
      </c>
      <c r="G2905">
        <v>79.9</v>
      </c>
      <c r="H2905">
        <v>100</v>
      </c>
      <c r="I2905" t="inlineStr">
        <is>
          <t>宝宝玩具</t>
        </is>
      </c>
      <c r="J2905" t="inlineStr">
        <is>
          <t>0.01</t>
        </is>
      </c>
      <c r="K2905" t="inlineStr">
        <is>
          <t>🔥低粉爆款</t>
        </is>
      </c>
      <c r="L2905" t="inlineStr">
        <is>
          <t>TC萌友乐园的店</t>
        </is>
      </c>
      <c r="M2905">
        <v>67</v>
      </c>
      <c r="N2905">
        <v>4.68</v>
      </c>
      <c r="O2905">
        <v>20000</v>
      </c>
      <c r="P2905" t="inlineStr">
        <is>
          <t>68947908a4eea10015e4702c</t>
        </is>
      </c>
      <c r="Q2905" t="inlineStr">
        <is>
          <t>🚫重复</t>
        </is>
      </c>
      <c r="R2905" t="inlineStr">
        <is>
          <t>14周</t>
        </is>
      </c>
      <c r="S2905" t="inlineStr">
        <is>
          <t>194.03</t>
        </is>
      </c>
      <c r="T2905" t="inlineStr">
        <is>
          <t>母婴亲子</t>
        </is>
      </c>
      <c r="U2905" t="inlineStr">
        <is>
          <t>童装童鞋</t>
        </is>
      </c>
      <c r="V2905" s="3">
        <v>46112.78107638889</v>
      </c>
      <c r="W2905" t="inlineStr">
        <is>
          <t>2026-Q1</t>
        </is>
      </c>
    </row>
    <row r="2906" ht="25.5" customHeight="1">
      <c r="A2906" t="inlineStr">
        <is>
          <t>深灰色微喇运动卫裤女春季2026新款高腰显瘦喇叭裤子休闲垂感女裤</t>
        </is>
      </c>
      <c r="B2906" t="inlineStr">
        <is>
          <t>recveCblQ9G4nN.jpg</t>
        </is>
      </c>
      <c r="C2906" s="2" t="str">
        <f>=HYPERLINK("https://xhslink.com/m/1hFcEiHS4v3", "https://xhslink.com/m/1hFcEiHS4v3")</f>
        <v>https://xhslink.com/m/1hFcEiHS4v3</v>
      </c>
      <c r="D2906"/>
      <c r="E2906">
        <v>108000</v>
      </c>
      <c r="F2906">
        <v>114.2</v>
      </c>
      <c r="G2906">
        <v>79.9</v>
      </c>
      <c r="H2906">
        <v>100</v>
      </c>
      <c r="I2906" t="inlineStr">
        <is>
          <t>儿童运动裤</t>
        </is>
      </c>
      <c r="J2906" t="inlineStr">
        <is>
          <t>0.00</t>
        </is>
      </c>
      <c r="K2906"/>
      <c r="L2906" t="inlineStr">
        <is>
          <t>小薯崽的店</t>
        </is>
      </c>
      <c r="M2906">
        <v>43000</v>
      </c>
      <c r="N2906">
        <v>4.59</v>
      </c>
      <c r="O2906">
        <v>338000</v>
      </c>
      <c r="P2906" t="inlineStr">
        <is>
          <t>660cefa1cca4850001a24303</t>
        </is>
      </c>
      <c r="Q2906" t="inlineStr">
        <is>
          <t>🚫重复</t>
        </is>
      </c>
      <c r="R2906" t="inlineStr">
        <is>
          <t>14周</t>
        </is>
      </c>
      <c r="S2906" t="inlineStr">
        <is>
          <t>2.51</t>
        </is>
      </c>
      <c r="T2906" t="inlineStr">
        <is>
          <t>服饰穿搭</t>
        </is>
      </c>
      <c r="U2906" t="inlineStr">
        <is>
          <t>女装</t>
        </is>
      </c>
      <c r="V2906" s="3">
        <v>46112.78107638889</v>
      </c>
      <c r="W2906" t="inlineStr">
        <is>
          <t>2026-Q1</t>
        </is>
      </c>
    </row>
    <row r="2907" ht="25.5" customHeight="1">
      <c r="A2907" t="inlineStr">
        <is>
          <t>札萨 · 【1.16新品】奶油糯叽叽柠檬山楂红茶凤梨软糖儿童糖果水果奶糖s</t>
        </is>
      </c>
      <c r="B2907" t="inlineStr">
        <is>
          <t>recveCblQ9qCsJ.jpg</t>
        </is>
      </c>
      <c r="C2907" s="2" t="str">
        <f>=HYPERLINK("https://xhslink.com/m/6SvVQ4dJ3KT", "https://xhslink.com/m/6SvVQ4dJ3KT")</f>
        <v>https://xhslink.com/m/6SvVQ4dJ3KT</v>
      </c>
      <c r="D2907"/>
      <c r="E2907">
        <v>27000</v>
      </c>
      <c r="F2907">
        <v>37.6</v>
      </c>
      <c r="G2907">
        <v>31.9</v>
      </c>
      <c r="H2907">
        <v>100</v>
      </c>
      <c r="I2907" t="inlineStr">
        <is>
          <t>零食</t>
        </is>
      </c>
      <c r="J2907" t="inlineStr">
        <is>
          <t>0.00</t>
        </is>
      </c>
      <c r="K2907"/>
      <c r="L2907" t="inlineStr">
        <is>
          <t>札萨旗舰店</t>
        </is>
      </c>
      <c r="M2907">
        <v>119000</v>
      </c>
      <c r="N2907">
        <v>4.61</v>
      </c>
      <c r="O2907">
        <v>1302000</v>
      </c>
      <c r="P2907" t="inlineStr">
        <is>
          <t>68ca857bbf5d360001ebe7f7</t>
        </is>
      </c>
      <c r="Q2907" t="inlineStr">
        <is>
          <t>🚫重复</t>
        </is>
      </c>
      <c r="R2907" t="inlineStr">
        <is>
          <t>14周</t>
        </is>
      </c>
      <c r="S2907" t="inlineStr">
        <is>
          <t>0.23</t>
        </is>
      </c>
      <c r="T2907" t="inlineStr">
        <is>
          <t>美食滋补</t>
        </is>
      </c>
      <c r="U2907" t="inlineStr">
        <is>
          <t>休闲零食</t>
        </is>
      </c>
      <c r="V2907" s="3">
        <v>46112.78107638889</v>
      </c>
      <c r="W2907" t="inlineStr">
        <is>
          <t>2026-Q1</t>
        </is>
      </c>
    </row>
    <row r="2908" ht="25.5" customHeight="1">
      <c r="A2908" t="inlineStr">
        <is>
          <t>正版！颜色超正！韩国进口加厚丝绒经典双层蝴蝶结香蕉夹弹簧夹发</t>
        </is>
      </c>
      <c r="B2908" t="inlineStr">
        <is>
          <t>recveCblQ950u8.jpg</t>
        </is>
      </c>
      <c r="C2908" s="2" t="str">
        <f>=HYPERLINK("https://xhslink.com/m/2rj5GBBdf5W", "https://xhslink.com/m/2rj5GBBdf5W")</f>
        <v>https://xhslink.com/m/2rj5GBBdf5W</v>
      </c>
      <c r="D2908"/>
      <c r="E2908">
        <v>45000</v>
      </c>
      <c r="F2908">
        <v>35.88</v>
      </c>
      <c r="G2908">
        <v>25.88</v>
      </c>
      <c r="H2908">
        <v>100</v>
      </c>
      <c r="I2908" t="inlineStr">
        <is>
          <t>发夹</t>
        </is>
      </c>
      <c r="J2908" t="inlineStr">
        <is>
          <t>0.00</t>
        </is>
      </c>
      <c r="K2908"/>
      <c r="L2908" t="inlineStr">
        <is>
          <t>小脑瓜的店</t>
        </is>
      </c>
      <c r="M2908">
        <v>46000</v>
      </c>
      <c r="N2908">
        <v>4.64</v>
      </c>
      <c r="O2908">
        <v>355000</v>
      </c>
      <c r="P2908" t="inlineStr">
        <is>
          <t>69475ace6a3f3f000116587c</t>
        </is>
      </c>
      <c r="Q2908" t="inlineStr">
        <is>
          <t>🚫重复</t>
        </is>
      </c>
      <c r="R2908" t="inlineStr">
        <is>
          <t>14周</t>
        </is>
      </c>
      <c r="S2908" t="inlineStr">
        <is>
          <t>0.98</t>
        </is>
      </c>
      <c r="T2908" t="inlineStr">
        <is>
          <t>服饰穿搭</t>
        </is>
      </c>
      <c r="U2908" t="inlineStr">
        <is>
          <t>配饰</t>
        </is>
      </c>
      <c r="V2908" s="3">
        <v>46112.78107638889</v>
      </c>
      <c r="W2908" t="inlineStr">
        <is>
          <t>2026-Q1</t>
        </is>
      </c>
    </row>
    <row r="2909" ht="25.5" customHeight="1">
      <c r="A2909" t="inlineStr">
        <is>
          <t>奶香假日～超大号蝴蝶结飘带马尾夹甜妹褶皱抓夹温柔半披发发夹</t>
        </is>
      </c>
      <c r="B2909" t="inlineStr">
        <is>
          <t>recveCblQ9snn9.jpg</t>
        </is>
      </c>
      <c r="C2909" s="2" t="str">
        <f>=HYPERLINK("https://xhslink.com/m/6zckDEpipxB", "https://xhslink.com/m/6zckDEpipxB")</f>
        <v>https://xhslink.com/m/6zckDEpipxB</v>
      </c>
      <c r="D2909"/>
      <c r="E2909">
        <v>3984</v>
      </c>
      <c r="F2909">
        <v>24.8</v>
      </c>
      <c r="G2909">
        <v>14.8</v>
      </c>
      <c r="H2909">
        <v>100</v>
      </c>
      <c r="I2909" t="inlineStr">
        <is>
          <t>发夹</t>
        </is>
      </c>
      <c r="J2909" t="inlineStr">
        <is>
          <t>0.03</t>
        </is>
      </c>
      <c r="K2909"/>
      <c r="L2909" t="inlineStr">
        <is>
          <t>一颗番茄仔饰品的店</t>
        </is>
      </c>
      <c r="M2909">
        <v>27000</v>
      </c>
      <c r="N2909">
        <v>4.58</v>
      </c>
      <c r="O2909">
        <v>42000</v>
      </c>
      <c r="P2909" t="inlineStr">
        <is>
          <t>6852127693d0780001f27c58</t>
        </is>
      </c>
      <c r="Q2909"/>
      <c r="R2909" t="inlineStr">
        <is>
          <t>14周</t>
        </is>
      </c>
      <c r="S2909" t="inlineStr">
        <is>
          <t>0.15</t>
        </is>
      </c>
      <c r="T2909" t="inlineStr">
        <is>
          <t>服饰穿搭</t>
        </is>
      </c>
      <c r="U2909" t="inlineStr">
        <is>
          <t>配饰</t>
        </is>
      </c>
      <c r="V2909" s="3">
        <v>46112.78107638889</v>
      </c>
      <c r="W2909" t="inlineStr">
        <is>
          <t>2026-Q1</t>
        </is>
      </c>
    </row>
    <row r="2910" ht="25.5" customHeight="1">
      <c r="A2910" t="inlineStr">
        <is>
          <t>正版！颜色超正！韩国进口加厚丝绒经典双层蝴蝶结香蕉夹弹簧夹发</t>
        </is>
      </c>
      <c r="B2910" t="inlineStr">
        <is>
          <t>recveCblQ9VvQa.jpg</t>
        </is>
      </c>
      <c r="C2910" s="2" t="str">
        <f>=HYPERLINK("https://xhslink.com/m/3tzhCgJKR1U", "https://xhslink.com/m/3tzhCgJKR1U")</f>
        <v>https://xhslink.com/m/3tzhCgJKR1U</v>
      </c>
      <c r="D2910"/>
      <c r="E2910">
        <v>45000</v>
      </c>
      <c r="F2910">
        <v>35.88</v>
      </c>
      <c r="G2910">
        <v>25.88</v>
      </c>
      <c r="H2910">
        <v>100</v>
      </c>
      <c r="I2910" t="inlineStr">
        <is>
          <t>发夹</t>
        </is>
      </c>
      <c r="J2910" t="inlineStr">
        <is>
          <t>0.00</t>
        </is>
      </c>
      <c r="K2910"/>
      <c r="L2910" t="inlineStr">
        <is>
          <t>小脑瓜的店</t>
        </is>
      </c>
      <c r="M2910">
        <v>46000</v>
      </c>
      <c r="N2910">
        <v>4.64</v>
      </c>
      <c r="O2910">
        <v>355000</v>
      </c>
      <c r="P2910" t="inlineStr">
        <is>
          <t>695249a2110a7f000157ec58</t>
        </is>
      </c>
      <c r="Q2910" t="inlineStr">
        <is>
          <t>🚫重复</t>
        </is>
      </c>
      <c r="R2910" t="inlineStr">
        <is>
          <t>14周</t>
        </is>
      </c>
      <c r="S2910" t="inlineStr">
        <is>
          <t>0.98</t>
        </is>
      </c>
      <c r="T2910" t="inlineStr">
        <is>
          <t>服饰穿搭</t>
        </is>
      </c>
      <c r="U2910" t="inlineStr">
        <is>
          <t>配饰</t>
        </is>
      </c>
      <c r="V2910" s="3">
        <v>46112.78107638889</v>
      </c>
      <c r="W2910" t="inlineStr">
        <is>
          <t>2026-Q1</t>
        </is>
      </c>
    </row>
    <row r="2911" ht="25.5" customHeight="1">
      <c r="A2911" t="inlineStr">
        <is>
          <t>FF 粉飘带蝴蝶结发夹韩系氛围感小众百搭显脸小时尚休闲发饰</t>
        </is>
      </c>
      <c r="B2911" t="inlineStr">
        <is>
          <t>recveCblQ9qpqc.jpg</t>
        </is>
      </c>
      <c r="C2911" s="2" t="str">
        <f>=HYPERLINK("https://xhslink.com/m/3XRoPvTYfbj", "https://xhslink.com/m/3XRoPvTYfbj")</f>
        <v>https://xhslink.com/m/3XRoPvTYfbj</v>
      </c>
      <c r="D2911"/>
      <c r="E2911">
        <v>432</v>
      </c>
      <c r="F2911">
        <v>25.9</v>
      </c>
      <c r="G2911">
        <v>18.9</v>
      </c>
      <c r="H2911">
        <v>100</v>
      </c>
      <c r="I2911" t="inlineStr">
        <is>
          <t>发夹</t>
        </is>
      </c>
      <c r="J2911" t="inlineStr">
        <is>
          <t>0.23</t>
        </is>
      </c>
      <c r="K2911"/>
      <c r="L2911" t="inlineStr">
        <is>
          <t>FF饰物所的店</t>
        </is>
      </c>
      <c r="M2911">
        <v>698</v>
      </c>
      <c r="N2911">
        <v>4.4</v>
      </c>
      <c r="O2911">
        <v>10000</v>
      </c>
      <c r="P2911" t="inlineStr">
        <is>
          <t>68c95ebd0201ec00016a0500</t>
        </is>
      </c>
      <c r="Q2911"/>
      <c r="R2911" t="inlineStr">
        <is>
          <t>14周</t>
        </is>
      </c>
      <c r="S2911" t="inlineStr">
        <is>
          <t>0.62</t>
        </is>
      </c>
      <c r="T2911" t="inlineStr">
        <is>
          <t>服饰穿搭</t>
        </is>
      </c>
      <c r="U2911" t="inlineStr">
        <is>
          <t>配饰</t>
        </is>
      </c>
      <c r="V2911" s="3">
        <v>46112.78107638889</v>
      </c>
      <c r="W2911" t="inlineStr">
        <is>
          <t>2026-Q1</t>
        </is>
      </c>
    </row>
    <row r="2912" ht="25.5" customHeight="1">
      <c r="A2912" t="inlineStr">
        <is>
          <t>AILI·风琴百褶网球裙假两件带装球口袋速干运动半身裙</t>
        </is>
      </c>
      <c r="B2912" t="inlineStr">
        <is>
          <t>recveCblQ9CbyM.jpg</t>
        </is>
      </c>
      <c r="C2912" s="2" t="str">
        <f>=HYPERLINK("https://xhslink.com/m/2TQ0yQCxPvf", "https://xhslink.com/m/2TQ0yQCxPvf")</f>
        <v>https://xhslink.com/m/2TQ0yQCxPvf</v>
      </c>
      <c r="D2912"/>
      <c r="E2912">
        <v>979</v>
      </c>
      <c r="F2912">
        <v>85.9</v>
      </c>
      <c r="G2912">
        <v>68.72</v>
      </c>
      <c r="H2912">
        <v>100</v>
      </c>
      <c r="I2912" t="inlineStr">
        <is>
          <t>裙子</t>
        </is>
      </c>
      <c r="J2912" t="inlineStr">
        <is>
          <t>0.10</t>
        </is>
      </c>
      <c r="K2912" t="inlineStr">
        <is>
          <t>🔥低粉爆款</t>
        </is>
      </c>
      <c r="L2912" t="inlineStr">
        <is>
          <t>AILI PINK健身服的店</t>
        </is>
      </c>
      <c r="M2912">
        <v>222</v>
      </c>
      <c r="N2912">
        <v>4.66</v>
      </c>
      <c r="O2912">
        <v>1720</v>
      </c>
      <c r="P2912" t="inlineStr">
        <is>
          <t>67ee5b8db2c30c00017d0d08</t>
        </is>
      </c>
      <c r="Q2912"/>
      <c r="R2912" t="inlineStr">
        <is>
          <t>14周</t>
        </is>
      </c>
      <c r="S2912" t="inlineStr">
        <is>
          <t>4.41</t>
        </is>
      </c>
      <c r="T2912" t="inlineStr">
        <is>
          <t>服饰穿搭</t>
        </is>
      </c>
      <c r="U2912" t="inlineStr">
        <is>
          <t>女装</t>
        </is>
      </c>
      <c r="V2912" s="3">
        <v>46112.78107638889</v>
      </c>
      <c r="W2912" t="inlineStr">
        <is>
          <t>2026-Q1</t>
        </is>
      </c>
    </row>
    <row r="2913" ht="25.5" customHeight="1">
      <c r="A2913" t="inlineStr">
        <is>
          <t>角落生物可爱日式密胺材质甜点沙拉米饭碗</t>
        </is>
      </c>
      <c r="B2913" t="inlineStr">
        <is>
          <t>recveKOAEAHq8s.jpg</t>
        </is>
      </c>
      <c r="C2913" s="2" t="str">
        <f>=HYPERLINK("https://xhslink.com/m/7dN7hlH8kSJ", "https://xhslink.com/m/7dN7hlH8kSJ")</f>
        <v>https://xhslink.com/m/7dN7hlH8kSJ</v>
      </c>
      <c r="D2913"/>
      <c r="E2913">
        <v>6937</v>
      </c>
      <c r="F2913">
        <v>12.5</v>
      </c>
      <c r="G2913"/>
      <c r="H2913">
        <v>100</v>
      </c>
      <c r="I2913" t="inlineStr">
        <is>
          <t>碗</t>
        </is>
      </c>
      <c r="J2913" t="inlineStr">
        <is>
          <t>0.01</t>
        </is>
      </c>
      <c r="K2913"/>
      <c r="L2913" t="inlineStr">
        <is>
          <t>你这个麻瓜（瑕疵清仓）的店</t>
        </is>
      </c>
      <c r="M2913">
        <v>105000</v>
      </c>
      <c r="N2913">
        <v>4.53</v>
      </c>
      <c r="O2913">
        <v>345000</v>
      </c>
      <c r="P2913" t="inlineStr">
        <is>
          <t>689c8afe118f610001bdd578</t>
        </is>
      </c>
      <c r="Q2913" t="inlineStr">
        <is>
          <t>🚫重复</t>
        </is>
      </c>
      <c r="R2913" t="inlineStr">
        <is>
          <t>14周</t>
        </is>
      </c>
      <c r="S2913" t="inlineStr">
        <is>
          <t>0.07</t>
        </is>
      </c>
      <c r="T2913" t="inlineStr">
        <is>
          <t>家居生活</t>
        </is>
      </c>
      <c r="U2913" t="inlineStr">
        <is>
          <t>厨房餐饮</t>
        </is>
      </c>
      <c r="V2913" s="3">
        <v>46112.78107638889</v>
      </c>
      <c r="W2913" t="inlineStr">
        <is>
          <t>2026-Q1</t>
        </is>
      </c>
    </row>
    <row r="2914" ht="25.5" customHeight="1">
      <c r="A2914" t="inlineStr">
        <is>
          <t>【内蒙古风干牛胸口】呼伦贝尔原切牛胸口香脆真劲道</t>
        </is>
      </c>
      <c r="B2914" t="inlineStr">
        <is>
          <t>recveKOBkWHpRl.jpg</t>
        </is>
      </c>
      <c r="C2914" s="2" t="str">
        <f>=HYPERLINK("https://xhslink.com/m/3KlnYVQWUeK", "https://xhslink.com/m/3KlnYVQWUeK")</f>
        <v>https://xhslink.com/m/3KlnYVQWUeK</v>
      </c>
      <c r="D2914"/>
      <c r="E2914">
        <v>27000</v>
      </c>
      <c r="F2914">
        <v>89</v>
      </c>
      <c r="G2914"/>
      <c r="H2914">
        <v>100</v>
      </c>
      <c r="I2914" t="inlineStr">
        <is>
          <t>卤味肉干</t>
        </is>
      </c>
      <c r="J2914" t="inlineStr">
        <is>
          <t>0.00</t>
        </is>
      </c>
      <c r="K2914"/>
      <c r="L2914" t="inlineStr">
        <is>
          <t>满洲里蒙祥羊食品有限公司的店</t>
        </is>
      </c>
      <c r="M2914">
        <v>12000</v>
      </c>
      <c r="N2914">
        <v>4.72</v>
      </c>
      <c r="O2914">
        <v>37000</v>
      </c>
      <c r="P2914" t="inlineStr">
        <is>
          <t>67612c63c6c20a00018659fe</t>
        </is>
      </c>
      <c r="Q2914" t="inlineStr">
        <is>
          <t>🚫重复</t>
        </is>
      </c>
      <c r="R2914" t="inlineStr">
        <is>
          <t>14周</t>
        </is>
      </c>
      <c r="S2914" t="inlineStr">
        <is>
          <t>2.25</t>
        </is>
      </c>
      <c r="T2914" t="inlineStr">
        <is>
          <t>美食滋补</t>
        </is>
      </c>
      <c r="U2914" t="inlineStr">
        <is>
          <t>休闲零食</t>
        </is>
      </c>
      <c r="V2914" s="3">
        <v>46112.78107638889</v>
      </c>
      <c r="W2914" t="inlineStr">
        <is>
          <t>2026-Q1</t>
        </is>
      </c>
    </row>
    <row r="2915" ht="25.5" customHeight="1">
      <c r="A2915" t="inlineStr">
        <is>
          <t>海蒂的花园 · 朱顶红阿弗雷球根花卉多年生阳台庭院好养种球花卉地栽南非进口</t>
        </is>
      </c>
      <c r="B2915" t="inlineStr">
        <is>
          <t>recveKOBkWuGD4.jpg</t>
        </is>
      </c>
      <c r="C2915" s="2" t="str">
        <f>=HYPERLINK("https://xhslink.com/m/9AVete7WfWZ", "https://xhslink.com/m/9AVete7WfWZ")</f>
        <v>https://xhslink.com/m/9AVete7WfWZ</v>
      </c>
      <c r="D2915"/>
      <c r="E2915">
        <v>30000</v>
      </c>
      <c r="F2915">
        <v>27.6</v>
      </c>
      <c r="G2915">
        <v>18.8</v>
      </c>
      <c r="H2915">
        <v>100</v>
      </c>
      <c r="I2915" t="inlineStr">
        <is>
          <t>花花草草</t>
        </is>
      </c>
      <c r="J2915" t="inlineStr">
        <is>
          <t>0.00</t>
        </is>
      </c>
      <c r="K2915"/>
      <c r="L2915" t="inlineStr">
        <is>
          <t>海蒂的花园的店</t>
        </is>
      </c>
      <c r="M2915">
        <v>1588000</v>
      </c>
      <c r="N2915">
        <v>4.6</v>
      </c>
      <c r="O2915">
        <v>1872000</v>
      </c>
      <c r="P2915" t="inlineStr">
        <is>
          <t>654afd66fbea800001f8b7b4</t>
        </is>
      </c>
      <c r="Q2915" t="inlineStr">
        <is>
          <t>🚫重复</t>
        </is>
      </c>
      <c r="R2915" t="inlineStr">
        <is>
          <t>14周</t>
        </is>
      </c>
      <c r="S2915" t="inlineStr">
        <is>
          <t>0.02</t>
        </is>
      </c>
      <c r="T2915" t="inlineStr">
        <is>
          <t>家居生活</t>
        </is>
      </c>
      <c r="U2915" t="inlineStr">
        <is>
          <t>家具家装</t>
        </is>
      </c>
      <c r="V2915" s="3">
        <v>46112.78107638889</v>
      </c>
      <c r="W2915" t="inlineStr">
        <is>
          <t>2026-Q1</t>
        </is>
      </c>
    </row>
    <row r="2916" ht="25.5" customHeight="1">
      <c r="A2916" t="inlineStr">
        <is>
          <t>山东菏泽芍药鲜花牡丹重瓣花束基地直发母亲节花束全新</t>
        </is>
      </c>
      <c r="B2916" t="inlineStr">
        <is>
          <t>recveKOBkWR0u5.jpg</t>
        </is>
      </c>
      <c r="C2916" s="2" t="str">
        <f>=HYPERLINK("https://xhslink.com/m/42oG8dwB522", "https://xhslink.com/m/42oG8dwB522")</f>
        <v>https://xhslink.com/m/42oG8dwB522</v>
      </c>
      <c r="D2916"/>
      <c r="E2916">
        <v>13000</v>
      </c>
      <c r="F2916">
        <v>20.9</v>
      </c>
      <c r="G2916">
        <v>19.9</v>
      </c>
      <c r="H2916">
        <v>100</v>
      </c>
      <c r="I2916" t="inlineStr">
        <is>
          <t>花花草草</t>
        </is>
      </c>
      <c r="J2916" t="inlineStr">
        <is>
          <t>0.01</t>
        </is>
      </c>
      <c r="K2916"/>
      <c r="L2916" t="inlineStr">
        <is>
          <t>花花的芍药牡丹的店</t>
        </is>
      </c>
      <c r="M2916">
        <v>4367</v>
      </c>
      <c r="N2916">
        <v>4.84</v>
      </c>
      <c r="O2916">
        <v>14000</v>
      </c>
      <c r="P2916" t="inlineStr">
        <is>
          <t>69b10eb7dd2f440001335f14</t>
        </is>
      </c>
      <c r="Q2916"/>
      <c r="R2916" t="inlineStr">
        <is>
          <t>14周</t>
        </is>
      </c>
      <c r="S2916" t="inlineStr">
        <is>
          <t>2.98</t>
        </is>
      </c>
      <c r="T2916" t="inlineStr">
        <is>
          <t>家居生活</t>
        </is>
      </c>
      <c r="U2916" t="inlineStr">
        <is>
          <t>家具家装</t>
        </is>
      </c>
      <c r="V2916" s="3">
        <v>46112.78107638889</v>
      </c>
      <c r="W2916" t="inlineStr">
        <is>
          <t>2026-Q1</t>
        </is>
      </c>
    </row>
    <row r="2917" ht="25.5" customHeight="1">
      <c r="A2917" t="inlineStr">
        <is>
          <t>香雪兰「可选色」2扎（4单一个运费）0度不拍保温不售后</t>
        </is>
      </c>
      <c r="B2917" t="inlineStr">
        <is>
          <t>recveKOBkWu8XT.jpg</t>
        </is>
      </c>
      <c r="C2917" s="2" t="str">
        <f>=HYPERLINK("https://xhslink.com/m/8otT3hqjnaj", "https://xhslink.com/m/8otT3hqjnaj")</f>
        <v>https://xhslink.com/m/8otT3hqjnaj</v>
      </c>
      <c r="D2917"/>
      <c r="E2917">
        <v>3836</v>
      </c>
      <c r="F2917">
        <v>7.99</v>
      </c>
      <c r="G2917"/>
      <c r="H2917">
        <v>100</v>
      </c>
      <c r="I2917" t="inlineStr">
        <is>
          <t>花花草草</t>
        </is>
      </c>
      <c r="J2917" t="inlineStr">
        <is>
          <t>0.03</t>
        </is>
      </c>
      <c r="K2917"/>
      <c r="L2917" t="inlineStr">
        <is>
          <t>康健卖花了的店</t>
        </is>
      </c>
      <c r="M2917">
        <v>46000</v>
      </c>
      <c r="N2917">
        <v>4.16</v>
      </c>
      <c r="O2917">
        <v>167000</v>
      </c>
      <c r="P2917" t="inlineStr">
        <is>
          <t>697203e0b05f88000122ffaa</t>
        </is>
      </c>
      <c r="Q2917" t="inlineStr">
        <is>
          <t>🚫重复</t>
        </is>
      </c>
      <c r="R2917" t="inlineStr">
        <is>
          <t>14周</t>
        </is>
      </c>
      <c r="S2917" t="inlineStr">
        <is>
          <t>0.08</t>
        </is>
      </c>
      <c r="T2917" t="inlineStr">
        <is>
          <t>家居生活</t>
        </is>
      </c>
      <c r="U2917" t="inlineStr">
        <is>
          <t>家具家装</t>
        </is>
      </c>
      <c r="V2917" s="3">
        <v>46112.78107638889</v>
      </c>
      <c r="W2917" t="inlineStr">
        <is>
          <t>2026-Q1</t>
        </is>
      </c>
    </row>
    <row r="2918" ht="25.5" customHeight="1">
      <c r="A2918" t="inlineStr">
        <is>
          <t>『小叶女贞』手工精选苗 禅意国风鲜切枝 开店生意好寓意居家美学</t>
        </is>
      </c>
      <c r="B2918" t="inlineStr">
        <is>
          <t>recveKOBkWCcIg.jpg</t>
        </is>
      </c>
      <c r="C2918" s="2" t="str">
        <f>=HYPERLINK("https://xhslink.com/m/8tQuYulhLij", "https://xhslink.com/m/8tQuYulhLij")</f>
        <v>https://xhslink.com/m/8tQuYulhLij</v>
      </c>
      <c r="D2918"/>
      <c r="E2918">
        <v>5304</v>
      </c>
      <c r="F2918">
        <v>109.9</v>
      </c>
      <c r="G2918">
        <v>59.9</v>
      </c>
      <c r="H2918">
        <v>100</v>
      </c>
      <c r="I2918" t="inlineStr">
        <is>
          <t>花花草草</t>
        </is>
      </c>
      <c r="J2918" t="inlineStr">
        <is>
          <t>0.02</t>
        </is>
      </c>
      <c r="K2918" t="inlineStr">
        <is>
          <t>🔥低粉爆款</t>
        </is>
      </c>
      <c r="L2918" t="inlineStr">
        <is>
          <t>『半夏青木』小众花材严选的店</t>
        </is>
      </c>
      <c r="M2918">
        <v>894</v>
      </c>
      <c r="N2918">
        <v>4.39</v>
      </c>
      <c r="O2918">
        <v>8302</v>
      </c>
      <c r="P2918" t="inlineStr">
        <is>
          <t>693b100462c5c0001564e6a0</t>
        </is>
      </c>
      <c r="Q2918"/>
      <c r="R2918" t="inlineStr">
        <is>
          <t>14周</t>
        </is>
      </c>
      <c r="S2918" t="inlineStr">
        <is>
          <t>5.93</t>
        </is>
      </c>
      <c r="T2918" t="inlineStr">
        <is>
          <t>家居生活</t>
        </is>
      </c>
      <c r="U2918" t="inlineStr">
        <is>
          <t>家具家装</t>
        </is>
      </c>
      <c r="V2918" s="3">
        <v>46112.78107638889</v>
      </c>
      <c r="W2918" t="inlineStr">
        <is>
          <t>2026-Q1</t>
        </is>
      </c>
    </row>
    <row r="2919" ht="25.5" customHeight="1">
      <c r="A2919" t="inlineStr">
        <is>
          <t>【紫玫瑰10支+香雪兰1扎+蝴蝶洋牡丹1扎+配草】耐养日常花材</t>
        </is>
      </c>
      <c r="B2919" t="inlineStr">
        <is>
          <t>recveKOBkWeUR5.jpg</t>
        </is>
      </c>
      <c r="C2919" s="2" t="str">
        <f>=HYPERLINK("https://xhslink.com/m/ySbOsMjbg5", "https://xhslink.com/m/ySbOsMjbg5")</f>
        <v>https://xhslink.com/m/ySbOsMjbg5</v>
      </c>
      <c r="D2919"/>
      <c r="E2919">
        <v>376</v>
      </c>
      <c r="F2919">
        <v>29.9</v>
      </c>
      <c r="G2919"/>
      <c r="H2919">
        <v>100</v>
      </c>
      <c r="I2919" t="inlineStr">
        <is>
          <t>花花草草</t>
        </is>
      </c>
      <c r="J2919" t="inlineStr">
        <is>
          <t>0.27</t>
        </is>
      </c>
      <c r="K2919" t="inlineStr">
        <is>
          <t>🔥低粉爆款</t>
        </is>
      </c>
      <c r="L2919" t="inlineStr">
        <is>
          <t>花屿植的店</t>
        </is>
      </c>
      <c r="M2919">
        <v>53</v>
      </c>
      <c r="N2919">
        <v>3.94</v>
      </c>
      <c r="O2919">
        <v>23000</v>
      </c>
      <c r="P2919" t="inlineStr">
        <is>
          <t>69bb5fad9138010015b24bdf</t>
        </is>
      </c>
      <c r="Q2919"/>
      <c r="R2919" t="inlineStr">
        <is>
          <t>14周</t>
        </is>
      </c>
      <c r="S2919" t="inlineStr">
        <is>
          <t>7.09</t>
        </is>
      </c>
      <c r="T2919" t="inlineStr">
        <is>
          <t>家居生活</t>
        </is>
      </c>
      <c r="U2919" t="inlineStr">
        <is>
          <t>家具家装</t>
        </is>
      </c>
      <c r="V2919" s="3">
        <v>46112.78107638889</v>
      </c>
      <c r="W2919" t="inlineStr">
        <is>
          <t>2026-Q1</t>
        </is>
      </c>
    </row>
    <row r="2920" ht="25.5" customHeight="1">
      <c r="A2920" t="inlineStr">
        <is>
          <t>日式煎锅平底锅牛排锅手抓饼鸡蛋煎锅免开锅电磁炉燃气灶通用</t>
        </is>
      </c>
      <c r="B2920" t="inlineStr">
        <is>
          <t>recveKOBkW9A1q.jpg</t>
        </is>
      </c>
      <c r="C2920" s="2" t="str">
        <f>=HYPERLINK("https://xhslink.com/m/6WWGQoo0gFB", "https://xhslink.com/m/6WWGQoo0gFB")</f>
        <v>https://xhslink.com/m/6WWGQoo0gFB</v>
      </c>
      <c r="D2920"/>
      <c r="E2920">
        <v>35000</v>
      </c>
      <c r="F2920">
        <v>59</v>
      </c>
      <c r="G2920"/>
      <c r="H2920">
        <v>100</v>
      </c>
      <c r="I2920" t="inlineStr">
        <is>
          <t>厨房</t>
        </is>
      </c>
      <c r="J2920" t="inlineStr">
        <is>
          <t>0.00</t>
        </is>
      </c>
      <c r="K2920" t="inlineStr">
        <is>
          <t>🔥低粉爆款</t>
        </is>
      </c>
      <c r="L2920" t="inlineStr">
        <is>
          <t>露露家居的店</t>
        </is>
      </c>
      <c r="M2920">
        <v>2074</v>
      </c>
      <c r="N2920">
        <v>4.57</v>
      </c>
      <c r="O2920">
        <v>40000</v>
      </c>
      <c r="P2920" t="inlineStr">
        <is>
          <t>653a887f06b0b400010aba1b</t>
        </is>
      </c>
      <c r="Q2920" t="inlineStr">
        <is>
          <t>🚫重复</t>
        </is>
      </c>
      <c r="R2920" t="inlineStr">
        <is>
          <t>14周</t>
        </is>
      </c>
      <c r="S2920" t="inlineStr">
        <is>
          <t>16.88</t>
        </is>
      </c>
      <c r="T2920" t="inlineStr">
        <is>
          <t>家居生活</t>
        </is>
      </c>
      <c r="U2920" t="inlineStr">
        <is>
          <t>厨房餐饮</t>
        </is>
      </c>
      <c r="V2920" s="3">
        <v>46112.78107638889</v>
      </c>
      <c r="W2920" t="inlineStr">
        <is>
          <t>2026-Q1</t>
        </is>
      </c>
    </row>
    <row r="2921" ht="25.5" customHeight="1">
      <c r="A2921" t="inlineStr">
        <is>
          <t>沥水神器钢丝球洗碗池收纳架厨房沥水架水池洗洁精海绵抹布置物架</t>
        </is>
      </c>
      <c r="B2921" t="inlineStr">
        <is>
          <t>recveKOBkWWUjg.jpg</t>
        </is>
      </c>
      <c r="C2921" s="2" t="str">
        <f>=HYPERLINK("https://xhslink.com/m/3zCOXAKUq1a", "https://xhslink.com/m/3zCOXAKUq1a")</f>
        <v>https://xhslink.com/m/3zCOXAKUq1a</v>
      </c>
      <c r="D2921"/>
      <c r="E2921">
        <v>33000</v>
      </c>
      <c r="F2921">
        <v>24.5</v>
      </c>
      <c r="G2921">
        <v>15.5</v>
      </c>
      <c r="H2921">
        <v>100</v>
      </c>
      <c r="I2921" t="inlineStr">
        <is>
          <t>厨房</t>
        </is>
      </c>
      <c r="J2921" t="inlineStr">
        <is>
          <t>0.00</t>
        </is>
      </c>
      <c r="K2921" t="inlineStr">
        <is>
          <t>🔥低粉爆款</t>
        </is>
      </c>
      <c r="L2921" t="inlineStr">
        <is>
          <t>薯条宝藏铺的店</t>
        </is>
      </c>
      <c r="M2921">
        <v>4639</v>
      </c>
      <c r="N2921">
        <v>4.56</v>
      </c>
      <c r="O2921">
        <v>81000</v>
      </c>
      <c r="P2921" t="inlineStr">
        <is>
          <t>6690a028960f9e0001e86d02</t>
        </is>
      </c>
      <c r="Q2921" t="inlineStr">
        <is>
          <t>🚫重复</t>
        </is>
      </c>
      <c r="R2921" t="inlineStr">
        <is>
          <t>14周</t>
        </is>
      </c>
      <c r="S2921" t="inlineStr">
        <is>
          <t>7.11</t>
        </is>
      </c>
      <c r="T2921" t="inlineStr">
        <is>
          <t>家居生活</t>
        </is>
      </c>
      <c r="U2921" t="inlineStr">
        <is>
          <t>家居日用</t>
        </is>
      </c>
      <c r="V2921" s="3">
        <v>46112.78107638889</v>
      </c>
      <c r="W2921" t="inlineStr">
        <is>
          <t>2026-Q1</t>
        </is>
      </c>
    </row>
    <row r="2922" ht="25.5" customHeight="1">
      <c r="A2922" t="inlineStr">
        <is>
          <t>HonJohn · 【重磅升级】大绿锅聚油煎炒锅不粘平底家用炒菜燃气灶电磁炉通用</t>
        </is>
      </c>
      <c r="B2922" t="inlineStr">
        <is>
          <t>recveKOBkW8p1m.jpg</t>
        </is>
      </c>
      <c r="C2922" s="2" t="str">
        <f>=HYPERLINK("https://xhslink.com/m/39AmnlNct0u", "https://xhslink.com/m/39AmnlNct0u")</f>
        <v>https://xhslink.com/m/39AmnlNct0u</v>
      </c>
      <c r="D2922"/>
      <c r="E2922">
        <v>4902</v>
      </c>
      <c r="F2922">
        <v>269</v>
      </c>
      <c r="G2922">
        <v>168</v>
      </c>
      <c r="H2922">
        <v>100</v>
      </c>
      <c r="I2922" t="inlineStr">
        <is>
          <t>厨房</t>
        </is>
      </c>
      <c r="J2922" t="inlineStr">
        <is>
          <t>0.02</t>
        </is>
      </c>
      <c r="K2922"/>
      <c r="L2922" t="inlineStr">
        <is>
          <t>HonJohn的店</t>
        </is>
      </c>
      <c r="M2922">
        <v>6829</v>
      </c>
      <c r="N2922">
        <v>4.55</v>
      </c>
      <c r="O2922">
        <v>33000</v>
      </c>
      <c r="P2922" t="inlineStr">
        <is>
          <t>68774e6de019f20001f5f68e</t>
        </is>
      </c>
      <c r="Q2922" t="inlineStr">
        <is>
          <t>🚫重复</t>
        </is>
      </c>
      <c r="R2922" t="inlineStr">
        <is>
          <t>14周</t>
        </is>
      </c>
      <c r="S2922" t="inlineStr">
        <is>
          <t>0.72</t>
        </is>
      </c>
      <c r="T2922" t="inlineStr">
        <is>
          <t>家居生活</t>
        </is>
      </c>
      <c r="U2922" t="inlineStr">
        <is>
          <t>厨房餐饮</t>
        </is>
      </c>
      <c r="V2922" s="3">
        <v>46112.78107638889</v>
      </c>
      <c r="W2922" t="inlineStr">
        <is>
          <t>2026-Q1</t>
        </is>
      </c>
    </row>
    <row r="2923" ht="25.5" customHeight="1">
      <c r="A2923" t="inlineStr">
        <is>
          <t>henceforth｛Dottie｝波点爱心绗缝餐垫杯垫桌面装饰隔热韩系ins</t>
        </is>
      </c>
      <c r="B2923" t="inlineStr">
        <is>
          <t>recveKOBkWTMSI.jpg</t>
        </is>
      </c>
      <c r="C2923" s="2" t="str">
        <f>=HYPERLINK("https://xhslink.com/m/2nVyCYPUee1", "https://xhslink.com/m/2nVyCYPUee1")</f>
        <v>https://xhslink.com/m/2nVyCYPUee1</v>
      </c>
      <c r="D2923"/>
      <c r="E2923">
        <v>1895</v>
      </c>
      <c r="F2923">
        <v>29.9</v>
      </c>
      <c r="G2923"/>
      <c r="H2923">
        <v>100</v>
      </c>
      <c r="I2923" t="inlineStr">
        <is>
          <t>厨房</t>
        </is>
      </c>
      <c r="J2923" t="inlineStr">
        <is>
          <t>0.05</t>
        </is>
      </c>
      <c r="K2923"/>
      <c r="L2923" t="inlineStr">
        <is>
          <t>henceforth的店</t>
        </is>
      </c>
      <c r="M2923">
        <v>43000</v>
      </c>
      <c r="N2923">
        <v>4.49</v>
      </c>
      <c r="O2923">
        <v>18000</v>
      </c>
      <c r="P2923" t="inlineStr">
        <is>
          <t>6858dbde8b7d6f0001e0d92f</t>
        </is>
      </c>
      <c r="Q2923" t="inlineStr">
        <is>
          <t>🚫重复</t>
        </is>
      </c>
      <c r="R2923" t="inlineStr">
        <is>
          <t>14周</t>
        </is>
      </c>
      <c r="S2923" t="inlineStr">
        <is>
          <t>0.04</t>
        </is>
      </c>
      <c r="T2923" t="inlineStr">
        <is>
          <t>家居生活</t>
        </is>
      </c>
      <c r="U2923" t="inlineStr">
        <is>
          <t>厨房餐饮</t>
        </is>
      </c>
      <c r="V2923" s="3">
        <v>46112.78107638889</v>
      </c>
      <c r="W2923" t="inlineStr">
        <is>
          <t>2026-Q1</t>
        </is>
      </c>
    </row>
    <row r="2924" ht="25.5" customHeight="1">
      <c r="A2924" t="inlineStr">
        <is>
          <t>喵仙儿 · 红伞伞红蘑菇麻绳猫抓柱猫玩具百搭可爱高颜值</t>
        </is>
      </c>
      <c r="B2924" t="inlineStr">
        <is>
          <t>recveKOBkWAmDy.jpg</t>
        </is>
      </c>
      <c r="C2924" s="2" t="str">
        <f>=HYPERLINK("https://xhslink.com/m/A6bB4PUIofp", "https://xhslink.com/m/A6bB4PUIofp")</f>
        <v>https://xhslink.com/m/A6bB4PUIofp</v>
      </c>
      <c r="D2924"/>
      <c r="E2924">
        <v>60000</v>
      </c>
      <c r="F2924">
        <v>79.5</v>
      </c>
      <c r="G2924">
        <v>53.5</v>
      </c>
      <c r="H2924">
        <v>100</v>
      </c>
      <c r="I2924" t="inlineStr">
        <is>
          <t>小猫玩具</t>
        </is>
      </c>
      <c r="J2924" t="inlineStr">
        <is>
          <t>0.00</t>
        </is>
      </c>
      <c r="K2924"/>
      <c r="L2924" t="inlineStr">
        <is>
          <t>喵仙儿宠物的店</t>
        </is>
      </c>
      <c r="M2924">
        <v>46000</v>
      </c>
      <c r="N2924">
        <v>4.52</v>
      </c>
      <c r="O2924">
        <v>476000</v>
      </c>
      <c r="P2924" t="inlineStr">
        <is>
          <t>667e6ce126b4b6000108c57d</t>
        </is>
      </c>
      <c r="Q2924" t="inlineStr">
        <is>
          <t>🚫重复</t>
        </is>
      </c>
      <c r="R2924" t="inlineStr">
        <is>
          <t>14周</t>
        </is>
      </c>
      <c r="S2924" t="inlineStr">
        <is>
          <t>1.30</t>
        </is>
      </c>
      <c r="T2924" t="inlineStr">
        <is>
          <t>家居生活</t>
        </is>
      </c>
      <c r="U2924" t="inlineStr">
        <is>
          <t>家居日用</t>
        </is>
      </c>
      <c r="V2924" s="3">
        <v>46112.78107638889</v>
      </c>
      <c r="W2924" t="inlineStr">
        <is>
          <t>2026-Q1</t>
        </is>
      </c>
    </row>
    <row r="2925" ht="25.5" customHeight="1">
      <c r="A2925" t="inlineStr">
        <is>
          <t>家的角落 · 高级感小推车置物架出租房床头柜可移动储物箱化妆品收纳家饰软装</t>
        </is>
      </c>
      <c r="B2925" t="inlineStr">
        <is>
          <t>recveKOBkWLkiH.jpg</t>
        </is>
      </c>
      <c r="C2925" s="2" t="str">
        <f>=HYPERLINK("https://xhslink.com/m/2JTvWUFuXVp", "https://xhslink.com/m/2JTvWUFuXVp")</f>
        <v>https://xhslink.com/m/2JTvWUFuXVp</v>
      </c>
      <c r="D2925"/>
      <c r="E2925">
        <v>5457</v>
      </c>
      <c r="F2925">
        <v>119</v>
      </c>
      <c r="G2925">
        <v>98</v>
      </c>
      <c r="H2925">
        <v>100</v>
      </c>
      <c r="I2925" t="inlineStr">
        <is>
          <t>卧室好物</t>
        </is>
      </c>
      <c r="J2925" t="inlineStr">
        <is>
          <t>0.02</t>
        </is>
      </c>
      <c r="K2925"/>
      <c r="L2925" t="inlineStr">
        <is>
          <t>家的角落的店</t>
        </is>
      </c>
      <c r="M2925">
        <v>1007000</v>
      </c>
      <c r="N2925">
        <v>4.61</v>
      </c>
      <c r="O2925">
        <v>527000</v>
      </c>
      <c r="P2925" t="inlineStr">
        <is>
          <t>675d2b08b9eb7500010cd417</t>
        </is>
      </c>
      <c r="Q2925" t="inlineStr">
        <is>
          <t>🚫重复</t>
        </is>
      </c>
      <c r="R2925" t="inlineStr">
        <is>
          <t>14周</t>
        </is>
      </c>
      <c r="S2925" t="inlineStr">
        <is>
          <t>0.01</t>
        </is>
      </c>
      <c r="T2925" t="inlineStr">
        <is>
          <t>家居生活</t>
        </is>
      </c>
      <c r="U2925" t="inlineStr">
        <is>
          <t>家居日用</t>
        </is>
      </c>
      <c r="V2925" s="3">
        <v>46112.78107638889</v>
      </c>
      <c r="W2925" t="inlineStr">
        <is>
          <t>2026-Q1</t>
        </is>
      </c>
    </row>
    <row r="2926" ht="25.5" customHeight="1">
      <c r="A2926" t="inlineStr">
        <is>
          <t>100S全棉轻奢刺绣四件套100%纯棉贡缎新疆长绒棉柔软舒适四季可用</t>
        </is>
      </c>
      <c r="B2926" t="inlineStr">
        <is>
          <t>recveKOBkWaYQV.jpg</t>
        </is>
      </c>
      <c r="C2926" s="2" t="str">
        <f>=HYPERLINK("https://xhslink.com/m/7OVNT5h8pp4", "https://xhslink.com/m/7OVNT5h8pp4")</f>
        <v>https://xhslink.com/m/7OVNT5h8pp4</v>
      </c>
      <c r="D2926"/>
      <c r="E2926">
        <v>6243</v>
      </c>
      <c r="F2926">
        <v>298</v>
      </c>
      <c r="G2926">
        <v>198</v>
      </c>
      <c r="H2926">
        <v>100</v>
      </c>
      <c r="I2926" t="inlineStr">
        <is>
          <t>卧室好物</t>
        </is>
      </c>
      <c r="J2926" t="inlineStr">
        <is>
          <t>0.02</t>
        </is>
      </c>
      <c r="K2926"/>
      <c r="L2926" t="inlineStr">
        <is>
          <t>南通金氏家纺工厂的店</t>
        </is>
      </c>
      <c r="M2926">
        <v>4915</v>
      </c>
      <c r="N2926">
        <v>4.68</v>
      </c>
      <c r="O2926">
        <v>20000</v>
      </c>
      <c r="P2926" t="inlineStr">
        <is>
          <t>68c95e1a30aed40001b5a4a5</t>
        </is>
      </c>
      <c r="Q2926"/>
      <c r="R2926" t="inlineStr">
        <is>
          <t>14周</t>
        </is>
      </c>
      <c r="S2926" t="inlineStr">
        <is>
          <t>1.27</t>
        </is>
      </c>
      <c r="T2926" t="inlineStr">
        <is>
          <t>家居生活</t>
        </is>
      </c>
      <c r="U2926" t="inlineStr">
        <is>
          <t>家具家装</t>
        </is>
      </c>
      <c r="V2926" s="3">
        <v>46112.78107638889</v>
      </c>
      <c r="W2926" t="inlineStr">
        <is>
          <t>2026-Q1</t>
        </is>
      </c>
    </row>
    <row r="2927" ht="25.5" customHeight="1">
      <c r="A2927" t="inlineStr">
        <is>
          <t>毛毡板拼豆饰品墙收纳墙自粘免打孔宿舍卧室饰品帽子眼镜展示墙面</t>
        </is>
      </c>
      <c r="B2927" t="inlineStr">
        <is>
          <t>recveKOBkW2lDU.jpg</t>
        </is>
      </c>
      <c r="C2927" s="2" t="str">
        <f>=HYPERLINK("https://xhslink.com/m/4SAjbDtSR7v", "https://xhslink.com/m/4SAjbDtSR7v")</f>
        <v>https://xhslink.com/m/4SAjbDtSR7v</v>
      </c>
      <c r="D2927"/>
      <c r="E2927">
        <v>5710</v>
      </c>
      <c r="F2927">
        <v>10.99</v>
      </c>
      <c r="G2927">
        <v>9.34</v>
      </c>
      <c r="H2927">
        <v>100</v>
      </c>
      <c r="I2927" t="inlineStr">
        <is>
          <t>卧室好物</t>
        </is>
      </c>
      <c r="J2927" t="inlineStr">
        <is>
          <t>0.02</t>
        </is>
      </c>
      <c r="K2927" t="inlineStr">
        <is>
          <t>🔥低粉爆款</t>
        </is>
      </c>
      <c r="L2927" t="inlineStr">
        <is>
          <t>毛毡制品源头厂家的店</t>
        </is>
      </c>
      <c r="M2927">
        <v>1127</v>
      </c>
      <c r="N2927">
        <v>4.27</v>
      </c>
      <c r="O2927">
        <v>6299</v>
      </c>
      <c r="P2927" t="inlineStr">
        <is>
          <t>67e52630bf527d0001ecb729</t>
        </is>
      </c>
      <c r="Q2927" t="inlineStr">
        <is>
          <t>🚫重复</t>
        </is>
      </c>
      <c r="R2927" t="inlineStr">
        <is>
          <t>14周</t>
        </is>
      </c>
      <c r="S2927" t="inlineStr">
        <is>
          <t>5.07</t>
        </is>
      </c>
      <c r="T2927" t="inlineStr">
        <is>
          <t>服饰穿搭</t>
        </is>
      </c>
      <c r="U2927" t="inlineStr">
        <is>
          <t>配饰</t>
        </is>
      </c>
      <c r="V2927" s="3">
        <v>46112.78107638889</v>
      </c>
      <c r="W2927" t="inlineStr">
        <is>
          <t>2026-Q1</t>
        </is>
      </c>
    </row>
    <row r="2928" ht="25.5" customHeight="1">
      <c r="A2928" t="inlineStr">
        <is>
          <t>家的角落 · 加大号置物架小推车落地家用客厅零食置物架宿舍多层书本收纳架</t>
        </is>
      </c>
      <c r="B2928" t="inlineStr">
        <is>
          <t>recveKOBkWdle1.jpg</t>
        </is>
      </c>
      <c r="C2928" s="2" t="str">
        <f>=HYPERLINK("https://xhslink.com/m/934MAcvTHB3", "https://xhslink.com/m/934MAcvTHB3")</f>
        <v>https://xhslink.com/m/934MAcvTHB3</v>
      </c>
      <c r="D2928"/>
      <c r="E2928">
        <v>4391</v>
      </c>
      <c r="F2928">
        <v>49</v>
      </c>
      <c r="G2928">
        <v>38</v>
      </c>
      <c r="H2928">
        <v>100</v>
      </c>
      <c r="I2928" t="inlineStr">
        <is>
          <t>卧室好物</t>
        </is>
      </c>
      <c r="J2928" t="inlineStr">
        <is>
          <t>0.02</t>
        </is>
      </c>
      <c r="K2928"/>
      <c r="L2928" t="inlineStr">
        <is>
          <t>家的角落的店</t>
        </is>
      </c>
      <c r="M2928">
        <v>1007000</v>
      </c>
      <c r="N2928">
        <v>4.61</v>
      </c>
      <c r="O2928">
        <v>527000</v>
      </c>
      <c r="P2928" t="inlineStr">
        <is>
          <t>6940e0ad0a900600018da1ec</t>
        </is>
      </c>
      <c r="Q2928" t="inlineStr">
        <is>
          <t>🚫重复</t>
        </is>
      </c>
      <c r="R2928" t="inlineStr">
        <is>
          <t>14周</t>
        </is>
      </c>
      <c r="S2928" t="inlineStr">
        <is>
          <t>0.00</t>
        </is>
      </c>
      <c r="T2928" t="inlineStr">
        <is>
          <t>家居生活</t>
        </is>
      </c>
      <c r="U2928" t="inlineStr">
        <is>
          <t>家居日用</t>
        </is>
      </c>
      <c r="V2928" s="3">
        <v>46112.78107638889</v>
      </c>
      <c r="W2928" t="inlineStr">
        <is>
          <t>2026-Q1</t>
        </is>
      </c>
    </row>
    <row r="2929" ht="25.5" customHeight="1">
      <c r="A2929" t="inlineStr">
        <is>
          <t>挂衣架落地卧室衣帽架简易小型室内家用床边置物架晾衣架挂衣服架</t>
        </is>
      </c>
      <c r="B2929" t="inlineStr">
        <is>
          <t>recveKOBkWRm4a.jpg</t>
        </is>
      </c>
      <c r="C2929" s="2" t="str">
        <f>=HYPERLINK("https://xhslink.com/m/A5JtLD11PdY", "https://xhslink.com/m/A5JtLD11PdY")</f>
        <v>https://xhslink.com/m/A5JtLD11PdY</v>
      </c>
      <c r="D2929"/>
      <c r="E2929">
        <v>13000</v>
      </c>
      <c r="F2929">
        <v>109.5</v>
      </c>
      <c r="G2929">
        <v>49.99</v>
      </c>
      <c r="H2929">
        <v>100</v>
      </c>
      <c r="I2929" t="inlineStr">
        <is>
          <t>卧室好物</t>
        </is>
      </c>
      <c r="J2929" t="inlineStr">
        <is>
          <t>0.01</t>
        </is>
      </c>
      <c r="K2929" t="inlineStr">
        <is>
          <t>🔥低粉爆款</t>
        </is>
      </c>
      <c r="L2929" t="inlineStr">
        <is>
          <t>木木南日用的店</t>
        </is>
      </c>
      <c r="M2929">
        <v>124</v>
      </c>
      <c r="N2929">
        <v>4.48</v>
      </c>
      <c r="O2929">
        <v>27000</v>
      </c>
      <c r="P2929" t="inlineStr">
        <is>
          <t>691d15e16d08080015791bb0</t>
        </is>
      </c>
      <c r="Q2929" t="inlineStr">
        <is>
          <t>🚫重复</t>
        </is>
      </c>
      <c r="R2929" t="inlineStr">
        <is>
          <t>14周</t>
        </is>
      </c>
      <c r="S2929" t="inlineStr">
        <is>
          <t>104.84</t>
        </is>
      </c>
      <c r="T2929" t="inlineStr">
        <is>
          <t>家居生活</t>
        </is>
      </c>
      <c r="U2929" t="inlineStr">
        <is>
          <t>家居日用</t>
        </is>
      </c>
      <c r="V2929" s="3">
        <v>46112.78107638889</v>
      </c>
      <c r="W2929" t="inlineStr">
        <is>
          <t>2026-Q1</t>
        </is>
      </c>
    </row>
    <row r="2930" ht="25.5" customHeight="1">
      <c r="A2930" t="inlineStr">
        <is>
          <t>加厚棉麻收纳盒可折叠可视窗家用抽屉式家居衣柜衣服裤子收纳盒</t>
        </is>
      </c>
      <c r="B2930" t="inlineStr">
        <is>
          <t>recveKOBkWx0ep.jpg</t>
        </is>
      </c>
      <c r="C2930" s="2" t="str">
        <f>=HYPERLINK("https://xhslink.com/m/9jn4IBB8Pf4", "https://xhslink.com/m/9jn4IBB8Pf4")</f>
        <v>https://xhslink.com/m/9jn4IBB8Pf4</v>
      </c>
      <c r="D2930"/>
      <c r="E2930">
        <v>98000</v>
      </c>
      <c r="F2930">
        <v>29.9</v>
      </c>
      <c r="G2930">
        <v>9.9</v>
      </c>
      <c r="H2930">
        <v>100</v>
      </c>
      <c r="I2930" t="inlineStr">
        <is>
          <t>卧室好物</t>
        </is>
      </c>
      <c r="J2930" t="inlineStr">
        <is>
          <t>0.00</t>
        </is>
      </c>
      <c r="K2930" t="inlineStr">
        <is>
          <t>🔥低粉爆款</t>
        </is>
      </c>
      <c r="L2930" t="inlineStr">
        <is>
          <t>是个宝藏鸭的店</t>
        </is>
      </c>
      <c r="M2930">
        <v>7218</v>
      </c>
      <c r="N2930">
        <v>4.68</v>
      </c>
      <c r="O2930">
        <v>150000</v>
      </c>
      <c r="P2930" t="inlineStr">
        <is>
          <t>666060cb296fce0001250cc5</t>
        </is>
      </c>
      <c r="Q2930" t="inlineStr">
        <is>
          <t>🚫重复</t>
        </is>
      </c>
      <c r="R2930" t="inlineStr">
        <is>
          <t>14周</t>
        </is>
      </c>
      <c r="S2930" t="inlineStr">
        <is>
          <t>13.58</t>
        </is>
      </c>
      <c r="T2930" t="inlineStr">
        <is>
          <t>家居生活</t>
        </is>
      </c>
      <c r="U2930" t="inlineStr">
        <is>
          <t>家居日用</t>
        </is>
      </c>
      <c r="V2930" s="3">
        <v>46112.78107638889</v>
      </c>
      <c r="W2930" t="inlineStr">
        <is>
          <t>2026-Q1</t>
        </is>
      </c>
    </row>
    <row r="2931" ht="25.5" customHeight="1">
      <c r="A2931" t="inlineStr">
        <is>
          <t>无火香薰晶石扩香石精油卧室持久精油家用摆件房间小众助眠香薰</t>
        </is>
      </c>
      <c r="B2931" t="inlineStr">
        <is>
          <t>recveKOBkWOLEC.jpg</t>
        </is>
      </c>
      <c r="C2931" s="2" t="str">
        <f>=HYPERLINK("https://xhslink.com/m/8C3XA3U0cw3", "https://xhslink.com/m/8C3XA3U0cw3")</f>
        <v>https://xhslink.com/m/8C3XA3U0cw3</v>
      </c>
      <c r="D2931"/>
      <c r="E2931">
        <v>8984</v>
      </c>
      <c r="F2931">
        <v>39.9</v>
      </c>
      <c r="G2931">
        <v>26.6</v>
      </c>
      <c r="H2931">
        <v>100</v>
      </c>
      <c r="I2931" t="inlineStr">
        <is>
          <t>卧室好物</t>
        </is>
      </c>
      <c r="J2931" t="inlineStr">
        <is>
          <t>0.01</t>
        </is>
      </c>
      <c r="K2931" t="inlineStr">
        <is>
          <t>🔥低粉爆款</t>
        </is>
      </c>
      <c r="L2931" t="inlineStr">
        <is>
          <t>叶楠盈香的店</t>
        </is>
      </c>
      <c r="M2931">
        <v>657</v>
      </c>
      <c r="N2931">
        <v>4.73</v>
      </c>
      <c r="O2931">
        <v>10000</v>
      </c>
      <c r="P2931" t="inlineStr">
        <is>
          <t>68b4228d26d3a40015262e0c</t>
        </is>
      </c>
      <c r="Q2931" t="inlineStr">
        <is>
          <t>🚫重复</t>
        </is>
      </c>
      <c r="R2931" t="inlineStr">
        <is>
          <t>14周</t>
        </is>
      </c>
      <c r="S2931" t="inlineStr">
        <is>
          <t>13.67</t>
        </is>
      </c>
      <c r="T2931" t="inlineStr">
        <is>
          <t>家居生活</t>
        </is>
      </c>
      <c r="U2931" t="inlineStr">
        <is>
          <t>家居日用</t>
        </is>
      </c>
      <c r="V2931" s="3">
        <v>46112.78107638889</v>
      </c>
      <c r="W2931" t="inlineStr">
        <is>
          <t>2026-Q1</t>
        </is>
      </c>
    </row>
    <row r="2932" ht="25.5" customHeight="1">
      <c r="A2932" t="inlineStr">
        <is>
          <t>桌面杂物收纳盒零食整理盒玩具衣服家用宿舍衣柜储物箱杂物收纳箱</t>
        </is>
      </c>
      <c r="B2932" t="inlineStr">
        <is>
          <t>recveKOBkW03YF.jpg</t>
        </is>
      </c>
      <c r="C2932" s="2" t="str">
        <f>=HYPERLINK("https://xhslink.com/m/9b84EQc2fGZ", "https://xhslink.com/m/9b84EQc2fGZ")</f>
        <v>https://xhslink.com/m/9b84EQc2fGZ</v>
      </c>
      <c r="D2932"/>
      <c r="E2932">
        <v>69000</v>
      </c>
      <c r="F2932">
        <v>27.8</v>
      </c>
      <c r="G2932">
        <v>11.9</v>
      </c>
      <c r="H2932">
        <v>100</v>
      </c>
      <c r="I2932" t="inlineStr">
        <is>
          <t>卧室好物</t>
        </is>
      </c>
      <c r="J2932" t="inlineStr">
        <is>
          <t>0.00</t>
        </is>
      </c>
      <c r="K2932" t="inlineStr">
        <is>
          <t>🔥低粉爆款</t>
        </is>
      </c>
      <c r="L2932" t="inlineStr">
        <is>
          <t>郑红志的店</t>
        </is>
      </c>
      <c r="M2932">
        <v>18000</v>
      </c>
      <c r="N2932">
        <v>4.54</v>
      </c>
      <c r="O2932">
        <v>194000</v>
      </c>
      <c r="P2932" t="inlineStr">
        <is>
          <t>64da1dfe666695000128b20d</t>
        </is>
      </c>
      <c r="Q2932" t="inlineStr">
        <is>
          <t>🚫重复</t>
        </is>
      </c>
      <c r="R2932" t="inlineStr">
        <is>
          <t>14周</t>
        </is>
      </c>
      <c r="S2932" t="inlineStr">
        <is>
          <t>3.83</t>
        </is>
      </c>
      <c r="T2932" t="inlineStr">
        <is>
          <t>家居生活</t>
        </is>
      </c>
      <c r="U2932" t="inlineStr">
        <is>
          <t>家居日用</t>
        </is>
      </c>
      <c r="V2932" s="3">
        <v>46112.78107638889</v>
      </c>
      <c r="W2932" t="inlineStr">
        <is>
          <t>2026-Q1</t>
        </is>
      </c>
    </row>
    <row r="2933" ht="25.5" customHeight="1">
      <c r="A2933" t="inlineStr">
        <is>
          <t>STILL【蘑菇小夜灯】创意卧室床头灯香薰蜡烛烛台送生日礼物礼品</t>
        </is>
      </c>
      <c r="B2933" t="inlineStr">
        <is>
          <t>recveKOBkW1bkd.jpg</t>
        </is>
      </c>
      <c r="C2933" s="2" t="str">
        <f>=HYPERLINK("https://xhslink.com/m/85YNBWdRJR9", "https://xhslink.com/m/85YNBWdRJR9")</f>
        <v>https://xhslink.com/m/85YNBWdRJR9</v>
      </c>
      <c r="D2933"/>
      <c r="E2933">
        <v>58000</v>
      </c>
      <c r="F2933">
        <v>29</v>
      </c>
      <c r="G2933">
        <v>25.52</v>
      </c>
      <c r="H2933">
        <v>100</v>
      </c>
      <c r="I2933" t="inlineStr">
        <is>
          <t>卧室好物</t>
        </is>
      </c>
      <c r="J2933" t="inlineStr">
        <is>
          <t>0.00</t>
        </is>
      </c>
      <c r="K2933"/>
      <c r="L2933" t="inlineStr">
        <is>
          <t>still far的店</t>
        </is>
      </c>
      <c r="M2933">
        <v>43000</v>
      </c>
      <c r="N2933">
        <v>4.73</v>
      </c>
      <c r="O2933">
        <v>325000</v>
      </c>
      <c r="P2933" t="inlineStr">
        <is>
          <t>65f91d4cfcf75d000150af97</t>
        </is>
      </c>
      <c r="Q2933" t="inlineStr">
        <is>
          <t>🚫重复</t>
        </is>
      </c>
      <c r="R2933" t="inlineStr">
        <is>
          <t>14周</t>
        </is>
      </c>
      <c r="S2933" t="inlineStr">
        <is>
          <t>1.35</t>
        </is>
      </c>
      <c r="T2933" t="inlineStr">
        <is>
          <t>家居生活</t>
        </is>
      </c>
      <c r="U2933" t="inlineStr">
        <is>
          <t>家居日用</t>
        </is>
      </c>
      <c r="V2933" s="3">
        <v>46112.78107638889</v>
      </c>
      <c r="W2933" t="inlineStr">
        <is>
          <t>2026-Q1</t>
        </is>
      </c>
    </row>
    <row r="2934" ht="25.5" customHeight="1">
      <c r="A2934" t="inlineStr">
        <is>
          <t>CECONCERT音色 · CeConcert音色家居四季款新疆棉长绒棉色织提花四件套 居家好物</t>
        </is>
      </c>
      <c r="B2934" t="inlineStr">
        <is>
          <t>recveKOBkWjWrw.jpg</t>
        </is>
      </c>
      <c r="C2934" s="2" t="str">
        <f>=HYPERLINK("https://xhslink.com/m/9fYIk7Ra5ia", "https://xhslink.com/m/9fYIk7Ra5ia")</f>
        <v>https://xhslink.com/m/9fYIk7Ra5ia</v>
      </c>
      <c r="D2934"/>
      <c r="E2934">
        <v>8966</v>
      </c>
      <c r="F2934">
        <v>540</v>
      </c>
      <c r="G2934">
        <v>439</v>
      </c>
      <c r="H2934">
        <v>100</v>
      </c>
      <c r="I2934" t="inlineStr">
        <is>
          <t>卧室好物</t>
        </is>
      </c>
      <c r="J2934" t="inlineStr">
        <is>
          <t>0.01</t>
        </is>
      </c>
      <c r="K2934"/>
      <c r="L2934" t="inlineStr">
        <is>
          <t>CeConcert音色家居的店</t>
        </is>
      </c>
      <c r="M2934">
        <v>22000</v>
      </c>
      <c r="N2934">
        <v>4.63</v>
      </c>
      <c r="O2934">
        <v>11000</v>
      </c>
      <c r="P2934" t="inlineStr">
        <is>
          <t>67e37f6195c3450001059ce6</t>
        </is>
      </c>
      <c r="Q2934"/>
      <c r="R2934" t="inlineStr">
        <is>
          <t>14周</t>
        </is>
      </c>
      <c r="S2934" t="inlineStr">
        <is>
          <t>0.41</t>
        </is>
      </c>
      <c r="T2934" t="inlineStr">
        <is>
          <t>家居生活</t>
        </is>
      </c>
      <c r="U2934" t="inlineStr">
        <is>
          <t>家具家装</t>
        </is>
      </c>
      <c r="V2934" s="3">
        <v>46112.78107638889</v>
      </c>
      <c r="W2934" t="inlineStr">
        <is>
          <t>2026-Q1</t>
        </is>
      </c>
    </row>
    <row r="2935" ht="25.5" customHeight="1">
      <c r="A2935" t="inlineStr">
        <is>
          <t>浅色牛仔裤女春季2026年新款高腰宽松显瘦刺绣小个子窄版阔腿裤子</t>
        </is>
      </c>
      <c r="B2935" t="inlineStr">
        <is>
          <t>recveKOBkWPTZG.jpg</t>
        </is>
      </c>
      <c r="C2935" s="2" t="str">
        <f>=HYPERLINK("https://xhslink.com/m/11pqz8E4sTu", "https://xhslink.com/m/11pqz8E4sTu")</f>
        <v>https://xhslink.com/m/11pqz8E4sTu</v>
      </c>
      <c r="D2935"/>
      <c r="E2935">
        <v>1975</v>
      </c>
      <c r="F2935">
        <v>89</v>
      </c>
      <c r="G2935">
        <v>79</v>
      </c>
      <c r="H2935">
        <v>100</v>
      </c>
      <c r="I2935" t="inlineStr">
        <is>
          <t>牛仔裤</t>
        </is>
      </c>
      <c r="J2935" t="inlineStr">
        <is>
          <t>0.05</t>
        </is>
      </c>
      <c r="K2935" t="inlineStr">
        <is>
          <t>🔥低粉爆款</t>
        </is>
      </c>
      <c r="L2935" t="inlineStr">
        <is>
          <t>橙c美式女装的店</t>
        </is>
      </c>
      <c r="M2935">
        <v>424</v>
      </c>
      <c r="N2935">
        <v>4.65</v>
      </c>
      <c r="O2935">
        <v>9094</v>
      </c>
      <c r="P2935" t="inlineStr">
        <is>
          <t>68296a862f339a0001cbcdc2</t>
        </is>
      </c>
      <c r="Q2935"/>
      <c r="R2935" t="inlineStr">
        <is>
          <t>14周</t>
        </is>
      </c>
      <c r="S2935" t="inlineStr">
        <is>
          <t>4.66</t>
        </is>
      </c>
      <c r="T2935" t="inlineStr">
        <is>
          <t>服饰穿搭</t>
        </is>
      </c>
      <c r="U2935" t="inlineStr">
        <is>
          <t>女装</t>
        </is>
      </c>
      <c r="V2935" s="3">
        <v>46112.78107638889</v>
      </c>
      <c r="W2935" t="inlineStr">
        <is>
          <t>2026-Q1</t>
        </is>
      </c>
    </row>
    <row r="2936" ht="25.5" customHeight="1">
      <c r="A2936" t="inlineStr">
        <is>
          <t>弹力高腰阔腿窄版直筒拖地牛仔裤女</t>
        </is>
      </c>
      <c r="B2936" t="inlineStr">
        <is>
          <t>recveKOBkW76SK.jpg</t>
        </is>
      </c>
      <c r="C2936" s="2" t="str">
        <f>=HYPERLINK("https://xhslink.com/m/6fxwbfUExsB", "https://xhslink.com/m/6fxwbfUExsB")</f>
        <v>https://xhslink.com/m/6fxwbfUExsB</v>
      </c>
      <c r="D2936"/>
      <c r="E2936">
        <v>169000</v>
      </c>
      <c r="F2936">
        <v>90</v>
      </c>
      <c r="G2936">
        <v>79</v>
      </c>
      <c r="H2936">
        <v>100</v>
      </c>
      <c r="I2936" t="inlineStr">
        <is>
          <t>牛仔裤</t>
        </is>
      </c>
      <c r="J2936" t="inlineStr">
        <is>
          <t>0.00</t>
        </is>
      </c>
      <c r="K2936" t="inlineStr">
        <is>
          <t>🔥低粉爆款</t>
        </is>
      </c>
      <c r="L2936" t="inlineStr">
        <is>
          <t>a奶爸小店的店</t>
        </is>
      </c>
      <c r="M2936">
        <v>25000</v>
      </c>
      <c r="N2936">
        <v>4.59</v>
      </c>
      <c r="O2936">
        <v>282000</v>
      </c>
      <c r="P2936" t="inlineStr">
        <is>
          <t>6364cf888d683100017bcc2e</t>
        </is>
      </c>
      <c r="Q2936" t="inlineStr">
        <is>
          <t>🚫重复</t>
        </is>
      </c>
      <c r="R2936" t="inlineStr">
        <is>
          <t>14周</t>
        </is>
      </c>
      <c r="S2936" t="inlineStr">
        <is>
          <t>6.76</t>
        </is>
      </c>
      <c r="T2936" t="inlineStr">
        <is>
          <t>服饰穿搭</t>
        </is>
      </c>
      <c r="U2936" t="inlineStr">
        <is>
          <t>女装</t>
        </is>
      </c>
      <c r="V2936" s="3">
        <v>46112.78107638889</v>
      </c>
      <c r="W2936" t="inlineStr">
        <is>
          <t>2026-Q1</t>
        </is>
      </c>
    </row>
    <row r="2937" ht="25.5" customHeight="1">
      <c r="A2937" t="inlineStr">
        <is>
          <t>时屿【海盐芝士】翻领纯色韩版女打底外穿衬衫外套休闲开衫春秋新</t>
        </is>
      </c>
      <c r="B2937" t="inlineStr">
        <is>
          <t>recveKOBkWnjmw.jpg</t>
        </is>
      </c>
      <c r="C2937" s="2" t="str">
        <f>=HYPERLINK("https://xhslink.com/m/6PYGNjOeCkd", "https://xhslink.com/m/6PYGNjOeCkd")</f>
        <v>https://xhslink.com/m/6PYGNjOeCkd</v>
      </c>
      <c r="D2937"/>
      <c r="E2937">
        <v>38000</v>
      </c>
      <c r="F2937">
        <v>99</v>
      </c>
      <c r="G2937">
        <v>89</v>
      </c>
      <c r="H2937">
        <v>100</v>
      </c>
      <c r="I2937" t="inlineStr">
        <is>
          <t>衬衫</t>
        </is>
      </c>
      <c r="J2937" t="inlineStr">
        <is>
          <t>0.00</t>
        </is>
      </c>
      <c r="K2937"/>
      <c r="L2937" t="inlineStr">
        <is>
          <t>时屿山月的店</t>
        </is>
      </c>
      <c r="M2937">
        <v>39000</v>
      </c>
      <c r="N2937">
        <v>4.64</v>
      </c>
      <c r="O2937">
        <v>181000</v>
      </c>
      <c r="P2937" t="inlineStr">
        <is>
          <t>64c1db37f95e070001681e4d</t>
        </is>
      </c>
      <c r="Q2937"/>
      <c r="R2937" t="inlineStr">
        <is>
          <t>14周</t>
        </is>
      </c>
      <c r="S2937" t="inlineStr">
        <is>
          <t>0.97</t>
        </is>
      </c>
      <c r="T2937" t="inlineStr">
        <is>
          <t>服饰穿搭</t>
        </is>
      </c>
      <c r="U2937" t="inlineStr">
        <is>
          <t>女装</t>
        </is>
      </c>
      <c r="V2937" s="3">
        <v>46112.78107638889</v>
      </c>
      <c r="W2937" t="inlineStr">
        <is>
          <t>2026-Q1</t>
        </is>
      </c>
    </row>
    <row r="2938" ht="25.5" customHeight="1">
      <c r="A2938" t="inlineStr">
        <is>
          <t>这手感真舒服啊~后背特色质感好搭简约纯色宽松翻领衬衣女士衬衫</t>
        </is>
      </c>
      <c r="B2938" t="inlineStr">
        <is>
          <t>recveKOBkWp6sk.jpg</t>
        </is>
      </c>
      <c r="C2938" s="2" t="str">
        <f>=HYPERLINK("https://xhslink.com/m/2mEfvLe1lOT", "https://xhslink.com/m/2mEfvLe1lOT")</f>
        <v>https://xhslink.com/m/2mEfvLe1lOT</v>
      </c>
      <c r="D2938"/>
      <c r="E2938">
        <v>73000</v>
      </c>
      <c r="F2938">
        <v>89</v>
      </c>
      <c r="G2938">
        <v>69</v>
      </c>
      <c r="H2938">
        <v>100</v>
      </c>
      <c r="I2938" t="inlineStr">
        <is>
          <t>衬衫</t>
        </is>
      </c>
      <c r="J2938" t="inlineStr">
        <is>
          <t>0.00</t>
        </is>
      </c>
      <c r="K2938" t="inlineStr">
        <is>
          <t>🔥低粉爆款</t>
        </is>
      </c>
      <c r="L2938" t="inlineStr">
        <is>
          <t>Esther女装穿搭的店</t>
        </is>
      </c>
      <c r="M2938">
        <v>7912</v>
      </c>
      <c r="N2938">
        <v>4.53</v>
      </c>
      <c r="O2938">
        <v>106000</v>
      </c>
      <c r="P2938" t="inlineStr">
        <is>
          <t>6528b2af1e45fb0001a85bc4</t>
        </is>
      </c>
      <c r="Q2938" t="inlineStr">
        <is>
          <t>🚫重复</t>
        </is>
      </c>
      <c r="R2938" t="inlineStr">
        <is>
          <t>14周</t>
        </is>
      </c>
      <c r="S2938" t="inlineStr">
        <is>
          <t>9.23</t>
        </is>
      </c>
      <c r="T2938" t="inlineStr">
        <is>
          <t>服饰穿搭</t>
        </is>
      </c>
      <c r="U2938" t="inlineStr">
        <is>
          <t>女装</t>
        </is>
      </c>
      <c r="V2938" s="3">
        <v>46112.78107638889</v>
      </c>
      <c r="W2938" t="inlineStr">
        <is>
          <t>2026-Q1</t>
        </is>
      </c>
    </row>
    <row r="2939" ht="25.5" customHeight="1">
      <c r="A2939" t="inlineStr">
        <is>
          <t>极简松弛大气 自由廓形感的中长款方领亚麻衬衫</t>
        </is>
      </c>
      <c r="B2939" t="inlineStr">
        <is>
          <t>recveKOBkWyrsT.jpg</t>
        </is>
      </c>
      <c r="C2939" s="2" t="str">
        <f>=HYPERLINK("https://xhslink.com/m/3zyL4PHAfcX", "https://xhslink.com/m/3zyL4PHAfcX")</f>
        <v>https://xhslink.com/m/3zyL4PHAfcX</v>
      </c>
      <c r="D2939"/>
      <c r="E2939">
        <v>11000</v>
      </c>
      <c r="F2939">
        <v>149.99</v>
      </c>
      <c r="G2939"/>
      <c r="H2939">
        <v>100</v>
      </c>
      <c r="I2939" t="inlineStr">
        <is>
          <t>衬衫</t>
        </is>
      </c>
      <c r="J2939" t="inlineStr">
        <is>
          <t>0.01</t>
        </is>
      </c>
      <c r="K2939"/>
      <c r="L2939" t="inlineStr">
        <is>
          <t>小红书范爷的店</t>
        </is>
      </c>
      <c r="M2939">
        <v>287000</v>
      </c>
      <c r="N2939">
        <v>4.56</v>
      </c>
      <c r="O2939">
        <v>3317000</v>
      </c>
      <c r="P2939" t="inlineStr">
        <is>
          <t>662797cec0669800014beccd</t>
        </is>
      </c>
      <c r="Q2939" t="inlineStr">
        <is>
          <t>🚫重复</t>
        </is>
      </c>
      <c r="R2939" t="inlineStr">
        <is>
          <t>14周</t>
        </is>
      </c>
      <c r="S2939" t="inlineStr">
        <is>
          <t>0.04</t>
        </is>
      </c>
      <c r="T2939" t="inlineStr">
        <is>
          <t>服饰穿搭</t>
        </is>
      </c>
      <c r="U2939" t="inlineStr">
        <is>
          <t>女装</t>
        </is>
      </c>
      <c r="V2939" s="3">
        <v>46112.78107638889</v>
      </c>
      <c r="W2939" t="inlineStr">
        <is>
          <t>2026-Q1</t>
        </is>
      </c>
    </row>
    <row r="2940" ht="25.5" customHeight="1">
      <c r="A2940" t="inlineStr">
        <is>
          <t>条纹衬衫男女春秋新款慵懒风条纹衬衫简约宽松百搭情侣外套</t>
        </is>
      </c>
      <c r="B2940" t="inlineStr">
        <is>
          <t>recveKOBkWPNwK.jpg</t>
        </is>
      </c>
      <c r="C2940" s="2" t="str">
        <f>=HYPERLINK("https://xhslink.com/m/8KvOd5j3JQs", "https://xhslink.com/m/8KvOd5j3JQs")</f>
        <v>https://xhslink.com/m/8KvOd5j3JQs</v>
      </c>
      <c r="D2940"/>
      <c r="E2940">
        <v>5948</v>
      </c>
      <c r="F2940">
        <v>79</v>
      </c>
      <c r="G2940"/>
      <c r="H2940">
        <v>100</v>
      </c>
      <c r="I2940" t="inlineStr">
        <is>
          <t>衬衫</t>
        </is>
      </c>
      <c r="J2940" t="inlineStr">
        <is>
          <t>0.02</t>
        </is>
      </c>
      <c r="K2940"/>
      <c r="L2940" t="inlineStr">
        <is>
          <t>一只爆炸闫的店</t>
        </is>
      </c>
      <c r="M2940">
        <v>96000</v>
      </c>
      <c r="N2940">
        <v>4.39</v>
      </c>
      <c r="O2940">
        <v>608000</v>
      </c>
      <c r="P2940" t="inlineStr">
        <is>
          <t>68ca3078e2e2b90016192aee</t>
        </is>
      </c>
      <c r="Q2940" t="inlineStr">
        <is>
          <t>🚫重复</t>
        </is>
      </c>
      <c r="R2940" t="inlineStr">
        <is>
          <t>14周</t>
        </is>
      </c>
      <c r="S2940" t="inlineStr">
        <is>
          <t>0.06</t>
        </is>
      </c>
      <c r="T2940" t="inlineStr">
        <is>
          <t>服饰穿搭</t>
        </is>
      </c>
      <c r="U2940" t="inlineStr">
        <is>
          <t>女装</t>
        </is>
      </c>
      <c r="V2940" s="3">
        <v>46112.78107638889</v>
      </c>
      <c r="W2940" t="inlineStr">
        <is>
          <t>2026-Q1</t>
        </is>
      </c>
    </row>
    <row r="2941" ht="25.5" customHeight="1">
      <c r="A2941" t="inlineStr">
        <is>
          <t>纯色简约翻领衬衫女秋季2025新款休闲大口袋垂感长袖上衣</t>
        </is>
      </c>
      <c r="B2941" t="inlineStr">
        <is>
          <t>recveKOBkWHrBy.jpg</t>
        </is>
      </c>
      <c r="C2941" s="2" t="str">
        <f>=HYPERLINK("https://xhslink.com/m/2ZDZBWHrumN", "https://xhslink.com/m/2ZDZBWHrumN")</f>
        <v>https://xhslink.com/m/2ZDZBWHrumN</v>
      </c>
      <c r="D2941"/>
      <c r="E2941">
        <v>2664</v>
      </c>
      <c r="F2941">
        <v>89</v>
      </c>
      <c r="G2941">
        <v>84</v>
      </c>
      <c r="H2941">
        <v>100</v>
      </c>
      <c r="I2941" t="inlineStr">
        <is>
          <t>衬衫</t>
        </is>
      </c>
      <c r="J2941" t="inlineStr">
        <is>
          <t>0.04</t>
        </is>
      </c>
      <c r="K2941"/>
      <c r="L2941" t="inlineStr">
        <is>
          <t>莯莯不想上班的店</t>
        </is>
      </c>
      <c r="M2941">
        <v>14000</v>
      </c>
      <c r="N2941">
        <v>4.44</v>
      </c>
      <c r="O2941">
        <v>74000</v>
      </c>
      <c r="P2941" t="inlineStr">
        <is>
          <t>67e24b6879c93d000186fb16</t>
        </is>
      </c>
      <c r="Q2941" t="inlineStr">
        <is>
          <t>🚫重复</t>
        </is>
      </c>
      <c r="R2941" t="inlineStr">
        <is>
          <t>14周</t>
        </is>
      </c>
      <c r="S2941" t="inlineStr">
        <is>
          <t>0.19</t>
        </is>
      </c>
      <c r="T2941" t="inlineStr">
        <is>
          <t>服饰穿搭</t>
        </is>
      </c>
      <c r="U2941" t="inlineStr">
        <is>
          <t>女装</t>
        </is>
      </c>
      <c r="V2941" s="3">
        <v>46112.78107638889</v>
      </c>
      <c r="W2941" t="inlineStr">
        <is>
          <t>2026-Q1</t>
        </is>
      </c>
    </row>
    <row r="2942" ht="25.5" customHeight="1">
      <c r="A2942" t="inlineStr">
        <is>
          <t>【林不肉】 设计感撞色条纹长袖衬衫秋季小众休闲宽松POLO领上衣</t>
        </is>
      </c>
      <c r="B2942" t="inlineStr">
        <is>
          <t>recveKOBkW2Xgs.jpg</t>
        </is>
      </c>
      <c r="C2942" s="2" t="str">
        <f>=HYPERLINK("https://xhslink.com/m/5Bu5zRnkvZ7", "https://xhslink.com/m/5Bu5zRnkvZ7")</f>
        <v>https://xhslink.com/m/5Bu5zRnkvZ7</v>
      </c>
      <c r="D2942"/>
      <c r="E2942">
        <v>3880</v>
      </c>
      <c r="F2942">
        <v>128</v>
      </c>
      <c r="G2942">
        <v>105</v>
      </c>
      <c r="H2942">
        <v>100</v>
      </c>
      <c r="I2942" t="inlineStr">
        <is>
          <t>衬衫</t>
        </is>
      </c>
      <c r="J2942" t="inlineStr">
        <is>
          <t>0.03</t>
        </is>
      </c>
      <c r="K2942"/>
      <c r="L2942" t="inlineStr">
        <is>
          <t>林不肉的店</t>
        </is>
      </c>
      <c r="M2942">
        <v>26000</v>
      </c>
      <c r="N2942">
        <v>4.48</v>
      </c>
      <c r="O2942">
        <v>103000</v>
      </c>
      <c r="P2942" t="inlineStr">
        <is>
          <t>6889f9af186d100015196894</t>
        </is>
      </c>
      <c r="Q2942"/>
      <c r="R2942" t="inlineStr">
        <is>
          <t>14周</t>
        </is>
      </c>
      <c r="S2942" t="inlineStr">
        <is>
          <t>0.15</t>
        </is>
      </c>
      <c r="T2942" t="inlineStr">
        <is>
          <t>服饰穿搭</t>
        </is>
      </c>
      <c r="U2942" t="inlineStr">
        <is>
          <t>女装</t>
        </is>
      </c>
      <c r="V2942" s="3">
        <v>46112.78107638889</v>
      </c>
      <c r="W2942" t="inlineStr">
        <is>
          <t>2026-Q1</t>
        </is>
      </c>
    </row>
    <row r="2943" ht="25.5" customHeight="1">
      <c r="A2943" t="inlineStr">
        <is>
          <t>【朴大艺】微风素棉 早秋~韩版极简轻质风长袖衬衫内搭外穿25812</t>
        </is>
      </c>
      <c r="B2943" t="inlineStr">
        <is>
          <t>recveKOBkWwpiH.jpg</t>
        </is>
      </c>
      <c r="C2943" s="2" t="str">
        <f>=HYPERLINK("https://xhslink.com/m/8HFBIVVvAOO", "https://xhslink.com/m/8HFBIVVvAOO")</f>
        <v>https://xhslink.com/m/8HFBIVVvAOO</v>
      </c>
      <c r="D2943"/>
      <c r="E2943">
        <v>2820</v>
      </c>
      <c r="F2943">
        <v>129</v>
      </c>
      <c r="G2943"/>
      <c r="H2943">
        <v>100</v>
      </c>
      <c r="I2943" t="inlineStr">
        <is>
          <t>衬衫</t>
        </is>
      </c>
      <c r="J2943" t="inlineStr">
        <is>
          <t>0.04</t>
        </is>
      </c>
      <c r="K2943"/>
      <c r="L2943" t="inlineStr">
        <is>
          <t>朴大艺是150呀的店</t>
        </is>
      </c>
      <c r="M2943">
        <v>94000</v>
      </c>
      <c r="N2943">
        <v>4.71</v>
      </c>
      <c r="O2943">
        <v>298000</v>
      </c>
      <c r="P2943" t="inlineStr">
        <is>
          <t>6896c7346d605400014398ca</t>
        </is>
      </c>
      <c r="Q2943" t="inlineStr">
        <is>
          <t>🚫重复</t>
        </is>
      </c>
      <c r="R2943" t="inlineStr">
        <is>
          <t>14周</t>
        </is>
      </c>
      <c r="S2943" t="inlineStr">
        <is>
          <t>0.03</t>
        </is>
      </c>
      <c r="T2943" t="inlineStr">
        <is>
          <t>服饰穿搭</t>
        </is>
      </c>
      <c r="U2943" t="inlineStr">
        <is>
          <t>女装</t>
        </is>
      </c>
      <c r="V2943" s="3">
        <v>46112.78107638889</v>
      </c>
      <c r="W2943" t="inlineStr">
        <is>
          <t>2026-Q1</t>
        </is>
      </c>
    </row>
    <row r="2944" ht="25.5" customHeight="1">
      <c r="A2944" t="inlineStr">
        <is>
          <t>高级松弛感春夏翻领薄款莱赛尔混纺衬衫 25捡漏！衬衫</t>
        </is>
      </c>
      <c r="B2944" t="inlineStr">
        <is>
          <t>recveKOBkWyxko.jpg</t>
        </is>
      </c>
      <c r="C2944" s="2" t="str">
        <f>=HYPERLINK("https://xhslink.com/m/2DVeZ0ECC9G", "https://xhslink.com/m/2DVeZ0ECC9G")</f>
        <v>https://xhslink.com/m/2DVeZ0ECC9G</v>
      </c>
      <c r="D2944"/>
      <c r="E2944">
        <v>2668</v>
      </c>
      <c r="F2944">
        <v>25</v>
      </c>
      <c r="G2944"/>
      <c r="H2944">
        <v>100</v>
      </c>
      <c r="I2944" t="inlineStr">
        <is>
          <t>衬衫</t>
        </is>
      </c>
      <c r="J2944" t="inlineStr">
        <is>
          <t>0.04</t>
        </is>
      </c>
      <c r="K2944"/>
      <c r="L2944" t="inlineStr">
        <is>
          <t>暖织屋的店</t>
        </is>
      </c>
      <c r="M2944">
        <v>87000</v>
      </c>
      <c r="N2944">
        <v>4.53</v>
      </c>
      <c r="O2944">
        <v>619000</v>
      </c>
      <c r="P2944" t="inlineStr">
        <is>
          <t>699fa48019f8df00154290c4</t>
        </is>
      </c>
      <c r="Q2944" t="inlineStr">
        <is>
          <t>🚫重复</t>
        </is>
      </c>
      <c r="R2944" t="inlineStr">
        <is>
          <t>14周</t>
        </is>
      </c>
      <c r="S2944" t="inlineStr">
        <is>
          <t>0.03</t>
        </is>
      </c>
      <c r="T2944" t="inlineStr">
        <is>
          <t>服饰穿搭</t>
        </is>
      </c>
      <c r="U2944" t="inlineStr">
        <is>
          <t>女装</t>
        </is>
      </c>
      <c r="V2944" s="3">
        <v>46112.78107638889</v>
      </c>
      <c r="W2944" t="inlineStr">
        <is>
          <t>2026-Q1</t>
        </is>
      </c>
    </row>
    <row r="2945" ht="25.5" customHeight="1">
      <c r="A2945" t="inlineStr">
        <is>
          <t>卡通芭蕾茉莉蝴蝶结挂件钥匙扣包包配饰创意可爱装饰品</t>
        </is>
      </c>
      <c r="B2945" t="inlineStr">
        <is>
          <t>recveKOBkWAp4o.jpg</t>
        </is>
      </c>
      <c r="C2945" s="2" t="str">
        <f>=HYPERLINK("https://xhslink.com/m/7msFxgJnig", "https://xhslink.com/m/7msFxgJnig")</f>
        <v>https://xhslink.com/m/7msFxgJnig</v>
      </c>
      <c r="D2945"/>
      <c r="E2945">
        <v>3678</v>
      </c>
      <c r="F2945">
        <v>30.9</v>
      </c>
      <c r="G2945">
        <v>10.9</v>
      </c>
      <c r="H2945">
        <v>100</v>
      </c>
      <c r="I2945" t="inlineStr">
        <is>
          <t>饰品</t>
        </is>
      </c>
      <c r="J2945" t="inlineStr">
        <is>
          <t>0.03</t>
        </is>
      </c>
      <c r="K2945" t="inlineStr">
        <is>
          <t>🔥低粉爆款</t>
        </is>
      </c>
      <c r="L2945" t="inlineStr">
        <is>
          <t>BURGER STUDIO的店</t>
        </is>
      </c>
      <c r="M2945">
        <v>1042</v>
      </c>
      <c r="N2945">
        <v>4.15</v>
      </c>
      <c r="O2945">
        <v>7135</v>
      </c>
      <c r="P2945" t="inlineStr">
        <is>
          <t>69537bba23d3ce00011f8b63</t>
        </is>
      </c>
      <c r="Q2945"/>
      <c r="R2945" t="inlineStr">
        <is>
          <t>14周</t>
        </is>
      </c>
      <c r="S2945" t="inlineStr">
        <is>
          <t>3.53</t>
        </is>
      </c>
      <c r="T2945" t="inlineStr">
        <is>
          <t>服饰穿搭</t>
        </is>
      </c>
      <c r="U2945" t="inlineStr">
        <is>
          <t>鞋靴箱包</t>
        </is>
      </c>
      <c r="V2945" s="3">
        <v>46112.78107638889</v>
      </c>
      <c r="W2945" t="inlineStr">
        <is>
          <t>2026-Q1</t>
        </is>
      </c>
    </row>
    <row r="2946" ht="25.5" customHeight="1">
      <c r="A2946" t="inlineStr">
        <is>
          <t>「侯麦衣橱」像仲夏日落时分的苎麻橘粉衬衫</t>
        </is>
      </c>
      <c r="B2946" t="inlineStr">
        <is>
          <t>recveKOBkWm1Jn.jpg</t>
        </is>
      </c>
      <c r="C2946" s="2" t="str">
        <f>=HYPERLINK("https://xhslink.com/m/4F7hdq6LVzo", "https://xhslink.com/m/4F7hdq6LVzo")</f>
        <v>https://xhslink.com/m/4F7hdq6LVzo</v>
      </c>
      <c r="D2946"/>
      <c r="E2946">
        <v>1355</v>
      </c>
      <c r="F2946">
        <v>269</v>
      </c>
      <c r="G2946"/>
      <c r="H2946">
        <v>100</v>
      </c>
      <c r="I2946" t="inlineStr">
        <is>
          <t>衬衫</t>
        </is>
      </c>
      <c r="J2946" t="inlineStr">
        <is>
          <t>0.07</t>
        </is>
      </c>
      <c r="K2946"/>
      <c r="L2946" t="inlineStr">
        <is>
          <t>La Collector女收藏家的店</t>
        </is>
      </c>
      <c r="M2946">
        <v>11000</v>
      </c>
      <c r="N2946">
        <v>4.72</v>
      </c>
      <c r="O2946">
        <v>9652</v>
      </c>
      <c r="P2946" t="inlineStr">
        <is>
          <t>68244d68529cff00015c69af</t>
        </is>
      </c>
      <c r="Q2946"/>
      <c r="R2946" t="inlineStr">
        <is>
          <t>14周</t>
        </is>
      </c>
      <c r="S2946" t="inlineStr">
        <is>
          <t>0.12</t>
        </is>
      </c>
      <c r="T2946" t="inlineStr">
        <is>
          <t>服饰穿搭</t>
        </is>
      </c>
      <c r="U2946" t="inlineStr">
        <is>
          <t>女装</t>
        </is>
      </c>
      <c r="V2946" s="3">
        <v>46112.78107638889</v>
      </c>
      <c r="W2946" t="inlineStr">
        <is>
          <t>2026-Q1</t>
        </is>
      </c>
    </row>
    <row r="2947" ht="25.5" customHeight="1">
      <c r="A2947" t="inlineStr">
        <is>
          <t>纯棉美式基础百搭短袖T恤女夏季百搭圆领宽松显瘦上衣正肩打底衫</t>
        </is>
      </c>
      <c r="B2947" t="inlineStr">
        <is>
          <t>recveKOBkWZ5m4.jpg</t>
        </is>
      </c>
      <c r="C2947" s="2" t="str">
        <f>=HYPERLINK("https://xhslink.com/m/8AYMizspDxT", "https://xhslink.com/m/8AYMizspDxT")</f>
        <v>https://xhslink.com/m/8AYMizspDxT</v>
      </c>
      <c r="D2947"/>
      <c r="E2947">
        <v>579</v>
      </c>
      <c r="F2947">
        <v>49.9</v>
      </c>
      <c r="G2947"/>
      <c r="H2947">
        <v>100</v>
      </c>
      <c r="I2947" t="inlineStr">
        <is>
          <t>T恤</t>
        </is>
      </c>
      <c r="J2947" t="inlineStr">
        <is>
          <t>0.17</t>
        </is>
      </c>
      <c r="K2947"/>
      <c r="L2947" t="inlineStr">
        <is>
          <t>秋秋OOTD的店</t>
        </is>
      </c>
      <c r="M2947">
        <v>16000</v>
      </c>
      <c r="N2947">
        <v>4.64</v>
      </c>
      <c r="O2947">
        <v>31000</v>
      </c>
      <c r="P2947" t="inlineStr">
        <is>
          <t>69b2cbc9fbb3a4000188b370</t>
        </is>
      </c>
      <c r="Q2947"/>
      <c r="R2947" t="inlineStr">
        <is>
          <t>14周</t>
        </is>
      </c>
      <c r="S2947" t="inlineStr">
        <is>
          <t>0.04</t>
        </is>
      </c>
      <c r="T2947" t="inlineStr">
        <is>
          <t>服饰穿搭</t>
        </is>
      </c>
      <c r="U2947" t="inlineStr">
        <is>
          <t>女装</t>
        </is>
      </c>
      <c r="V2947" s="3">
        <v>46112.78107638889</v>
      </c>
      <c r="W2947" t="inlineStr">
        <is>
          <t>2026-Q1</t>
        </is>
      </c>
    </row>
    <row r="2948" ht="25.5" customHeight="1">
      <c r="A2948" t="inlineStr">
        <is>
          <t>ICH MODE · 美式复古花卉刺绣短袖T恤女夏季新款小高领半袖修身上衣</t>
        </is>
      </c>
      <c r="B2948" t="inlineStr">
        <is>
          <t>recveKOBkWh0j6.jpg</t>
        </is>
      </c>
      <c r="C2948" s="2" t="str">
        <f>=HYPERLINK("https://xhslink.com/m/1ZMnSxacCKq", "https://xhslink.com/m/1ZMnSxacCKq")</f>
        <v>https://xhslink.com/m/1ZMnSxacCKq</v>
      </c>
      <c r="D2948"/>
      <c r="E2948">
        <v>429</v>
      </c>
      <c r="F2948">
        <v>139</v>
      </c>
      <c r="G2948">
        <v>76.3</v>
      </c>
      <c r="H2948">
        <v>100</v>
      </c>
      <c r="I2948" t="inlineStr">
        <is>
          <t>T恤</t>
        </is>
      </c>
      <c r="J2948" t="inlineStr">
        <is>
          <t>0.23</t>
        </is>
      </c>
      <c r="K2948"/>
      <c r="L2948" t="inlineStr">
        <is>
          <t>ICH MODE旗舰店</t>
        </is>
      </c>
      <c r="M2948">
        <v>47000</v>
      </c>
      <c r="N2948">
        <v>4.68</v>
      </c>
      <c r="O2948">
        <v>127000</v>
      </c>
      <c r="P2948" t="inlineStr">
        <is>
          <t>6822bf4e2f871600150c9a19</t>
        </is>
      </c>
      <c r="Q2948"/>
      <c r="R2948" t="inlineStr">
        <is>
          <t>14周</t>
        </is>
      </c>
      <c r="S2948" t="inlineStr">
        <is>
          <t>0.01</t>
        </is>
      </c>
      <c r="T2948" t="inlineStr">
        <is>
          <t>服饰穿搭</t>
        </is>
      </c>
      <c r="U2948" t="inlineStr">
        <is>
          <t>女装</t>
        </is>
      </c>
      <c r="V2948" s="3">
        <v>46112.78107638889</v>
      </c>
      <c r="W2948" t="inlineStr">
        <is>
          <t>2026-Q1</t>
        </is>
      </c>
    </row>
    <row r="2949" ht="25.5" customHeight="1">
      <c r="A2949" t="inlineStr">
        <is>
          <t>韩系布艺款清新薄荷绿色波点掰掰夹头饰发饰女前额侧边夹福利款</t>
        </is>
      </c>
      <c r="B2949" t="inlineStr">
        <is>
          <t>recveKOBkWIF7t.jpg</t>
        </is>
      </c>
      <c r="C2949" s="2" t="str">
        <f>=HYPERLINK("https://xhslink.com/m/1TG4tyzh1ML", "https://xhslink.com/m/1TG4tyzh1ML")</f>
        <v>https://xhslink.com/m/1TG4tyzh1ML</v>
      </c>
      <c r="D2949"/>
      <c r="E2949">
        <v>570</v>
      </c>
      <c r="F2949">
        <v>8.9</v>
      </c>
      <c r="G2949"/>
      <c r="H2949">
        <v>100</v>
      </c>
      <c r="I2949" t="inlineStr">
        <is>
          <t>发夹</t>
        </is>
      </c>
      <c r="J2949" t="inlineStr">
        <is>
          <t>0.18</t>
        </is>
      </c>
      <c r="K2949"/>
      <c r="L2949" t="inlineStr">
        <is>
          <t>十一_Eleven的店</t>
        </is>
      </c>
      <c r="M2949">
        <v>46000</v>
      </c>
      <c r="N2949">
        <v>4.29</v>
      </c>
      <c r="O2949">
        <v>418000</v>
      </c>
      <c r="P2949" t="inlineStr">
        <is>
          <t>69ae75e907adea0001bc80f7</t>
        </is>
      </c>
      <c r="Q2949" t="inlineStr">
        <is>
          <t>🚫重复</t>
        </is>
      </c>
      <c r="R2949" t="inlineStr">
        <is>
          <t>14周</t>
        </is>
      </c>
      <c r="S2949" t="inlineStr">
        <is>
          <t>0.01</t>
        </is>
      </c>
      <c r="T2949" t="inlineStr">
        <is>
          <t>服饰穿搭</t>
        </is>
      </c>
      <c r="U2949" t="inlineStr">
        <is>
          <t>配饰</t>
        </is>
      </c>
      <c r="V2949" s="3">
        <v>46112.78107638889</v>
      </c>
      <c r="W2949" t="inlineStr">
        <is>
          <t>2026-Q1</t>
        </is>
      </c>
    </row>
    <row r="2950" ht="25.5" customHeight="1">
      <c r="A2950" t="inlineStr">
        <is>
          <t>多巴胺色系平底德训鞋女双鞋带休闲鞋女式运动鞋</t>
        </is>
      </c>
      <c r="B2950" t="inlineStr">
        <is>
          <t>recveKOBkWNrom.jpg</t>
        </is>
      </c>
      <c r="C2950" s="2" t="str">
        <f>=HYPERLINK("https://xhslink.com/m/2uTy2utFbhY", "https://xhslink.com/m/2uTy2utFbhY")</f>
        <v>https://xhslink.com/m/2uTy2utFbhY</v>
      </c>
      <c r="D2950"/>
      <c r="E2950">
        <v>4057</v>
      </c>
      <c r="F2950">
        <v>59.9</v>
      </c>
      <c r="G2950">
        <v>39.9</v>
      </c>
      <c r="H2950">
        <v>100</v>
      </c>
      <c r="I2950" t="inlineStr">
        <is>
          <t>鞋靴</t>
        </is>
      </c>
      <c r="J2950" t="inlineStr">
        <is>
          <t>0.02</t>
        </is>
      </c>
      <c r="K2950" t="inlineStr">
        <is>
          <t>🔥低粉爆款</t>
        </is>
      </c>
      <c r="L2950" t="inlineStr">
        <is>
          <t>小美の鞋社🌟的店</t>
        </is>
      </c>
      <c r="M2950">
        <v>1341</v>
      </c>
      <c r="N2950">
        <v>3.78</v>
      </c>
      <c r="O2950">
        <v>9393</v>
      </c>
      <c r="P2950" t="inlineStr">
        <is>
          <t>68a7ed33670dcf0015a94702</t>
        </is>
      </c>
      <c r="Q2950" t="inlineStr">
        <is>
          <t>🚫重复</t>
        </is>
      </c>
      <c r="R2950" t="inlineStr">
        <is>
          <t>14周</t>
        </is>
      </c>
      <c r="S2950" t="inlineStr">
        <is>
          <t>3.03</t>
        </is>
      </c>
      <c r="T2950" t="inlineStr">
        <is>
          <t>服饰穿搭</t>
        </is>
      </c>
      <c r="U2950" t="inlineStr">
        <is>
          <t>鞋靴箱包</t>
        </is>
      </c>
      <c r="V2950" s="3">
        <v>46112.78107638889</v>
      </c>
      <c r="W2950" t="inlineStr">
        <is>
          <t>2026-Q1</t>
        </is>
      </c>
    </row>
    <row r="2951" ht="25.5" customHeight="1">
      <c r="A2951" t="inlineStr">
        <is>
          <t>狗仔仔·8cm增高内增高帆布女休闲板鞋透气厚底小白鞋</t>
        </is>
      </c>
      <c r="B2951" t="inlineStr">
        <is>
          <t>recveKOBkWt7va.jpg</t>
        </is>
      </c>
      <c r="C2951" s="2" t="str">
        <f>=HYPERLINK("https://xhslink.com/m/4EWf44A1TxB", "https://xhslink.com/m/4EWf44A1TxB")</f>
        <v>https://xhslink.com/m/4EWf44A1TxB</v>
      </c>
      <c r="D2951"/>
      <c r="E2951">
        <v>12000</v>
      </c>
      <c r="F2951">
        <v>335</v>
      </c>
      <c r="G2951">
        <v>188</v>
      </c>
      <c r="H2951">
        <v>100</v>
      </c>
      <c r="I2951" t="inlineStr">
        <is>
          <t>鞋靴</t>
        </is>
      </c>
      <c r="J2951" t="inlineStr">
        <is>
          <t>0.01</t>
        </is>
      </c>
      <c r="K2951"/>
      <c r="L2951" t="inlineStr">
        <is>
          <t>狗仔仔家的小个子女鞋的店</t>
        </is>
      </c>
      <c r="M2951">
        <v>5774</v>
      </c>
      <c r="N2951">
        <v>4.7</v>
      </c>
      <c r="O2951">
        <v>31000</v>
      </c>
      <c r="P2951" t="inlineStr">
        <is>
          <t>6806213f382e170001089223</t>
        </is>
      </c>
      <c r="Q2951"/>
      <c r="R2951" t="inlineStr">
        <is>
          <t>14周</t>
        </is>
      </c>
      <c r="S2951" t="inlineStr">
        <is>
          <t>2.08</t>
        </is>
      </c>
      <c r="T2951" t="inlineStr">
        <is>
          <t>服饰穿搭</t>
        </is>
      </c>
      <c r="U2951" t="inlineStr">
        <is>
          <t>鞋靴箱包</t>
        </is>
      </c>
      <c r="V2951" s="3">
        <v>46112.78107638889</v>
      </c>
      <c r="W2951" t="inlineStr">
        <is>
          <t>2026-Q1</t>
        </is>
      </c>
    </row>
    <row r="2952" ht="25.5" customHeight="1">
      <c r="A2952" t="inlineStr">
        <is>
          <t>韩版秋超火贝壳头厚底运动休闲潮流百搭鞋丑萌大头面包鞋板鞋女鞋</t>
        </is>
      </c>
      <c r="B2952" t="inlineStr">
        <is>
          <t>recveKOBkWQ4go.jpg</t>
        </is>
      </c>
      <c r="C2952" s="2" t="str">
        <f>=HYPERLINK("https://xhslink.com/m/5bwmssD6IPe", "https://xhslink.com/m/5bwmssD6IPe")</f>
        <v>https://xhslink.com/m/5bwmssD6IPe</v>
      </c>
      <c r="D2952"/>
      <c r="E2952">
        <v>12000</v>
      </c>
      <c r="F2952">
        <v>60.9</v>
      </c>
      <c r="G2952"/>
      <c r="H2952">
        <v>100</v>
      </c>
      <c r="I2952" t="inlineStr">
        <is>
          <t>鞋靴</t>
        </is>
      </c>
      <c r="J2952" t="inlineStr">
        <is>
          <t>0.01</t>
        </is>
      </c>
      <c r="K2952"/>
      <c r="L2952" t="inlineStr">
        <is>
          <t>松荟鱼酱鞋屋的店</t>
        </is>
      </c>
      <c r="M2952">
        <v>4933</v>
      </c>
      <c r="N2952">
        <v>4.3</v>
      </c>
      <c r="O2952">
        <v>69000</v>
      </c>
      <c r="P2952" t="inlineStr">
        <is>
          <t>67e14b4e98b4be000160e3ef</t>
        </is>
      </c>
      <c r="Q2952" t="inlineStr">
        <is>
          <t>🚫重复</t>
        </is>
      </c>
      <c r="R2952" t="inlineStr">
        <is>
          <t>14周</t>
        </is>
      </c>
      <c r="S2952" t="inlineStr">
        <is>
          <t>2.43</t>
        </is>
      </c>
      <c r="T2952" t="inlineStr">
        <is>
          <t>服饰穿搭</t>
        </is>
      </c>
      <c r="U2952" t="inlineStr">
        <is>
          <t>鞋靴箱包</t>
        </is>
      </c>
      <c r="V2952" s="3">
        <v>46112.78107638889</v>
      </c>
      <c r="W2952" t="inlineStr">
        <is>
          <t>2026-Q1</t>
        </is>
      </c>
    </row>
    <row r="2953" ht="25.5" customHeight="1">
      <c r="A2953" t="inlineStr">
        <is>
          <t>法式银色玛丽珍单鞋女2026春季新款百搭浅口配裙子小皮鞋女平底鞋</t>
        </is>
      </c>
      <c r="B2953" t="inlineStr">
        <is>
          <t>recveKOBkWw9bE.jpg</t>
        </is>
      </c>
      <c r="C2953" s="2" t="str">
        <f>=HYPERLINK("https://xhslink.com/m/8rmsEz75nGq", "https://xhslink.com/m/8rmsEz75nGq")</f>
        <v>https://xhslink.com/m/8rmsEz75nGq</v>
      </c>
      <c r="D2953"/>
      <c r="E2953">
        <v>4222</v>
      </c>
      <c r="F2953">
        <v>58.8</v>
      </c>
      <c r="G2953"/>
      <c r="H2953">
        <v>100</v>
      </c>
      <c r="I2953" t="inlineStr">
        <is>
          <t>鞋靴</t>
        </is>
      </c>
      <c r="J2953" t="inlineStr">
        <is>
          <t>0.02</t>
        </is>
      </c>
      <c r="K2953"/>
      <c r="L2953" t="inlineStr">
        <is>
          <t>肥麦麦的店</t>
        </is>
      </c>
      <c r="M2953">
        <v>18000</v>
      </c>
      <c r="N2953">
        <v>4.59</v>
      </c>
      <c r="O2953">
        <v>310000</v>
      </c>
      <c r="P2953" t="inlineStr">
        <is>
          <t>6832e2350bed5600011ee24d</t>
        </is>
      </c>
      <c r="Q2953" t="inlineStr">
        <is>
          <t>🚫重复</t>
        </is>
      </c>
      <c r="R2953" t="inlineStr">
        <is>
          <t>14周</t>
        </is>
      </c>
      <c r="S2953" t="inlineStr">
        <is>
          <t>0.23</t>
        </is>
      </c>
      <c r="T2953" t="inlineStr">
        <is>
          <t>服饰穿搭</t>
        </is>
      </c>
      <c r="U2953" t="inlineStr">
        <is>
          <t>鞋靴箱包</t>
        </is>
      </c>
      <c r="V2953" s="3">
        <v>46112.78107638889</v>
      </c>
      <c r="W2953" t="inlineStr">
        <is>
          <t>2026-Q1</t>
        </is>
      </c>
    </row>
    <row r="2954" ht="25.5" customHeight="1">
      <c r="A2954" t="inlineStr">
        <is>
          <t>羊皮版～复古方头金币链玛丽珍鞋女2026年春秋气质百搭粗低跟单鞋</t>
        </is>
      </c>
      <c r="B2954" t="inlineStr">
        <is>
          <t>recveKOBkWuybn.jpg</t>
        </is>
      </c>
      <c r="C2954" s="2" t="str">
        <f>=HYPERLINK("https://xhslink.com/m/5iSZ31KNW3A", "https://xhslink.com/m/5iSZ31KNW3A")</f>
        <v>https://xhslink.com/m/5iSZ31KNW3A</v>
      </c>
      <c r="D2954"/>
      <c r="E2954">
        <v>1825</v>
      </c>
      <c r="F2954">
        <v>238</v>
      </c>
      <c r="G2954">
        <v>158</v>
      </c>
      <c r="H2954">
        <v>100</v>
      </c>
      <c r="I2954" t="inlineStr">
        <is>
          <t>鞋靴</t>
        </is>
      </c>
      <c r="J2954" t="inlineStr">
        <is>
          <t>0.05</t>
        </is>
      </c>
      <c r="K2954"/>
      <c r="L2954" t="inlineStr">
        <is>
          <t>虫子的鞋的店</t>
        </is>
      </c>
      <c r="M2954">
        <v>730</v>
      </c>
      <c r="N2954">
        <v>4.62</v>
      </c>
      <c r="O2954">
        <v>4836</v>
      </c>
      <c r="P2954" t="inlineStr">
        <is>
          <t>68e5f808ed3b2f0001175061</t>
        </is>
      </c>
      <c r="Q2954"/>
      <c r="R2954" t="inlineStr">
        <is>
          <t>14周</t>
        </is>
      </c>
      <c r="S2954" t="inlineStr">
        <is>
          <t>2.50</t>
        </is>
      </c>
      <c r="T2954" t="inlineStr">
        <is>
          <t>服饰穿搭</t>
        </is>
      </c>
      <c r="U2954" t="inlineStr">
        <is>
          <t>鞋靴箱包</t>
        </is>
      </c>
      <c r="V2954" s="3">
        <v>46112.78107638889</v>
      </c>
      <c r="W2954" t="inlineStr">
        <is>
          <t>2026-Q1</t>
        </is>
      </c>
    </row>
    <row r="2955" ht="25.5" customHeight="1">
      <c r="A2955" t="inlineStr">
        <is>
          <t>褶皱堆堆靴女2025春款流行超火洋气小短靴西部裤管靴机车马丁靴子</t>
        </is>
      </c>
      <c r="B2955" t="inlineStr">
        <is>
          <t>recveKOBkWMls3.jpg</t>
        </is>
      </c>
      <c r="C2955" s="2" t="str">
        <f>=HYPERLINK("https://xhslink.com/m/70qosrEJGOK", "https://xhslink.com/m/70qosrEJGOK")</f>
        <v>https://xhslink.com/m/70qosrEJGOK</v>
      </c>
      <c r="D2955"/>
      <c r="E2955">
        <v>10000</v>
      </c>
      <c r="F2955">
        <v>119.9</v>
      </c>
      <c r="G2955">
        <v>99.9</v>
      </c>
      <c r="H2955">
        <v>100</v>
      </c>
      <c r="I2955" t="inlineStr">
        <is>
          <t>鞋靴</t>
        </is>
      </c>
      <c r="J2955" t="inlineStr">
        <is>
          <t>0.01</t>
        </is>
      </c>
      <c r="K2955"/>
      <c r="L2955" t="inlineStr">
        <is>
          <t>穗穗工作室的店</t>
        </is>
      </c>
      <c r="M2955">
        <v>30000</v>
      </c>
      <c r="N2955">
        <v>4.4</v>
      </c>
      <c r="O2955">
        <v>239000</v>
      </c>
      <c r="P2955" t="inlineStr">
        <is>
          <t>68b58fdb3f784100010c3d4b</t>
        </is>
      </c>
      <c r="Q2955" t="inlineStr">
        <is>
          <t>🚫重复</t>
        </is>
      </c>
      <c r="R2955" t="inlineStr">
        <is>
          <t>14周</t>
        </is>
      </c>
      <c r="S2955" t="inlineStr">
        <is>
          <t>0.33</t>
        </is>
      </c>
      <c r="T2955" t="inlineStr">
        <is>
          <t>服饰穿搭</t>
        </is>
      </c>
      <c r="U2955" t="inlineStr">
        <is>
          <t>鞋靴箱包</t>
        </is>
      </c>
      <c r="V2955" s="3">
        <v>46112.78107638889</v>
      </c>
      <c r="W2955" t="inlineStr">
        <is>
          <t>2026-Q1</t>
        </is>
      </c>
    </row>
    <row r="2956" ht="25.5" customHeight="1">
      <c r="A2956" t="inlineStr">
        <is>
          <t>70/2026早春新款德训鞋女厚底内增高休闲鞋软底久站不累脚运动鞋</t>
        </is>
      </c>
      <c r="B2956" t="inlineStr">
        <is>
          <t>recveKOBkW3hwK.jpg</t>
        </is>
      </c>
      <c r="C2956" s="2" t="str">
        <f>=HYPERLINK("https://xhslink.com/m/5ZsXHjXsc2M", "https://xhslink.com/m/5ZsXHjXsc2M")</f>
        <v>https://xhslink.com/m/5ZsXHjXsc2M</v>
      </c>
      <c r="D2956"/>
      <c r="E2956">
        <v>3327</v>
      </c>
      <c r="F2956">
        <v>188</v>
      </c>
      <c r="G2956">
        <v>163.44</v>
      </c>
      <c r="H2956">
        <v>100</v>
      </c>
      <c r="I2956" t="inlineStr">
        <is>
          <t>鞋靴</t>
        </is>
      </c>
      <c r="J2956" t="inlineStr">
        <is>
          <t>0.03</t>
        </is>
      </c>
      <c r="K2956"/>
      <c r="L2956" t="inlineStr">
        <is>
          <t>把我的鞋柜装满👟的店</t>
        </is>
      </c>
      <c r="M2956">
        <v>3124</v>
      </c>
      <c r="N2956">
        <v>4.48</v>
      </c>
      <c r="O2956">
        <v>24000</v>
      </c>
      <c r="P2956" t="inlineStr">
        <is>
          <t>6957f8ee040ad40015873ac7</t>
        </is>
      </c>
      <c r="Q2956"/>
      <c r="R2956" t="inlineStr">
        <is>
          <t>14周</t>
        </is>
      </c>
      <c r="S2956" t="inlineStr">
        <is>
          <t>1.06</t>
        </is>
      </c>
      <c r="T2956" t="inlineStr">
        <is>
          <t>服饰穿搭</t>
        </is>
      </c>
      <c r="U2956" t="inlineStr">
        <is>
          <t>鞋靴箱包</t>
        </is>
      </c>
      <c r="V2956" s="3">
        <v>46112.78107638889</v>
      </c>
      <c r="W2956" t="inlineStr">
        <is>
          <t>2026-Q1</t>
        </is>
      </c>
    </row>
    <row r="2957" ht="25.5" customHeight="1">
      <c r="A2957" t="inlineStr">
        <is>
          <t>圆圆呀aaa__｛现货48小时内发｝平底款绸缎水钻气质通勤单鞋</t>
        </is>
      </c>
      <c r="B2957" t="inlineStr">
        <is>
          <t>recveKOBkWHPo5.jpg</t>
        </is>
      </c>
      <c r="C2957" s="2" t="str">
        <f>=HYPERLINK("https://xhslink.com/m/mUFEE9Ts7m", "https://xhslink.com/m/mUFEE9Ts7m")</f>
        <v>https://xhslink.com/m/mUFEE9Ts7m</v>
      </c>
      <c r="D2957"/>
      <c r="E2957">
        <v>8100</v>
      </c>
      <c r="F2957">
        <v>174</v>
      </c>
      <c r="G2957">
        <v>137</v>
      </c>
      <c r="H2957">
        <v>100</v>
      </c>
      <c r="I2957" t="inlineStr">
        <is>
          <t>鞋靴</t>
        </is>
      </c>
      <c r="J2957" t="inlineStr">
        <is>
          <t>0.01</t>
        </is>
      </c>
      <c r="K2957"/>
      <c r="L2957" t="inlineStr">
        <is>
          <t>圆圆呀aaa__的店</t>
        </is>
      </c>
      <c r="M2957">
        <v>11000</v>
      </c>
      <c r="N2957">
        <v>4.61</v>
      </c>
      <c r="O2957">
        <v>48000</v>
      </c>
      <c r="P2957" t="inlineStr">
        <is>
          <t>693e806d691100000193e07f</t>
        </is>
      </c>
      <c r="Q2957" t="inlineStr">
        <is>
          <t>🚫重复</t>
        </is>
      </c>
      <c r="R2957" t="inlineStr">
        <is>
          <t>14周</t>
        </is>
      </c>
      <c r="S2957" t="inlineStr">
        <is>
          <t>0.74</t>
        </is>
      </c>
      <c r="T2957" t="inlineStr">
        <is>
          <t>服饰穿搭</t>
        </is>
      </c>
      <c r="U2957" t="inlineStr">
        <is>
          <t>鞋靴箱包</t>
        </is>
      </c>
      <c r="V2957" s="3">
        <v>46112.78107638889</v>
      </c>
      <c r="W2957" t="inlineStr">
        <is>
          <t>2026-Q1</t>
        </is>
      </c>
    </row>
    <row r="2958" ht="25.5" customHeight="1">
      <c r="A2958" t="inlineStr">
        <is>
          <t>新款玛丽珍高跟鞋小皮鞋单鞋女士粗跟仙女风配旗袍穿搭增高厚底鞋</t>
        </is>
      </c>
      <c r="B2958" t="inlineStr">
        <is>
          <t>recveKOBkWRaGz.jpg</t>
        </is>
      </c>
      <c r="C2958" s="2" t="str">
        <f>=HYPERLINK("https://xhslink.com/m/76mirWHarND", "https://xhslink.com/m/76mirWHarND")</f>
        <v>https://xhslink.com/m/76mirWHarND</v>
      </c>
      <c r="D2958"/>
      <c r="E2958">
        <v>1941</v>
      </c>
      <c r="F2958">
        <v>98.9</v>
      </c>
      <c r="G2958">
        <v>78.9</v>
      </c>
      <c r="H2958">
        <v>100</v>
      </c>
      <c r="I2958" t="inlineStr">
        <is>
          <t>鞋靴</t>
        </is>
      </c>
      <c r="J2958" t="inlineStr">
        <is>
          <t>0.05</t>
        </is>
      </c>
      <c r="K2958" t="inlineStr">
        <is>
          <t>🔥低粉爆款</t>
        </is>
      </c>
      <c r="L2958" t="inlineStr">
        <is>
          <t>内向的曲奇的店</t>
        </is>
      </c>
      <c r="M2958">
        <v>558</v>
      </c>
      <c r="N2958">
        <v>4.03</v>
      </c>
      <c r="O2958">
        <v>6224</v>
      </c>
      <c r="P2958" t="inlineStr">
        <is>
          <t>67627e2d3425c000153d0fb3</t>
        </is>
      </c>
      <c r="Q2958"/>
      <c r="R2958" t="inlineStr">
        <is>
          <t>14周</t>
        </is>
      </c>
      <c r="S2958" t="inlineStr">
        <is>
          <t>3.48</t>
        </is>
      </c>
      <c r="T2958" t="inlineStr">
        <is>
          <t>服饰穿搭</t>
        </is>
      </c>
      <c r="U2958" t="inlineStr">
        <is>
          <t>鞋靴箱包</t>
        </is>
      </c>
      <c r="V2958" s="3">
        <v>46112.78107638889</v>
      </c>
      <c r="W2958" t="inlineStr">
        <is>
          <t>2026-Q1</t>
        </is>
      </c>
    </row>
    <row r="2959" ht="25.5" customHeight="1">
      <c r="A2959" t="inlineStr">
        <is>
          <t>方扣单鞋女2026新款法式复古浅口方头细跟大象灰通勤百搭高跟鞋</t>
        </is>
      </c>
      <c r="B2959" t="inlineStr">
        <is>
          <t>recveKOBkWC2U1.jpg</t>
        </is>
      </c>
      <c r="C2959" s="2" t="str">
        <f>=HYPERLINK("https://xhslink.com/m/129mriLyto3", "https://xhslink.com/m/129mriLyto3")</f>
        <v>https://xhslink.com/m/129mriLyto3</v>
      </c>
      <c r="D2959"/>
      <c r="E2959">
        <v>16000</v>
      </c>
      <c r="F2959">
        <v>218</v>
      </c>
      <c r="G2959">
        <v>168</v>
      </c>
      <c r="H2959">
        <v>100</v>
      </c>
      <c r="I2959" t="inlineStr">
        <is>
          <t>鞋靴</t>
        </is>
      </c>
      <c r="J2959" t="inlineStr">
        <is>
          <t>0.01</t>
        </is>
      </c>
      <c r="K2959"/>
      <c r="L2959" t="inlineStr">
        <is>
          <t>The One 零零的店</t>
        </is>
      </c>
      <c r="M2959">
        <v>8289</v>
      </c>
      <c r="N2959">
        <v>4.62</v>
      </c>
      <c r="O2959">
        <v>25000</v>
      </c>
      <c r="P2959" t="inlineStr">
        <is>
          <t>6689662c743b3900013b2872</t>
        </is>
      </c>
      <c r="Q2959"/>
      <c r="R2959" t="inlineStr">
        <is>
          <t>14周</t>
        </is>
      </c>
      <c r="S2959" t="inlineStr">
        <is>
          <t>1.93</t>
        </is>
      </c>
      <c r="T2959" t="inlineStr">
        <is>
          <t>服饰穿搭</t>
        </is>
      </c>
      <c r="U2959" t="inlineStr">
        <is>
          <t>鞋靴箱包</t>
        </is>
      </c>
      <c r="V2959" s="3">
        <v>46112.78107638889</v>
      </c>
      <c r="W2959" t="inlineStr">
        <is>
          <t>2026-Q1</t>
        </is>
      </c>
    </row>
    <row r="2960" ht="25.5" customHeight="1">
      <c r="A2960" t="inlineStr">
        <is>
          <t>HEQICHOU · 复古圆头时尚休闲鞋女 百搭德训鞋系带户外运动鞋平底女鞋</t>
        </is>
      </c>
      <c r="B2960" t="inlineStr">
        <is>
          <t>recveKOBkWiUns.jpg</t>
        </is>
      </c>
      <c r="C2960" s="2" t="str">
        <f>=HYPERLINK("https://xhslink.com/m/7eyeFQyaUEP", "https://xhslink.com/m/7eyeFQyaUEP")</f>
        <v>https://xhslink.com/m/7eyeFQyaUEP</v>
      </c>
      <c r="D2960"/>
      <c r="E2960">
        <v>2643</v>
      </c>
      <c r="F2960">
        <v>188</v>
      </c>
      <c r="G2960">
        <v>128</v>
      </c>
      <c r="H2960">
        <v>100</v>
      </c>
      <c r="I2960" t="inlineStr">
        <is>
          <t>鞋靴</t>
        </is>
      </c>
      <c r="J2960" t="inlineStr">
        <is>
          <t>0.04</t>
        </is>
      </c>
      <c r="K2960"/>
      <c r="L2960" t="inlineStr">
        <is>
          <t>奇怪的鞋店 HEQICHOU女鞋的店</t>
        </is>
      </c>
      <c r="M2960">
        <v>373000</v>
      </c>
      <c r="N2960">
        <v>4.71</v>
      </c>
      <c r="O2960">
        <v>294000</v>
      </c>
      <c r="P2960" t="inlineStr">
        <is>
          <t>694d0be83770740015ad40a9</t>
        </is>
      </c>
      <c r="Q2960" t="inlineStr">
        <is>
          <t>🚫重复</t>
        </is>
      </c>
      <c r="R2960" t="inlineStr">
        <is>
          <t>14周</t>
        </is>
      </c>
      <c r="S2960" t="inlineStr">
        <is>
          <t>0.01</t>
        </is>
      </c>
      <c r="T2960" t="inlineStr">
        <is>
          <t>服饰穿搭</t>
        </is>
      </c>
      <c r="U2960" t="inlineStr">
        <is>
          <t>鞋靴箱包</t>
        </is>
      </c>
      <c r="V2960" s="3">
        <v>46112.78107638889</v>
      </c>
      <c r="W2960" t="inlineStr">
        <is>
          <t>2026-Q1</t>
        </is>
      </c>
    </row>
    <row r="2961" ht="25.5" customHeight="1">
      <c r="A2961" t="inlineStr">
        <is>
          <t>知野之野俏皮波点马毛蝴蝶结浅口小单鞋真皮真毛卡码拍小</t>
        </is>
      </c>
      <c r="B2961" t="inlineStr">
        <is>
          <t>recveKOBkWln2N.jpg</t>
        </is>
      </c>
      <c r="C2961" s="2" t="str">
        <f>=HYPERLINK("https://xhslink.com/m/2OIo9eOpQbi", "https://xhslink.com/m/2OIo9eOpQbi")</f>
        <v>https://xhslink.com/m/2OIo9eOpQbi</v>
      </c>
      <c r="D2961"/>
      <c r="E2961">
        <v>2699</v>
      </c>
      <c r="F2961">
        <v>389</v>
      </c>
      <c r="G2961">
        <v>228</v>
      </c>
      <c r="H2961">
        <v>100</v>
      </c>
      <c r="I2961" t="inlineStr">
        <is>
          <t>鞋靴</t>
        </is>
      </c>
      <c r="J2961" t="inlineStr">
        <is>
          <t>0.04</t>
        </is>
      </c>
      <c r="K2961"/>
      <c r="L2961" t="inlineStr">
        <is>
          <t>Sexual apathy知野之野的店</t>
        </is>
      </c>
      <c r="M2961">
        <v>160000</v>
      </c>
      <c r="N2961">
        <v>4.48</v>
      </c>
      <c r="O2961">
        <v>68000</v>
      </c>
      <c r="P2961" t="inlineStr">
        <is>
          <t>69649fa7e25fce0001b2478a</t>
        </is>
      </c>
      <c r="Q2961"/>
      <c r="R2961" t="inlineStr">
        <is>
          <t>14周</t>
        </is>
      </c>
      <c r="S2961" t="inlineStr">
        <is>
          <t>0.02</t>
        </is>
      </c>
      <c r="T2961" t="inlineStr">
        <is>
          <t>服饰穿搭</t>
        </is>
      </c>
      <c r="U2961" t="inlineStr">
        <is>
          <t>鞋靴箱包</t>
        </is>
      </c>
      <c r="V2961" s="3">
        <v>46112.78107638889</v>
      </c>
      <c r="W2961" t="inlineStr">
        <is>
          <t>2026-Q1</t>
        </is>
      </c>
    </row>
    <row r="2962" ht="25.5" customHeight="1">
      <c r="A2962" t="inlineStr">
        <is>
          <t>宠粉前2500单7折 | 2026复古风运动鞋女透气网面德训鞋休闲百搭鞋</t>
        </is>
      </c>
      <c r="B2962" t="inlineStr">
        <is>
          <t>recveKOBkWwxqK.jpg</t>
        </is>
      </c>
      <c r="C2962" s="2" t="str">
        <f>=HYPERLINK("https://xhslink.com/m/6hXQUpcKVH6", "https://xhslink.com/m/6hXQUpcKVH6")</f>
        <v>https://xhslink.com/m/6hXQUpcKVH6</v>
      </c>
      <c r="D2962"/>
      <c r="E2962">
        <v>2507</v>
      </c>
      <c r="F2962">
        <v>109</v>
      </c>
      <c r="G2962">
        <v>75</v>
      </c>
      <c r="H2962">
        <v>100</v>
      </c>
      <c r="I2962" t="inlineStr">
        <is>
          <t>鞋靴</t>
        </is>
      </c>
      <c r="J2962" t="inlineStr">
        <is>
          <t>0.04</t>
        </is>
      </c>
      <c r="K2962"/>
      <c r="L2962" t="inlineStr">
        <is>
          <t>千与浔Shoes的店</t>
        </is>
      </c>
      <c r="M2962">
        <v>923</v>
      </c>
      <c r="N2962">
        <v>4.43</v>
      </c>
      <c r="O2962">
        <v>6609</v>
      </c>
      <c r="P2962" t="inlineStr">
        <is>
          <t>6893203ffe39ac001595d5b5</t>
        </is>
      </c>
      <c r="Q2962"/>
      <c r="R2962" t="inlineStr">
        <is>
          <t>14周</t>
        </is>
      </c>
      <c r="S2962" t="inlineStr">
        <is>
          <t>2.72</t>
        </is>
      </c>
      <c r="T2962" t="inlineStr">
        <is>
          <t>服饰穿搭</t>
        </is>
      </c>
      <c r="U2962" t="inlineStr">
        <is>
          <t>鞋靴箱包</t>
        </is>
      </c>
      <c r="V2962" s="3">
        <v>46112.78107638889</v>
      </c>
      <c r="W2962" t="inlineStr">
        <is>
          <t>2026-Q1</t>
        </is>
      </c>
    </row>
    <row r="2963" ht="25.5" customHeight="1">
      <c r="A2963" t="inlineStr">
        <is>
          <t>saucony · TIDE浪潮3初跑者减震保护专业跑步鞋慢跑训练轻量运动鞋体测跑鞋</t>
        </is>
      </c>
      <c r="B2963" t="inlineStr">
        <is>
          <t>recveKOBkWJ36O.jpg</t>
        </is>
      </c>
      <c r="C2963" s="2" t="str">
        <f>=HYPERLINK("https://xhslink.com/m/878aNyDSp3u", "https://xhslink.com/m/878aNyDSp3u")</f>
        <v>https://xhslink.com/m/878aNyDSp3u</v>
      </c>
      <c r="D2963"/>
      <c r="E2963">
        <v>12000</v>
      </c>
      <c r="F2963">
        <v>690</v>
      </c>
      <c r="G2963">
        <v>519</v>
      </c>
      <c r="H2963">
        <v>100</v>
      </c>
      <c r="I2963" t="inlineStr">
        <is>
          <t>鞋靴</t>
        </is>
      </c>
      <c r="J2963" t="inlineStr">
        <is>
          <t>0.01</t>
        </is>
      </c>
      <c r="K2963"/>
      <c r="L2963" t="inlineStr">
        <is>
          <t>Saucony索康尼运动旗舰店</t>
        </is>
      </c>
      <c r="M2963">
        <v>109000</v>
      </c>
      <c r="N2963">
        <v>4.53</v>
      </c>
      <c r="O2963">
        <v>155000</v>
      </c>
      <c r="P2963" t="inlineStr">
        <is>
          <t>67b09dac0a6fff001589c173</t>
        </is>
      </c>
      <c r="Q2963" t="inlineStr">
        <is>
          <t>🚫重复</t>
        </is>
      </c>
      <c r="R2963" t="inlineStr">
        <is>
          <t>14周</t>
        </is>
      </c>
      <c r="S2963" t="inlineStr">
        <is>
          <t>0.11</t>
        </is>
      </c>
      <c r="T2963" t="inlineStr">
        <is>
          <t>服饰穿搭</t>
        </is>
      </c>
      <c r="U2963" t="inlineStr">
        <is>
          <t>鞋靴箱包</t>
        </is>
      </c>
      <c r="V2963" s="3">
        <v>46112.78107638889</v>
      </c>
      <c r="W2963" t="inlineStr">
        <is>
          <t>2026-Q1</t>
        </is>
      </c>
    </row>
    <row r="2964" ht="25.5" customHeight="1">
      <c r="A2964" t="inlineStr">
        <is>
          <t>内增高8cm芭蕾德训鞋小个子增高厚底鞋春夏透气老爹鞋运动休闲鞋</t>
        </is>
      </c>
      <c r="B2964" t="inlineStr">
        <is>
          <t>recveKOBkWy7SR.jpg</t>
        </is>
      </c>
      <c r="C2964" s="2" t="str">
        <f>=HYPERLINK("https://xhslink.com/m/1frUfumj1kd", "https://xhslink.com/m/1frUfumj1kd")</f>
        <v>https://xhslink.com/m/1frUfumj1kd</v>
      </c>
      <c r="D2964"/>
      <c r="E2964">
        <v>1632</v>
      </c>
      <c r="F2964">
        <v>178</v>
      </c>
      <c r="G2964"/>
      <c r="H2964">
        <v>100</v>
      </c>
      <c r="I2964" t="inlineStr">
        <is>
          <t>鞋靴</t>
        </is>
      </c>
      <c r="J2964" t="inlineStr">
        <is>
          <t>0.06</t>
        </is>
      </c>
      <c r="K2964"/>
      <c r="L2964" t="inlineStr">
        <is>
          <t>Nancy囡囡的店</t>
        </is>
      </c>
      <c r="M2964">
        <v>10000</v>
      </c>
      <c r="N2964">
        <v>4.75</v>
      </c>
      <c r="O2964">
        <v>40000</v>
      </c>
      <c r="P2964" t="inlineStr">
        <is>
          <t>682489e510039a00013cf399</t>
        </is>
      </c>
      <c r="Q2964" t="inlineStr">
        <is>
          <t>🚫重复</t>
        </is>
      </c>
      <c r="R2964" t="inlineStr">
        <is>
          <t>14周</t>
        </is>
      </c>
      <c r="S2964" t="inlineStr">
        <is>
          <t>0.16</t>
        </is>
      </c>
      <c r="T2964" t="inlineStr">
        <is>
          <t>服饰穿搭</t>
        </is>
      </c>
      <c r="U2964" t="inlineStr">
        <is>
          <t>鞋靴箱包</t>
        </is>
      </c>
      <c r="V2964" s="3">
        <v>46112.78107638889</v>
      </c>
      <c r="W2964" t="inlineStr">
        <is>
          <t>2026-Q1</t>
        </is>
      </c>
    </row>
    <row r="2965" ht="25.5" customHeight="1">
      <c r="A2965" t="inlineStr">
        <is>
          <t>CBD女精英~经典蝴蝶结浅口粗跟芭蕾单鞋女平底鞋内增高软皮通勤鞋</t>
        </is>
      </c>
      <c r="B2965" t="inlineStr">
        <is>
          <t>recveKOBkWfrxW.jpg</t>
        </is>
      </c>
      <c r="C2965" s="2" t="str">
        <f>=HYPERLINK("https://xhslink.com/m/9M8fUtp17n0", "https://xhslink.com/m/9M8fUtp17n0")</f>
        <v>https://xhslink.com/m/9M8fUtp17n0</v>
      </c>
      <c r="D2965"/>
      <c r="E2965">
        <v>2497</v>
      </c>
      <c r="F2965">
        <v>138</v>
      </c>
      <c r="G2965"/>
      <c r="H2965">
        <v>100</v>
      </c>
      <c r="I2965" t="inlineStr">
        <is>
          <t>鞋靴</t>
        </is>
      </c>
      <c r="J2965" t="inlineStr">
        <is>
          <t>0.04</t>
        </is>
      </c>
      <c r="K2965"/>
      <c r="L2965" t="inlineStr">
        <is>
          <t>妍妍小个子研究所的店</t>
        </is>
      </c>
      <c r="M2965">
        <v>3206</v>
      </c>
      <c r="N2965">
        <v>4.6</v>
      </c>
      <c r="O2965">
        <v>24000</v>
      </c>
      <c r="P2965" t="inlineStr">
        <is>
          <t>68dbbfcdd3eed20001f80f94</t>
        </is>
      </c>
      <c r="Q2965" t="inlineStr">
        <is>
          <t>🚫重复</t>
        </is>
      </c>
      <c r="R2965" t="inlineStr">
        <is>
          <t>14周</t>
        </is>
      </c>
      <c r="S2965" t="inlineStr">
        <is>
          <t>0.78</t>
        </is>
      </c>
      <c r="T2965" t="inlineStr">
        <is>
          <t>服饰穿搭</t>
        </is>
      </c>
      <c r="U2965" t="inlineStr">
        <is>
          <t>鞋靴箱包</t>
        </is>
      </c>
      <c r="V2965" s="3">
        <v>46112.78107638889</v>
      </c>
      <c r="W2965" t="inlineStr">
        <is>
          <t>2026-Q1</t>
        </is>
      </c>
    </row>
    <row r="2966" ht="25.5" customHeight="1">
      <c r="A2966" t="inlineStr">
        <is>
          <t>【内增高8.5cm】小个子四季厚底女登山运动户外休闲老爹鞋暴走鞋</t>
        </is>
      </c>
      <c r="B2966" t="inlineStr">
        <is>
          <t>recveKOBkWYIyt.jpg</t>
        </is>
      </c>
      <c r="C2966" s="2" t="str">
        <f>=HYPERLINK("https://xhslink.com/m/9S0GHWIHgcE", "https://xhslink.com/m/9S0GHWIHgcE")</f>
        <v>https://xhslink.com/m/9S0GHWIHgcE</v>
      </c>
      <c r="D2966"/>
      <c r="E2966">
        <v>1291</v>
      </c>
      <c r="F2966">
        <v>318</v>
      </c>
      <c r="G2966">
        <v>223</v>
      </c>
      <c r="H2966">
        <v>100</v>
      </c>
      <c r="I2966" t="inlineStr">
        <is>
          <t>鞋靴</t>
        </is>
      </c>
      <c r="J2966" t="inlineStr">
        <is>
          <t>0.08</t>
        </is>
      </c>
      <c r="K2966"/>
      <c r="L2966" t="inlineStr">
        <is>
          <t>Duu小个子定制女鞋的店</t>
        </is>
      </c>
      <c r="M2966">
        <v>1758</v>
      </c>
      <c r="N2966">
        <v>4.62</v>
      </c>
      <c r="O2966">
        <v>5047</v>
      </c>
      <c r="P2966" t="inlineStr">
        <is>
          <t>693579d263db6a001532afb7</t>
        </is>
      </c>
      <c r="Q2966" t="inlineStr">
        <is>
          <t>🚫重复</t>
        </is>
      </c>
      <c r="R2966" t="inlineStr">
        <is>
          <t>14周</t>
        </is>
      </c>
      <c r="S2966" t="inlineStr">
        <is>
          <t>0.73</t>
        </is>
      </c>
      <c r="T2966" t="inlineStr">
        <is>
          <t>服饰穿搭</t>
        </is>
      </c>
      <c r="U2966" t="inlineStr">
        <is>
          <t>鞋靴箱包</t>
        </is>
      </c>
      <c r="V2966" s="3">
        <v>46112.78107638889</v>
      </c>
      <c r="W2966" t="inlineStr">
        <is>
          <t>2026-Q1</t>
        </is>
      </c>
    </row>
    <row r="2967" ht="25.5" customHeight="1">
      <c r="A2967" t="inlineStr">
        <is>
          <t>潮汐邮局原创｜亚文化小众穿孔蝴蝶兰百合挂件包挂</t>
        </is>
      </c>
      <c r="B2967" t="inlineStr">
        <is>
          <t>recveKOBkWTkgj.jpg</t>
        </is>
      </c>
      <c r="C2967" s="2" t="str">
        <f>=HYPERLINK("https://xhslink.com/m/7TxdCwA1UTP", "https://xhslink.com/m/7TxdCwA1UTP")</f>
        <v>https://xhslink.com/m/7TxdCwA1UTP</v>
      </c>
      <c r="D2967"/>
      <c r="E2967">
        <v>8028</v>
      </c>
      <c r="F2967">
        <v>39.9</v>
      </c>
      <c r="G2967"/>
      <c r="H2967">
        <v>100</v>
      </c>
      <c r="I2967" t="inlineStr">
        <is>
          <t>包挂</t>
        </is>
      </c>
      <c r="J2967" t="inlineStr">
        <is>
          <t>0.01</t>
        </is>
      </c>
      <c r="K2967"/>
      <c r="L2967" t="inlineStr">
        <is>
          <t>潮汐邮局的店</t>
        </is>
      </c>
      <c r="M2967">
        <v>10000</v>
      </c>
      <c r="N2967">
        <v>4.33</v>
      </c>
      <c r="O2967">
        <v>16000</v>
      </c>
      <c r="P2967" t="inlineStr">
        <is>
          <t>685fa9567590770001e5d91a</t>
        </is>
      </c>
      <c r="Q2967"/>
      <c r="R2967" t="inlineStr">
        <is>
          <t>14周</t>
        </is>
      </c>
      <c r="S2967" t="inlineStr">
        <is>
          <t>0.80</t>
        </is>
      </c>
      <c r="T2967" t="inlineStr">
        <is>
          <t>服饰穿搭</t>
        </is>
      </c>
      <c r="U2967" t="inlineStr">
        <is>
          <t>配饰</t>
        </is>
      </c>
      <c r="V2967" s="3">
        <v>46112.78107638889</v>
      </c>
      <c r="W2967" t="inlineStr">
        <is>
          <t>2026-Q1</t>
        </is>
      </c>
    </row>
    <row r="2968" ht="25.5" customHeight="1">
      <c r="A2968" t="inlineStr">
        <is>
          <t>冰皮凉感防晒衣薄款夏季户外防紫外线山系徒步连帽外套透气皮肤衣</t>
        </is>
      </c>
      <c r="B2968" t="inlineStr">
        <is>
          <t>recveKOBkWUHFD.jpg</t>
        </is>
      </c>
      <c r="C2968" s="2" t="str">
        <f>=HYPERLINK("https://xhslink.com/m/3BWmOj2D8Xu", "https://xhslink.com/m/3BWmOj2D8Xu")</f>
        <v>https://xhslink.com/m/3BWmOj2D8Xu</v>
      </c>
      <c r="D2968"/>
      <c r="E2968">
        <v>54000</v>
      </c>
      <c r="F2968">
        <v>199</v>
      </c>
      <c r="G2968">
        <v>129</v>
      </c>
      <c r="H2968">
        <v>100</v>
      </c>
      <c r="I2968" t="inlineStr">
        <is>
          <t>户外运动</t>
        </is>
      </c>
      <c r="J2968" t="inlineStr">
        <is>
          <t>0.00</t>
        </is>
      </c>
      <c r="K2968"/>
      <c r="L2968" t="inlineStr">
        <is>
          <t>果果studio的店</t>
        </is>
      </c>
      <c r="M2968">
        <v>23000</v>
      </c>
      <c r="N2968">
        <v>4.68</v>
      </c>
      <c r="O2968">
        <v>171000</v>
      </c>
      <c r="P2968" t="inlineStr">
        <is>
          <t>67d8e38bba9cf800010c6914</t>
        </is>
      </c>
      <c r="Q2968" t="inlineStr">
        <is>
          <t>🚫重复</t>
        </is>
      </c>
      <c r="R2968" t="inlineStr">
        <is>
          <t>14周</t>
        </is>
      </c>
      <c r="S2968" t="inlineStr">
        <is>
          <t>2.35</t>
        </is>
      </c>
      <c r="T2968" t="inlineStr">
        <is>
          <t>服饰穿搭</t>
        </is>
      </c>
      <c r="U2968" t="inlineStr">
        <is>
          <t>女装</t>
        </is>
      </c>
      <c r="V2968" s="3">
        <v>46112.78107638889</v>
      </c>
      <c r="W2968" t="inlineStr">
        <is>
          <t>2026-Q1</t>
        </is>
      </c>
    </row>
    <row r="2969" ht="25.5" customHeight="1">
      <c r="A2969" t="inlineStr">
        <is>
          <t>户外轻量软壳冲锋裤男女秋冬季加厚工装裤山系运动休闲长裤</t>
        </is>
      </c>
      <c r="B2969" t="inlineStr">
        <is>
          <t>recveKOBkWaNkl.jpg</t>
        </is>
      </c>
      <c r="C2969" s="2" t="str">
        <f>=HYPERLINK("https://xhslink.com/m/4HqmIZ7GEF", "https://xhslink.com/m/4HqmIZ7GEF")</f>
        <v>https://xhslink.com/m/4HqmIZ7GEF</v>
      </c>
      <c r="D2969"/>
      <c r="E2969">
        <v>5591</v>
      </c>
      <c r="F2969">
        <v>139</v>
      </c>
      <c r="G2969">
        <v>99</v>
      </c>
      <c r="H2969">
        <v>100</v>
      </c>
      <c r="I2969" t="inlineStr">
        <is>
          <t>户外运动</t>
        </is>
      </c>
      <c r="J2969" t="inlineStr">
        <is>
          <t>0.02</t>
        </is>
      </c>
      <c r="K2969"/>
      <c r="L2969" t="inlineStr">
        <is>
          <t>酥城故事服饰的店</t>
        </is>
      </c>
      <c r="M2969">
        <v>333000</v>
      </c>
      <c r="N2969">
        <v>4.52</v>
      </c>
      <c r="O2969">
        <v>293000</v>
      </c>
      <c r="P2969" t="inlineStr">
        <is>
          <t>68aec46ca50cd90001e6a3ce</t>
        </is>
      </c>
      <c r="Q2969" t="inlineStr">
        <is>
          <t>🚫重复</t>
        </is>
      </c>
      <c r="R2969" t="inlineStr">
        <is>
          <t>14周</t>
        </is>
      </c>
      <c r="S2969" t="inlineStr">
        <is>
          <t>0.02</t>
        </is>
      </c>
      <c r="T2969" t="inlineStr">
        <is>
          <t>服饰穿搭</t>
        </is>
      </c>
      <c r="U2969" t="inlineStr">
        <is>
          <t>女装</t>
        </is>
      </c>
      <c r="V2969" s="3">
        <v>46112.78107638889</v>
      </c>
      <c r="W2969" t="inlineStr">
        <is>
          <t>2026-Q1</t>
        </is>
      </c>
    </row>
    <row r="2970" ht="25.5" customHeight="1">
      <c r="A2970" t="inlineStr">
        <is>
          <t>杉木山装 · 轻量化背包多功能户外防雨徒步爬山双肩背包</t>
        </is>
      </c>
      <c r="B2970" t="inlineStr">
        <is>
          <t>recveKOBkWw3JD.jpg</t>
        </is>
      </c>
      <c r="C2970" s="2" t="str">
        <f>=HYPERLINK("https://xhslink.com/m/9TxZ7OYIXEI", "https://xhslink.com/m/9TxZ7OYIXEI")</f>
        <v>https://xhslink.com/m/9TxZ7OYIXEI</v>
      </c>
      <c r="D2970"/>
      <c r="E2970">
        <v>5426</v>
      </c>
      <c r="F2970">
        <v>129</v>
      </c>
      <c r="G2970">
        <v>79</v>
      </c>
      <c r="H2970">
        <v>100</v>
      </c>
      <c r="I2970" t="inlineStr">
        <is>
          <t>户外运动</t>
        </is>
      </c>
      <c r="J2970" t="inlineStr">
        <is>
          <t>0.02</t>
        </is>
      </c>
      <c r="K2970"/>
      <c r="L2970" t="inlineStr">
        <is>
          <t>野和家的店</t>
        </is>
      </c>
      <c r="M2970">
        <v>6476</v>
      </c>
      <c r="N2970">
        <v>4.49</v>
      </c>
      <c r="O2970">
        <v>10000</v>
      </c>
      <c r="P2970" t="inlineStr">
        <is>
          <t>67b840e9915f7500161c33b5</t>
        </is>
      </c>
      <c r="Q2970"/>
      <c r="R2970" t="inlineStr">
        <is>
          <t>14周</t>
        </is>
      </c>
      <c r="S2970" t="inlineStr">
        <is>
          <t>0.84</t>
        </is>
      </c>
      <c r="T2970" t="inlineStr">
        <is>
          <t>服饰穿搭</t>
        </is>
      </c>
      <c r="U2970" t="inlineStr">
        <is>
          <t>鞋靴箱包</t>
        </is>
      </c>
      <c r="V2970" s="3">
        <v>46112.78107638889</v>
      </c>
      <c r="W2970" t="inlineStr">
        <is>
          <t>2026-Q1</t>
        </is>
      </c>
    </row>
    <row r="2971" ht="25.5" customHeight="1">
      <c r="A2971" t="inlineStr">
        <is>
          <t>【苔行透氧】夏季山系男女款轻量户外吸湿排汗速干长袖T恤防晒衣</t>
        </is>
      </c>
      <c r="B2971" t="inlineStr">
        <is>
          <t>recveKOBkWJ1Rz.jpg</t>
        </is>
      </c>
      <c r="C2971" s="2" t="str">
        <f>=HYPERLINK("https://xhslink.com/m/41L33bxlbbT", "https://xhslink.com/m/41L33bxlbbT")</f>
        <v>https://xhslink.com/m/41L33bxlbbT</v>
      </c>
      <c r="D2971"/>
      <c r="E2971">
        <v>1529</v>
      </c>
      <c r="F2971">
        <v>59</v>
      </c>
      <c r="G2971"/>
      <c r="H2971">
        <v>100</v>
      </c>
      <c r="I2971" t="inlineStr">
        <is>
          <t>户外运动</t>
        </is>
      </c>
      <c r="J2971" t="inlineStr">
        <is>
          <t>0.07</t>
        </is>
      </c>
      <c r="K2971"/>
      <c r="L2971" t="inlineStr">
        <is>
          <t>福多外贸服饰的店</t>
        </is>
      </c>
      <c r="M2971">
        <v>11000</v>
      </c>
      <c r="N2971">
        <v>4.54</v>
      </c>
      <c r="O2971">
        <v>173000</v>
      </c>
      <c r="P2971" t="inlineStr">
        <is>
          <t>6868c3fb15811b0001fb73a8</t>
        </is>
      </c>
      <c r="Q2971" t="inlineStr">
        <is>
          <t>🚫重复</t>
        </is>
      </c>
      <c r="R2971" t="inlineStr">
        <is>
          <t>14周</t>
        </is>
      </c>
      <c r="S2971" t="inlineStr">
        <is>
          <t>0.14</t>
        </is>
      </c>
      <c r="T2971" t="inlineStr">
        <is>
          <t>服饰穿搭</t>
        </is>
      </c>
      <c r="U2971" t="inlineStr">
        <is>
          <t>女装</t>
        </is>
      </c>
      <c r="V2971" s="3">
        <v>46112.78107638889</v>
      </c>
      <c r="W2971" t="inlineStr">
        <is>
          <t>2026-Q1</t>
        </is>
      </c>
    </row>
    <row r="2972" ht="25.5" customHeight="1">
      <c r="A2972" t="inlineStr">
        <is>
          <t>IPIEN PRINCESS一品公主 · 户外透气登山鞋女2026春秋新款防滑防水徒步鞋耐磨轻量化越野跑鞋</t>
        </is>
      </c>
      <c r="B2972" t="inlineStr">
        <is>
          <t>recveKOBkWPuFh.jpg</t>
        </is>
      </c>
      <c r="C2972" s="2" t="str">
        <f>=HYPERLINK("https://xhslink.com/m/4KxS3aJOol7", "https://xhslink.com/m/4KxS3aJOol7")</f>
        <v>https://xhslink.com/m/4KxS3aJOol7</v>
      </c>
      <c r="D2972"/>
      <c r="E2972">
        <v>3643</v>
      </c>
      <c r="F2972">
        <v>228</v>
      </c>
      <c r="G2972">
        <v>192</v>
      </c>
      <c r="H2972">
        <v>100</v>
      </c>
      <c r="I2972" t="inlineStr">
        <is>
          <t>户外运动</t>
        </is>
      </c>
      <c r="J2972" t="inlineStr">
        <is>
          <t>0.03</t>
        </is>
      </c>
      <c r="K2972"/>
      <c r="L2972" t="inlineStr">
        <is>
          <t>IPIEN PRINCESS一品公主旗舰店</t>
        </is>
      </c>
      <c r="M2972">
        <v>9895</v>
      </c>
      <c r="N2972">
        <v>4.59</v>
      </c>
      <c r="O2972">
        <v>23000</v>
      </c>
      <c r="P2972" t="inlineStr">
        <is>
          <t>68e3518a4b151d0015d66c0d</t>
        </is>
      </c>
      <c r="Q2972"/>
      <c r="R2972" t="inlineStr">
        <is>
          <t>14周</t>
        </is>
      </c>
      <c r="S2972" t="inlineStr">
        <is>
          <t>0.37</t>
        </is>
      </c>
      <c r="T2972" t="inlineStr">
        <is>
          <t>运动潮玩</t>
        </is>
      </c>
      <c r="U2972" t="inlineStr">
        <is>
          <t>运动户外装备</t>
        </is>
      </c>
      <c r="V2972" s="3">
        <v>46112.78107638889</v>
      </c>
      <c r="W2972" t="inlineStr">
        <is>
          <t>2026-Q1</t>
        </is>
      </c>
    </row>
    <row r="2973" ht="25.5" customHeight="1">
      <c r="A2973" t="inlineStr">
        <is>
          <t>户外登山包轻便运动双肩包爬山徒步旅行背包小众高级感旅游小书包</t>
        </is>
      </c>
      <c r="B2973" t="inlineStr">
        <is>
          <t>recveKOBkWEATg.jpg</t>
        </is>
      </c>
      <c r="C2973" s="2" t="str">
        <f>=HYPERLINK("https://xhslink.com/m/9UhMbTtc0kI", "https://xhslink.com/m/9UhMbTtc0kI")</f>
        <v>https://xhslink.com/m/9UhMbTtc0kI</v>
      </c>
      <c r="D2973"/>
      <c r="E2973">
        <v>2751</v>
      </c>
      <c r="F2973">
        <v>50</v>
      </c>
      <c r="G2973">
        <v>45</v>
      </c>
      <c r="H2973">
        <v>100</v>
      </c>
      <c r="I2973" t="inlineStr">
        <is>
          <t>户外运动</t>
        </is>
      </c>
      <c r="J2973" t="inlineStr">
        <is>
          <t>0.04</t>
        </is>
      </c>
      <c r="K2973"/>
      <c r="L2973" t="inlineStr">
        <is>
          <t>Mu沐沐的店</t>
        </is>
      </c>
      <c r="M2973">
        <v>3559</v>
      </c>
      <c r="N2973">
        <v>4.54</v>
      </c>
      <c r="O2973">
        <v>47000</v>
      </c>
      <c r="P2973" t="inlineStr">
        <is>
          <t>6927087e47579d0001365b60</t>
        </is>
      </c>
      <c r="Q2973" t="inlineStr">
        <is>
          <t>🚫重复</t>
        </is>
      </c>
      <c r="R2973" t="inlineStr">
        <is>
          <t>14周</t>
        </is>
      </c>
      <c r="S2973" t="inlineStr">
        <is>
          <t>0.77</t>
        </is>
      </c>
      <c r="T2973" t="inlineStr">
        <is>
          <t>服饰穿搭</t>
        </is>
      </c>
      <c r="U2973" t="inlineStr">
        <is>
          <t>鞋靴箱包</t>
        </is>
      </c>
      <c r="V2973" s="3">
        <v>46112.78107638889</v>
      </c>
      <c r="W2973" t="inlineStr">
        <is>
          <t>2026-Q1</t>
        </is>
      </c>
    </row>
    <row r="2974" ht="25.5" customHeight="1">
      <c r="A2974" t="inlineStr">
        <is>
          <t>小精灵拼豆星球2.6mm全系列高品质融合豆MARD婆娑晴天COCO同色10g</t>
        </is>
      </c>
      <c r="B2974" t="inlineStr">
        <is>
          <t>recveKOBkWfre1.jpg</t>
        </is>
      </c>
      <c r="C2974" s="2" t="str">
        <f>=HYPERLINK("https://xhslink.com/m/2gBsDNKPVX9", "https://xhslink.com/m/2gBsDNKPVX9")</f>
        <v>https://xhslink.com/m/2gBsDNKPVX9</v>
      </c>
      <c r="D2974"/>
      <c r="E2974">
        <v>16000</v>
      </c>
      <c r="F2974">
        <v>262.99</v>
      </c>
      <c r="G2974"/>
      <c r="H2974">
        <v>100</v>
      </c>
      <c r="I2974" t="inlineStr">
        <is>
          <t>拼豆</t>
        </is>
      </c>
      <c r="J2974" t="inlineStr">
        <is>
          <t>0.01</t>
        </is>
      </c>
      <c r="K2974"/>
      <c r="L2974" t="inlineStr">
        <is>
          <t>小精灵拼豆星球的店</t>
        </is>
      </c>
      <c r="M2974">
        <v>10000</v>
      </c>
      <c r="N2974">
        <v>4.41</v>
      </c>
      <c r="O2974">
        <v>50000</v>
      </c>
      <c r="P2974" t="inlineStr">
        <is>
          <t>694782f9e40d43000117f755</t>
        </is>
      </c>
      <c r="Q2974" t="inlineStr">
        <is>
          <t>🚫重复</t>
        </is>
      </c>
      <c r="R2974" t="inlineStr">
        <is>
          <t>14周</t>
        </is>
      </c>
      <c r="S2974" t="inlineStr">
        <is>
          <t>1.60</t>
        </is>
      </c>
      <c r="T2974" t="inlineStr">
        <is>
          <t>运动潮玩</t>
        </is>
      </c>
      <c r="U2974" t="inlineStr">
        <is>
          <t>潮玩手办</t>
        </is>
      </c>
      <c r="V2974" s="3">
        <v>46112.78107638889</v>
      </c>
      <c r="W2974" t="inlineStr">
        <is>
          <t>2026-Q1</t>
        </is>
      </c>
    </row>
    <row r="2975" ht="25.5" customHeight="1">
      <c r="A2975" t="inlineStr">
        <is>
          <t>优肯拼豆融合豆221色补充包套装拼拼豆豆MARD同款色手工diy材料</t>
        </is>
      </c>
      <c r="B2975" t="inlineStr">
        <is>
          <t>recveKOBkWKnkn.jpg</t>
        </is>
      </c>
      <c r="C2975" s="2" t="str">
        <f>=HYPERLINK("https://xhslink.com/m/PWo0Jgvk1", "https://xhslink.com/m/PWo0Jgvk1")</f>
        <v>https://xhslink.com/m/PWo0Jgvk1</v>
      </c>
      <c r="D2975"/>
      <c r="E2975">
        <v>9664</v>
      </c>
      <c r="F2975">
        <v>2235</v>
      </c>
      <c r="G2975"/>
      <c r="H2975">
        <v>100</v>
      </c>
      <c r="I2975" t="inlineStr">
        <is>
          <t>拼豆</t>
        </is>
      </c>
      <c r="J2975" t="inlineStr">
        <is>
          <t>0.01</t>
        </is>
      </c>
      <c r="K2975"/>
      <c r="L2975" t="inlineStr">
        <is>
          <t>优肯拼豆的店</t>
        </is>
      </c>
      <c r="M2975">
        <v>29000</v>
      </c>
      <c r="N2975">
        <v>4.53</v>
      </c>
      <c r="O2975">
        <v>76000</v>
      </c>
      <c r="P2975" t="inlineStr">
        <is>
          <t>69b3ba1b1b6b3f0001cee10e</t>
        </is>
      </c>
      <c r="Q2975"/>
      <c r="R2975" t="inlineStr">
        <is>
          <t>14周</t>
        </is>
      </c>
      <c r="S2975" t="inlineStr">
        <is>
          <t>0.33</t>
        </is>
      </c>
      <c r="T2975" t="inlineStr">
        <is>
          <t>运动潮玩</t>
        </is>
      </c>
      <c r="U2975" t="inlineStr">
        <is>
          <t>潮玩手办</t>
        </is>
      </c>
      <c r="V2975" s="3">
        <v>46112.78107638889</v>
      </c>
      <c r="W2975" t="inlineStr">
        <is>
          <t>2026-Q1</t>
        </is>
      </c>
    </row>
    <row r="2976" ht="25.5" customHeight="1">
      <c r="A2976" t="inlineStr">
        <is>
          <t>【100和104钉画线】拼豆板小豆拼豆耐高温2.6mm底板可拼接模板</t>
        </is>
      </c>
      <c r="B2976" t="inlineStr">
        <is>
          <t>recveKOBkWufoF.jpg</t>
        </is>
      </c>
      <c r="C2976" s="2" t="str">
        <f>=HYPERLINK("https://xhslink.com/m/3ITKaYMK40H", "https://xhslink.com/m/3ITKaYMK40H")</f>
        <v>https://xhslink.com/m/3ITKaYMK40H</v>
      </c>
      <c r="D2976"/>
      <c r="E2976">
        <v>9336</v>
      </c>
      <c r="F2976">
        <v>105</v>
      </c>
      <c r="G2976"/>
      <c r="H2976">
        <v>100</v>
      </c>
      <c r="I2976" t="inlineStr">
        <is>
          <t>拼豆</t>
        </is>
      </c>
      <c r="J2976" t="inlineStr">
        <is>
          <t>0.01</t>
        </is>
      </c>
      <c r="K2976" t="inlineStr">
        <is>
          <t>🔥低粉爆款</t>
        </is>
      </c>
      <c r="L2976" t="inlineStr">
        <is>
          <t>多八点的店</t>
        </is>
      </c>
      <c r="M2976">
        <v>2517</v>
      </c>
      <c r="N2976">
        <v>4.58</v>
      </c>
      <c r="O2976">
        <v>46000</v>
      </c>
      <c r="P2976" t="inlineStr">
        <is>
          <t>69856ba07db7d200011debe9</t>
        </is>
      </c>
      <c r="Q2976"/>
      <c r="R2976" t="inlineStr">
        <is>
          <t>14周</t>
        </is>
      </c>
      <c r="S2976" t="inlineStr">
        <is>
          <t>3.71</t>
        </is>
      </c>
      <c r="T2976" t="inlineStr">
        <is>
          <t>运动潮玩</t>
        </is>
      </c>
      <c r="U2976" t="inlineStr">
        <is>
          <t>潮玩手办</t>
        </is>
      </c>
      <c r="V2976" s="3">
        <v>46112.78107638889</v>
      </c>
      <c r="W2976" t="inlineStr">
        <is>
          <t>2026-Q1</t>
        </is>
      </c>
    </row>
    <row r="2977" ht="25.5" customHeight="1">
      <c r="A2977" t="inlineStr">
        <is>
          <t>【多色套餐】UNEEDE纯正广东拼豆无毛刺无高低豆无一掰就断</t>
        </is>
      </c>
      <c r="B2977" t="inlineStr">
        <is>
          <t>recveKOBkW5yKR.jpg</t>
        </is>
      </c>
      <c r="C2977" s="2" t="str">
        <f>=HYPERLINK("https://xhslink.com/m/810RkHjvMdk", "https://xhslink.com/m/810RkHjvMdk")</f>
        <v>https://xhslink.com/m/810RkHjvMdk</v>
      </c>
      <c r="D2977"/>
      <c r="E2977">
        <v>2218</v>
      </c>
      <c r="F2977">
        <v>219.9</v>
      </c>
      <c r="G2977"/>
      <c r="H2977">
        <v>100</v>
      </c>
      <c r="I2977" t="inlineStr">
        <is>
          <t>拼豆</t>
        </is>
      </c>
      <c r="J2977" t="inlineStr">
        <is>
          <t>0.05</t>
        </is>
      </c>
      <c r="K2977"/>
      <c r="L2977" t="inlineStr">
        <is>
          <t>UNEEDE拼豆的店</t>
        </is>
      </c>
      <c r="M2977">
        <v>9163</v>
      </c>
      <c r="N2977">
        <v>4.32</v>
      </c>
      <c r="O2977">
        <v>10000</v>
      </c>
      <c r="P2977" t="inlineStr">
        <is>
          <t>6969d3249727930001277571</t>
        </is>
      </c>
      <c r="Q2977"/>
      <c r="R2977" t="inlineStr">
        <is>
          <t>14周</t>
        </is>
      </c>
      <c r="S2977" t="inlineStr">
        <is>
          <t>0.24</t>
        </is>
      </c>
      <c r="T2977" t="inlineStr">
        <is>
          <t>运动潮玩</t>
        </is>
      </c>
      <c r="U2977" t="inlineStr">
        <is>
          <t>潮玩手办</t>
        </is>
      </c>
      <c r="V2977" s="3">
        <v>46112.78107638889</v>
      </c>
      <c r="W2977" t="inlineStr">
        <is>
          <t>2026-Q1</t>
        </is>
      </c>
    </row>
    <row r="2978" ht="25.5" customHeight="1">
      <c r="A2978" t="inlineStr">
        <is>
          <t>【橙子家】复古金属老钱风时尚欧美亚裔眼镜潮牌高级感显脸小墨镜</t>
        </is>
      </c>
      <c r="B2978" t="inlineStr">
        <is>
          <t>recveKOBkWnuKB.jpg</t>
        </is>
      </c>
      <c r="C2978" s="2" t="str">
        <f>=HYPERLINK("https://xhslink.com/m/4SsK6KAf8fh", "https://xhslink.com/m/4SsK6KAf8fh")</f>
        <v>https://xhslink.com/m/4SsK6KAf8fh</v>
      </c>
      <c r="D2978"/>
      <c r="E2978">
        <v>27000</v>
      </c>
      <c r="F2978">
        <v>36.8</v>
      </c>
      <c r="G2978"/>
      <c r="H2978">
        <v>100</v>
      </c>
      <c r="I2978" t="inlineStr">
        <is>
          <t>墨镜</t>
        </is>
      </c>
      <c r="J2978" t="inlineStr">
        <is>
          <t>0.00</t>
        </is>
      </c>
      <c r="K2978"/>
      <c r="L2978" t="inlineStr">
        <is>
          <t>多肉脸橙子的店的店</t>
        </is>
      </c>
      <c r="M2978">
        <v>82000</v>
      </c>
      <c r="N2978">
        <v>4.49</v>
      </c>
      <c r="O2978">
        <v>1289000</v>
      </c>
      <c r="P2978" t="inlineStr">
        <is>
          <t>688c623f86c0df0001279f5a</t>
        </is>
      </c>
      <c r="Q2978" t="inlineStr">
        <is>
          <t>🚫重复</t>
        </is>
      </c>
      <c r="R2978" t="inlineStr">
        <is>
          <t>14周</t>
        </is>
      </c>
      <c r="S2978" t="inlineStr">
        <is>
          <t>0.33</t>
        </is>
      </c>
      <c r="T2978" t="inlineStr">
        <is>
          <t>服饰穿搭</t>
        </is>
      </c>
      <c r="U2978" t="inlineStr">
        <is>
          <t>配饰</t>
        </is>
      </c>
      <c r="V2978" s="3">
        <v>46112.78107638889</v>
      </c>
      <c r="W2978" t="inlineStr">
        <is>
          <t>2026-Q1</t>
        </is>
      </c>
    </row>
    <row r="2979" ht="25.5" customHeight="1">
      <c r="A2979" t="inlineStr">
        <is>
          <t>复古辣妹网红猫眼墨镜高级感女夏季防晒街拍潮人男士偏光太阳眼镜</t>
        </is>
      </c>
      <c r="B2979" t="inlineStr">
        <is>
          <t>recveKOBkWRHtK.jpg</t>
        </is>
      </c>
      <c r="C2979" s="2" t="str">
        <f>=HYPERLINK("https://xhslink.com/m/97pFeds9vr2", "https://xhslink.com/m/97pFeds9vr2")</f>
        <v>https://xhslink.com/m/97pFeds9vr2</v>
      </c>
      <c r="D2979"/>
      <c r="E2979">
        <v>5184</v>
      </c>
      <c r="F2979">
        <v>35.9</v>
      </c>
      <c r="G2979"/>
      <c r="H2979">
        <v>100</v>
      </c>
      <c r="I2979" t="inlineStr">
        <is>
          <t>墨镜</t>
        </is>
      </c>
      <c r="J2979" t="inlineStr">
        <is>
          <t>0.02</t>
        </is>
      </c>
      <c r="K2979"/>
      <c r="L2979" t="inlineStr">
        <is>
          <t>金金的帽帽的店</t>
        </is>
      </c>
      <c r="M2979">
        <v>9274</v>
      </c>
      <c r="N2979">
        <v>4.46</v>
      </c>
      <c r="O2979">
        <v>58000</v>
      </c>
      <c r="P2979" t="inlineStr">
        <is>
          <t>683c50c34584bd0015736723</t>
        </is>
      </c>
      <c r="Q2979"/>
      <c r="R2979" t="inlineStr">
        <is>
          <t>14周</t>
        </is>
      </c>
      <c r="S2979" t="inlineStr">
        <is>
          <t>0.56</t>
        </is>
      </c>
      <c r="T2979" t="inlineStr">
        <is>
          <t>服饰穿搭</t>
        </is>
      </c>
      <c r="U2979" t="inlineStr">
        <is>
          <t>男装</t>
        </is>
      </c>
      <c r="V2979" s="3">
        <v>46112.78107638889</v>
      </c>
      <c r="W2979" t="inlineStr">
        <is>
          <t>2026-Q1</t>
        </is>
      </c>
    </row>
    <row r="2980" ht="25.5" customHeight="1">
      <c r="A2980" t="inlineStr">
        <is>
          <t>元气茯苓八珍足贴艾草足贴 睡眠植物艾灸 · 元气茯苓八珍足贴两盒60贴【实惠装】</t>
        </is>
      </c>
      <c r="B2980" t="inlineStr">
        <is>
          <t>recveKOBkW7uia.jpg</t>
        </is>
      </c>
      <c r="C2980" s="2" t="str">
        <f>=HYPERLINK("https://www.xiaohongshu.com/goods-detail/68ad437fec7fed0001ea2e24", "https://www.xiaohongshu.com/goods-detail/68ad437fec7fed0001ea2e24")</f>
        <v>https://www.xiaohongshu.com/goods-detail/68ad437fec7fed0001ea2e24</v>
      </c>
      <c r="D2980"/>
      <c r="E2980">
        <v>22000</v>
      </c>
      <c r="F2980">
        <v>33.8</v>
      </c>
      <c r="G2980">
        <v>19.8</v>
      </c>
      <c r="H2980">
        <v>100</v>
      </c>
      <c r="I2980" t="inlineStr">
        <is>
          <t>足贴</t>
        </is>
      </c>
      <c r="J2980" t="inlineStr">
        <is>
          <t>0.00</t>
        </is>
      </c>
      <c r="K2980" t="inlineStr">
        <is>
          <t>🔥低粉爆款</t>
        </is>
      </c>
      <c r="L2980" t="inlineStr">
        <is>
          <t>乔乔天天开心呀的店</t>
        </is>
      </c>
      <c r="M2980">
        <v>301</v>
      </c>
      <c r="N2980">
        <v>4.59</v>
      </c>
      <c r="O2980">
        <v>22000</v>
      </c>
      <c r="P2980" t="inlineStr">
        <is>
          <t>68ad437fec7fed0001ea2e24</t>
        </is>
      </c>
      <c r="Q2980"/>
      <c r="R2980" t="inlineStr">
        <is>
          <t>14周</t>
        </is>
      </c>
      <c r="S2980" t="inlineStr">
        <is>
          <t>73.09</t>
        </is>
      </c>
      <c r="T2980" t="inlineStr">
        <is>
          <t>家居生活</t>
        </is>
      </c>
      <c r="U2980" t="inlineStr">
        <is>
          <t>家具家装</t>
        </is>
      </c>
      <c r="V2980" s="3">
        <v>46112.78107638889</v>
      </c>
      <c r="W2980" t="inlineStr">
        <is>
          <t>2026-Q1</t>
        </is>
      </c>
    </row>
    <row r="2981" ht="25.5" customHeight="1">
      <c r="A2981" t="inlineStr">
        <is>
          <t>操心多上热下寒易上火，用吴茱萸涌泉贴晚贴早取 · 吴茱萸涌泉贴方形胶布 30贴/盒</t>
        </is>
      </c>
      <c r="B2981" t="inlineStr">
        <is>
          <t>recveKOBkW1l7Y.jpg</t>
        </is>
      </c>
      <c r="C2981" s="2" t="str">
        <f>=HYPERLINK("https://www.xiaohongshu.com/goods-detail/68249c7d529cff00015f0e6c", "https://www.xiaohongshu.com/goods-detail/68249c7d529cff00015f0e6c")</f>
        <v>https://www.xiaohongshu.com/goods-detail/68249c7d529cff00015f0e6c</v>
      </c>
      <c r="D2981"/>
      <c r="E2981">
        <v>14000</v>
      </c>
      <c r="F2981">
        <v>58.6</v>
      </c>
      <c r="G2981"/>
      <c r="H2981">
        <v>100</v>
      </c>
      <c r="I2981" t="inlineStr">
        <is>
          <t>足贴</t>
        </is>
      </c>
      <c r="J2981" t="inlineStr">
        <is>
          <t>0.01</t>
        </is>
      </c>
      <c r="K2981"/>
      <c r="L2981" t="inlineStr">
        <is>
          <t>艾灸16年的李艾琳的店</t>
        </is>
      </c>
      <c r="M2981">
        <v>321000</v>
      </c>
      <c r="N2981">
        <v>4.69</v>
      </c>
      <c r="O2981">
        <v>50000</v>
      </c>
      <c r="P2981" t="inlineStr">
        <is>
          <t>68249c7d529cff00015f0e6c</t>
        </is>
      </c>
      <c r="Q2981" t="inlineStr">
        <is>
          <t>🚫重复</t>
        </is>
      </c>
      <c r="R2981" t="inlineStr">
        <is>
          <t>14周</t>
        </is>
      </c>
      <c r="S2981" t="inlineStr">
        <is>
          <t>0.04</t>
        </is>
      </c>
      <c r="T2981" t="inlineStr">
        <is>
          <t>美妆个护</t>
        </is>
      </c>
      <c r="U2981" t="inlineStr">
        <is>
          <t>个人护理</t>
        </is>
      </c>
      <c r="V2981" s="3">
        <v>46112.78107638889</v>
      </c>
      <c r="W2981" t="inlineStr">
        <is>
          <t>2026-Q1</t>
        </is>
      </c>
    </row>
    <row r="2982" ht="25.5" customHeight="1">
      <c r="A2982" t="inlineStr">
        <is>
          <t>臻羞 · 维A酸维E霜去腋下黑关节黑PP黑大腿根黑色素沉着鸡皮肤痘印疤痕 · 维A酸+尿素维E 各3支【中度】</t>
        </is>
      </c>
      <c r="B2982" t="inlineStr">
        <is>
          <t>recveKOBkWdNyS.jpg</t>
        </is>
      </c>
      <c r="C2982" s="2" t="str">
        <f>=HYPERLINK("https://www.xiaohongshu.com/goods-detail/66a225d82612e800010eb3cc", "https://www.xiaohongshu.com/goods-detail/66a225d82612e800010eb3cc")</f>
        <v>https://www.xiaohongshu.com/goods-detail/66a225d82612e800010eb3cc</v>
      </c>
      <c r="D2982"/>
      <c r="E2982">
        <v>78000</v>
      </c>
      <c r="F2982">
        <v>65.8</v>
      </c>
      <c r="G2982">
        <v>39.8</v>
      </c>
      <c r="H2982">
        <v>100</v>
      </c>
      <c r="I2982" t="inlineStr">
        <is>
          <t>祛疤</t>
        </is>
      </c>
      <c r="J2982" t="inlineStr">
        <is>
          <t>0.00</t>
        </is>
      </c>
      <c r="K2982" t="inlineStr">
        <is>
          <t>🔥低粉爆款</t>
        </is>
      </c>
      <c r="L2982" t="inlineStr">
        <is>
          <t>倾城美护的店</t>
        </is>
      </c>
      <c r="M2982">
        <v>5528</v>
      </c>
      <c r="N2982">
        <v>4.51</v>
      </c>
      <c r="O2982">
        <v>133000</v>
      </c>
      <c r="P2982" t="inlineStr">
        <is>
          <t>66a225d82612e800010eb3cc</t>
        </is>
      </c>
      <c r="Q2982"/>
      <c r="R2982" t="inlineStr">
        <is>
          <t>14周</t>
        </is>
      </c>
      <c r="S2982" t="inlineStr">
        <is>
          <t>14.11</t>
        </is>
      </c>
      <c r="T2982" t="inlineStr">
        <is>
          <t>美妆个护</t>
        </is>
      </c>
      <c r="U2982" t="inlineStr">
        <is>
          <t>个人护理</t>
        </is>
      </c>
      <c r="V2982" s="3">
        <v>46112.78107638889</v>
      </c>
      <c r="W2982" t="inlineStr">
        <is>
          <t>2026-Q1</t>
        </is>
      </c>
    </row>
    <row r="2983" ht="25.5" customHeight="1">
      <c r="A2983" t="inlineStr">
        <is>
          <t>舒尔丹 · III 型人源化胶原蛋白疤痕修护凝胶预防疤痕及色素沉着无菌型医用 · 1支蛋白凝胶+1支硅酮凝胶+1盒祛疤帖</t>
        </is>
      </c>
      <c r="B2983" t="inlineStr">
        <is>
          <t>recveKOBkWW6Fy.jpg</t>
        </is>
      </c>
      <c r="C2983" s="2" t="str">
        <f>=HYPERLINK("https://www.xiaohongshu.com/goods-detail/67d16638bb9b9d00015838b9", "https://www.xiaohongshu.com/goods-detail/67d16638bb9b9d00015838b9")</f>
        <v>https://www.xiaohongshu.com/goods-detail/67d16638bb9b9d00015838b9</v>
      </c>
      <c r="D2983"/>
      <c r="E2983">
        <v>13000</v>
      </c>
      <c r="F2983">
        <v>198</v>
      </c>
      <c r="G2983"/>
      <c r="H2983">
        <v>100</v>
      </c>
      <c r="I2983" t="inlineStr">
        <is>
          <t>祛疤</t>
        </is>
      </c>
      <c r="J2983" t="inlineStr">
        <is>
          <t>0.01</t>
        </is>
      </c>
      <c r="K2983"/>
      <c r="L2983" t="inlineStr">
        <is>
          <t>舒尔丹百思达医疗器械专卖店</t>
        </is>
      </c>
      <c r="M2983">
        <v>10000</v>
      </c>
      <c r="N2983">
        <v>4.67</v>
      </c>
      <c r="O2983">
        <v>19000</v>
      </c>
      <c r="P2983" t="inlineStr">
        <is>
          <t>67d16638bb9b9d00015838b9</t>
        </is>
      </c>
      <c r="Q2983"/>
      <c r="R2983" t="inlineStr">
        <is>
          <t>14周</t>
        </is>
      </c>
      <c r="S2983" t="inlineStr">
        <is>
          <t>1.30</t>
        </is>
      </c>
      <c r="T2983" t="inlineStr">
        <is>
          <t>美妆个护</t>
        </is>
      </c>
      <c r="U2983" t="inlineStr">
        <is>
          <t>个人护理</t>
        </is>
      </c>
      <c r="V2983" s="3">
        <v>46112.78107638889</v>
      </c>
      <c r="W2983" t="inlineStr">
        <is>
          <t>2026-Q1</t>
        </is>
      </c>
    </row>
    <row r="2984" ht="25.5" customHeight="1">
      <c r="A2984" t="inlineStr">
        <is>
          <t>林间盏 · 【品牌主推】黄精桑葚膏丨熬夜 | 重新出发 | 九制黄精丨销量直增 · 【2瓶】2月量 | 坚持养</t>
        </is>
      </c>
      <c r="B2984" t="inlineStr">
        <is>
          <t>recveKOBkWxbOA.jpg</t>
        </is>
      </c>
      <c r="C2984" s="2" t="str">
        <f>=HYPERLINK("https://www.xiaohongshu.com/goods-detail/6549e6316140ab00016b6e98", "https://www.xiaohongshu.com/goods-detail/6549e6316140ab00016b6e98")</f>
        <v>https://www.xiaohongshu.com/goods-detail/6549e6316140ab00016b6e98</v>
      </c>
      <c r="D2984"/>
      <c r="E2984">
        <v>45000</v>
      </c>
      <c r="F2984">
        <v>396</v>
      </c>
      <c r="G2984">
        <v>348.48</v>
      </c>
      <c r="H2984">
        <v>100</v>
      </c>
      <c r="I2984" t="inlineStr">
        <is>
          <t>养身膏</t>
        </is>
      </c>
      <c r="J2984" t="inlineStr">
        <is>
          <t>0.00</t>
        </is>
      </c>
      <c r="K2984"/>
      <c r="L2984" t="inlineStr">
        <is>
          <t>林间盏旗舰店</t>
        </is>
      </c>
      <c r="M2984">
        <v>533000</v>
      </c>
      <c r="N2984">
        <v>4.56</v>
      </c>
      <c r="O2984">
        <v>506000</v>
      </c>
      <c r="P2984" t="inlineStr">
        <is>
          <t>6549e6316140ab00016b6e98</t>
        </is>
      </c>
      <c r="Q2984" t="inlineStr">
        <is>
          <t>🚫重复</t>
        </is>
      </c>
      <c r="R2984" t="inlineStr">
        <is>
          <t>14周</t>
        </is>
      </c>
      <c r="S2984" t="inlineStr">
        <is>
          <t>0.08</t>
        </is>
      </c>
      <c r="T2984" t="inlineStr">
        <is>
          <t>美食滋补</t>
        </is>
      </c>
      <c r="U2984" t="inlineStr">
        <is>
          <t>营养滋补</t>
        </is>
      </c>
      <c r="V2984" s="3">
        <v>46112.78107638889</v>
      </c>
      <c r="W2984" t="inlineStr">
        <is>
          <t>2026-Q1</t>
        </is>
      </c>
    </row>
    <row r="2985" ht="25.5" customHeight="1">
      <c r="A2985" t="inlineStr">
        <is>
          <t>玫瑰膏 | 300g | 拯救不开心 | 血瘀 | 豆豆 | 熬夜 | 舒月干膏 |</t>
        </is>
      </c>
      <c r="B2985" t="inlineStr">
        <is>
          <t>recveKOBkWZ49t.jpg</t>
        </is>
      </c>
      <c r="C2985" s="2" t="str">
        <f>=HYPERLINK("https://www.xiaohongshu.com/goods-detail/6705fe17b3c399000174857d", "https://www.xiaohongshu.com/goods-detail/6705fe17b3c399000174857d")</f>
        <v>https://www.xiaohongshu.com/goods-detail/6705fe17b3c399000174857d</v>
      </c>
      <c r="D2985"/>
      <c r="E2985">
        <v>30000</v>
      </c>
      <c r="F2985">
        <v>89</v>
      </c>
      <c r="G2985">
        <v>40</v>
      </c>
      <c r="H2985">
        <v>100</v>
      </c>
      <c r="I2985" t="inlineStr">
        <is>
          <t>养身膏</t>
        </is>
      </c>
      <c r="J2985" t="inlineStr">
        <is>
          <t>0.00</t>
        </is>
      </c>
      <c r="K2985" t="inlineStr">
        <is>
          <t>🔥低粉爆款</t>
        </is>
      </c>
      <c r="L2985" t="inlineStr">
        <is>
          <t>姜医食养的店</t>
        </is>
      </c>
      <c r="M2985">
        <v>10000</v>
      </c>
      <c r="N2985">
        <v>4.65</v>
      </c>
      <c r="O2985">
        <v>182000</v>
      </c>
      <c r="P2985" t="inlineStr">
        <is>
          <t>6705fe17b3c399000174857d</t>
        </is>
      </c>
      <c r="Q2985" t="inlineStr">
        <is>
          <t>🚫重复</t>
        </is>
      </c>
      <c r="R2985" t="inlineStr">
        <is>
          <t>14周</t>
        </is>
      </c>
      <c r="S2985" t="inlineStr">
        <is>
          <t>3.00</t>
        </is>
      </c>
      <c r="T2985" t="inlineStr">
        <is>
          <t>美食滋补</t>
        </is>
      </c>
      <c r="U2985" t="inlineStr">
        <is>
          <t>营养滋补</t>
        </is>
      </c>
      <c r="V2985" s="3">
        <v>46112.78107638889</v>
      </c>
      <c r="W2985" t="inlineStr">
        <is>
          <t>2026-Q1</t>
        </is>
      </c>
    </row>
    <row r="2986" ht="25.5" customHeight="1">
      <c r="A2986" t="inlineStr">
        <is>
          <t>2026可折叠挂脖两用手持便携小风扇超长续航数显USB充电 · N607高速风扇-象牙白 3600毫安（送挂绳+充电线）99%人选择🔥</t>
        </is>
      </c>
      <c r="B2986" t="inlineStr">
        <is>
          <t>recveKOBkWc9bh.jpg</t>
        </is>
      </c>
      <c r="C2986" s="2" t="str">
        <f>=HYPERLINK("https://www.xiaohongshu.com/goods-detail/6857fe83e6b46400159d95f2", "https://www.xiaohongshu.com/goods-detail/6857fe83e6b46400159d95f2")</f>
        <v>https://www.xiaohongshu.com/goods-detail/6857fe83e6b46400159d95f2</v>
      </c>
      <c r="D2986"/>
      <c r="E2986">
        <v>64000</v>
      </c>
      <c r="F2986">
        <v>68.8</v>
      </c>
      <c r="G2986">
        <v>27.8</v>
      </c>
      <c r="H2986">
        <v>100</v>
      </c>
      <c r="I2986" t="inlineStr">
        <is>
          <t>手持风扇</t>
        </is>
      </c>
      <c r="J2986" t="inlineStr">
        <is>
          <t>0.00</t>
        </is>
      </c>
      <c r="K2986" t="inlineStr">
        <is>
          <t>🔥低粉爆款</t>
        </is>
      </c>
      <c r="L2986" t="inlineStr">
        <is>
          <t>VINLK锐风的店</t>
        </is>
      </c>
      <c r="M2986">
        <v>3534</v>
      </c>
      <c r="N2986">
        <v>4.42</v>
      </c>
      <c r="O2986">
        <v>125000</v>
      </c>
      <c r="P2986" t="inlineStr">
        <is>
          <t>6857fe83e6b46400159d95f2</t>
        </is>
      </c>
      <c r="Q2986"/>
      <c r="R2986" t="inlineStr">
        <is>
          <t>14周</t>
        </is>
      </c>
      <c r="S2986" t="inlineStr">
        <is>
          <t>18.11</t>
        </is>
      </c>
      <c r="T2986" t="inlineStr">
        <is>
          <t>家居生活</t>
        </is>
      </c>
      <c r="U2986" t="inlineStr">
        <is>
          <t>家居日用</t>
        </is>
      </c>
      <c r="V2986" s="3">
        <v>46112.78107638889</v>
      </c>
      <c r="W2986" t="inlineStr">
        <is>
          <t>2026-Q1</t>
        </is>
      </c>
    </row>
    <row r="2987" ht="25.5" customHeight="1">
      <c r="A2987" t="inlineStr">
        <is>
          <t>夹子小风扇挂壁小型迷你手持电风扇家用宿舍风扇办公室桌面静音扇 · 🔥充电款【充插两用/三挡调节】【无刷电机更静音图书馆可用】</t>
        </is>
      </c>
      <c r="B2987" t="inlineStr">
        <is>
          <t>recveKOBkWHf5R.jpg</t>
        </is>
      </c>
      <c r="C2987" s="2" t="str">
        <f>=HYPERLINK("https://www.xiaohongshu.com/goods-detail/67eab71551259e0015d74870", "https://www.xiaohongshu.com/goods-detail/67eab71551259e0015d74870")</f>
        <v>https://www.xiaohongshu.com/goods-detail/67eab71551259e0015d74870</v>
      </c>
      <c r="D2987"/>
      <c r="E2987">
        <v>26000</v>
      </c>
      <c r="F2987">
        <v>60</v>
      </c>
      <c r="G2987">
        <v>29.8</v>
      </c>
      <c r="H2987">
        <v>100</v>
      </c>
      <c r="I2987" t="inlineStr">
        <is>
          <t>手持风扇</t>
        </is>
      </c>
      <c r="J2987" t="inlineStr">
        <is>
          <t>0.00</t>
        </is>
      </c>
      <c r="K2987" t="inlineStr">
        <is>
          <t>🔥低粉爆款</t>
        </is>
      </c>
      <c r="L2987" t="inlineStr">
        <is>
          <t>舒风来的店</t>
        </is>
      </c>
      <c r="M2987">
        <v>228</v>
      </c>
      <c r="N2987">
        <v>4.6</v>
      </c>
      <c r="O2987">
        <v>31000</v>
      </c>
      <c r="P2987" t="inlineStr">
        <is>
          <t>67eab71551259e0015d74870</t>
        </is>
      </c>
      <c r="Q2987"/>
      <c r="R2987" t="inlineStr">
        <is>
          <t>14周</t>
        </is>
      </c>
      <c r="S2987" t="inlineStr">
        <is>
          <t>114.04</t>
        </is>
      </c>
      <c r="T2987" t="inlineStr">
        <is>
          <t>运动潮玩</t>
        </is>
      </c>
      <c r="U2987" t="inlineStr">
        <is>
          <t>图书文创</t>
        </is>
      </c>
      <c r="V2987" s="3">
        <v>46112.78107638889</v>
      </c>
      <c r="W2987" t="inlineStr">
        <is>
          <t>2026-Q1</t>
        </is>
      </c>
    </row>
    <row r="2988" ht="25.5" customHeight="1">
      <c r="A2988" t="inlineStr">
        <is>
          <t>【限时5折秒杀】洗脱一体洗衣杯无线迷你洗衣机免安装内衣袜专用 · 紫色双杯【紫外线内衣除菌+洗脱一体+自动出水+六重防抖】</t>
        </is>
      </c>
      <c r="B2988" t="inlineStr">
        <is>
          <t>recveKOBkWBnYd.jpg</t>
        </is>
      </c>
      <c r="C2988" s="2" t="str">
        <f>=HYPERLINK("https://www.xiaohongshu.com/goods-detail/68e3def63f37a9000129316d", "https://www.xiaohongshu.com/goods-detail/68e3def63f37a9000129316d")</f>
        <v>https://www.xiaohongshu.com/goods-detail/68e3def63f37a9000129316d</v>
      </c>
      <c r="D2988"/>
      <c r="E2988">
        <v>17000</v>
      </c>
      <c r="F2988">
        <v>199.9</v>
      </c>
      <c r="G2988">
        <v>119.9</v>
      </c>
      <c r="H2988">
        <v>100</v>
      </c>
      <c r="I2988" t="inlineStr">
        <is>
          <t>迷你洗衣机</t>
        </is>
      </c>
      <c r="J2988" t="inlineStr">
        <is>
          <t>0.01</t>
        </is>
      </c>
      <c r="K2988" t="inlineStr">
        <is>
          <t>🔥低粉爆款</t>
        </is>
      </c>
      <c r="L2988" t="inlineStr">
        <is>
          <t>几岚创意的店</t>
        </is>
      </c>
      <c r="M2988">
        <v>424</v>
      </c>
      <c r="N2988">
        <v>4.55</v>
      </c>
      <c r="O2988">
        <v>25000</v>
      </c>
      <c r="P2988" t="inlineStr">
        <is>
          <t>68e3def63f37a9000129316d</t>
        </is>
      </c>
      <c r="Q2988"/>
      <c r="R2988" t="inlineStr">
        <is>
          <t>14周</t>
        </is>
      </c>
      <c r="S2988" t="inlineStr">
        <is>
          <t>40.09</t>
        </is>
      </c>
      <c r="T2988" t="inlineStr">
        <is>
          <t>家居生活</t>
        </is>
      </c>
      <c r="U2988" t="inlineStr">
        <is>
          <t>家居日用</t>
        </is>
      </c>
      <c r="V2988" s="3">
        <v>46112.78107638889</v>
      </c>
      <c r="W2988" t="inlineStr">
        <is>
          <t>2026-Q1</t>
        </is>
      </c>
    </row>
    <row r="2989" ht="25.5" customHeight="1">
      <c r="A2989" t="inlineStr">
        <is>
          <t>4L大容量自动洗脱一体内衣裤洗衣机迷你充电洗衣机内衣洗衣杯 · 浅紫色（免安装免插电+洗漂脱一体+蓝光）</t>
        </is>
      </c>
      <c r="B2989" t="inlineStr">
        <is>
          <t>recveKOBkW4kR6.jpg</t>
        </is>
      </c>
      <c r="C2989" s="2" t="str">
        <f>=HYPERLINK("https://www.xiaohongshu.com/goods-detail/693c487e266b950001403a53", "https://www.xiaohongshu.com/goods-detail/693c487e266b950001403a53")</f>
        <v>https://www.xiaohongshu.com/goods-detail/693c487e266b950001403a53</v>
      </c>
      <c r="D2989"/>
      <c r="E2989">
        <v>5967</v>
      </c>
      <c r="F2989">
        <v>298</v>
      </c>
      <c r="G2989">
        <v>129.9</v>
      </c>
      <c r="H2989">
        <v>100</v>
      </c>
      <c r="I2989" t="inlineStr">
        <is>
          <t>迷你洗衣机</t>
        </is>
      </c>
      <c r="J2989" t="inlineStr">
        <is>
          <t>0.02</t>
        </is>
      </c>
      <c r="K2989" t="inlineStr">
        <is>
          <t>🔥低粉爆款</t>
        </is>
      </c>
      <c r="L2989" t="inlineStr">
        <is>
          <t>明熙生活的店</t>
        </is>
      </c>
      <c r="M2989">
        <v>180</v>
      </c>
      <c r="N2989">
        <v>4.46</v>
      </c>
      <c r="O2989">
        <v>6571</v>
      </c>
      <c r="P2989" t="inlineStr">
        <is>
          <t>693c487e266b950001403a53</t>
        </is>
      </c>
      <c r="Q2989"/>
      <c r="R2989" t="inlineStr">
        <is>
          <t>14周</t>
        </is>
      </c>
      <c r="S2989" t="inlineStr">
        <is>
          <t>33.15</t>
        </is>
      </c>
      <c r="T2989" t="inlineStr">
        <is>
          <t>家居生活</t>
        </is>
      </c>
      <c r="U2989" t="inlineStr">
        <is>
          <t>家居日用</t>
        </is>
      </c>
      <c r="V2989" s="3">
        <v>46112.78107638889</v>
      </c>
      <c r="W2989" t="inlineStr">
        <is>
          <t>2026-Q1</t>
        </is>
      </c>
    </row>
    <row r="2990" ht="25.5" customHeight="1">
      <c r="A2990" t="inlineStr">
        <is>
          <t>春夏秋季新款美式工装裤女高腰抽绳束脚裤显廋垂落感运动阔腿长裤</t>
        </is>
      </c>
      <c r="B2990" t="inlineStr">
        <is>
          <t>recveKOBkW6GDb.jpg</t>
        </is>
      </c>
      <c r="C2990" s="2" t="str">
        <f>=HYPERLINK("https://xhslink.com/m/A9b3SkBTiZz", "https://xhslink.com/m/A9b3SkBTiZz")</f>
        <v>https://xhslink.com/m/A9b3SkBTiZz</v>
      </c>
      <c r="D2990"/>
      <c r="E2990">
        <v>32000</v>
      </c>
      <c r="F2990">
        <v>99.9</v>
      </c>
      <c r="G2990">
        <v>69.9</v>
      </c>
      <c r="H2990">
        <v>100</v>
      </c>
      <c r="I2990" t="inlineStr">
        <is>
          <t>运动裤</t>
        </is>
      </c>
      <c r="J2990" t="inlineStr">
        <is>
          <t>0.00</t>
        </is>
      </c>
      <c r="K2990" t="inlineStr">
        <is>
          <t>🔥低粉爆款</t>
        </is>
      </c>
      <c r="L2990" t="inlineStr">
        <is>
          <t>拾 九的店</t>
        </is>
      </c>
      <c r="M2990">
        <v>1237</v>
      </c>
      <c r="N2990">
        <v>4.57</v>
      </c>
      <c r="O2990">
        <v>36000</v>
      </c>
      <c r="P2990" t="inlineStr">
        <is>
          <t>666073edbcc28000018c9c87</t>
        </is>
      </c>
      <c r="Q2990" t="inlineStr">
        <is>
          <t>🚫重复</t>
        </is>
      </c>
      <c r="R2990" t="inlineStr">
        <is>
          <t>14周</t>
        </is>
      </c>
      <c r="S2990" t="inlineStr">
        <is>
          <t>25.87</t>
        </is>
      </c>
      <c r="T2990" t="inlineStr">
        <is>
          <t>服饰穿搭</t>
        </is>
      </c>
      <c r="U2990" t="inlineStr">
        <is>
          <t>女装</t>
        </is>
      </c>
      <c r="V2990" s="3">
        <v>46112.78107638889</v>
      </c>
      <c r="W2990" t="inlineStr">
        <is>
          <t>2026-Q1</t>
        </is>
      </c>
    </row>
    <row r="2991" ht="25.5" customHeight="1">
      <c r="A2991" t="inlineStr">
        <is>
          <t>美式工装裤春夏季爬山穿搭女装复古休闲直筒阔腿裤高腰休闲运动裤</t>
        </is>
      </c>
      <c r="B2991" t="inlineStr">
        <is>
          <t>recveKOBkWqo22.jpg</t>
        </is>
      </c>
      <c r="C2991" s="2" t="str">
        <f>=HYPERLINK("https://xhslink.com/m/44XF36MwNkq", "https://xhslink.com/m/44XF36MwNkq")</f>
        <v>https://xhslink.com/m/44XF36MwNkq</v>
      </c>
      <c r="D2991"/>
      <c r="E2991">
        <v>23000</v>
      </c>
      <c r="F2991">
        <v>89</v>
      </c>
      <c r="G2991">
        <v>88</v>
      </c>
      <c r="H2991">
        <v>100</v>
      </c>
      <c r="I2991" t="inlineStr">
        <is>
          <t>运动裤</t>
        </is>
      </c>
      <c r="J2991" t="inlineStr">
        <is>
          <t>0.00</t>
        </is>
      </c>
      <c r="K2991" t="inlineStr">
        <is>
          <t>🔥低粉爆款</t>
        </is>
      </c>
      <c r="L2991" t="inlineStr">
        <is>
          <t>允樱儿的店</t>
        </is>
      </c>
      <c r="M2991">
        <v>978</v>
      </c>
      <c r="N2991">
        <v>4.67</v>
      </c>
      <c r="O2991">
        <v>37000</v>
      </c>
      <c r="P2991" t="inlineStr">
        <is>
          <t>6641c47f42613d0001e1cf2c</t>
        </is>
      </c>
      <c r="Q2991" t="inlineStr">
        <is>
          <t>🚫重复</t>
        </is>
      </c>
      <c r="R2991" t="inlineStr">
        <is>
          <t>14周</t>
        </is>
      </c>
      <c r="S2991" t="inlineStr">
        <is>
          <t>23.52</t>
        </is>
      </c>
      <c r="T2991" t="inlineStr">
        <is>
          <t>服饰穿搭</t>
        </is>
      </c>
      <c r="U2991" t="inlineStr">
        <is>
          <t>女装</t>
        </is>
      </c>
      <c r="V2991" s="3">
        <v>46112.78107638889</v>
      </c>
      <c r="W2991" t="inlineStr">
        <is>
          <t>2026-Q1</t>
        </is>
      </c>
    </row>
    <row r="2992" ht="25.5" customHeight="1">
      <c r="A2992" t="inlineStr">
        <is>
          <t>口碑元厂单｜Dan*e stud*o口袋工装裤薄款速干显瘦运动长裤丢丢裤</t>
        </is>
      </c>
      <c r="B2992" t="inlineStr">
        <is>
          <t>recveKOBkWyHAW.jpg</t>
        </is>
      </c>
      <c r="C2992" s="2" t="str">
        <f>=HYPERLINK("https://xhslink.com/m/4EQLQMSzPUO", "https://xhslink.com/m/4EQLQMSzPUO")</f>
        <v>https://xhslink.com/m/4EQLQMSzPUO</v>
      </c>
      <c r="D2992"/>
      <c r="E2992">
        <v>19000</v>
      </c>
      <c r="F2992">
        <v>259.9</v>
      </c>
      <c r="G2992">
        <v>159</v>
      </c>
      <c r="H2992">
        <v>100</v>
      </c>
      <c r="I2992" t="inlineStr">
        <is>
          <t>运动裤</t>
        </is>
      </c>
      <c r="J2992" t="inlineStr">
        <is>
          <t>0.01</t>
        </is>
      </c>
      <c r="K2992"/>
      <c r="L2992" t="inlineStr">
        <is>
          <t>阿彩妮的店</t>
        </is>
      </c>
      <c r="M2992">
        <v>20000</v>
      </c>
      <c r="N2992">
        <v>4.44</v>
      </c>
      <c r="O2992">
        <v>111000</v>
      </c>
      <c r="P2992" t="inlineStr">
        <is>
          <t>684274ea4584bd001525b93c</t>
        </is>
      </c>
      <c r="Q2992" t="inlineStr">
        <is>
          <t>🚫重复</t>
        </is>
      </c>
      <c r="R2992" t="inlineStr">
        <is>
          <t>14周</t>
        </is>
      </c>
      <c r="S2992" t="inlineStr">
        <is>
          <t>0.95</t>
        </is>
      </c>
      <c r="T2992" t="inlineStr">
        <is>
          <t>服饰穿搭</t>
        </is>
      </c>
      <c r="U2992" t="inlineStr">
        <is>
          <t>女装</t>
        </is>
      </c>
      <c r="V2992" s="3">
        <v>46112.78107638889</v>
      </c>
      <c r="W2992" t="inlineStr">
        <is>
          <t>2026-Q1</t>
        </is>
      </c>
    </row>
    <row r="2993" ht="25.5" customHeight="1">
      <c r="A2993" t="inlineStr">
        <is>
          <t>美式复古风工装裤女秋夏高腰阔腿裤卫裤直筒可束脚抽绳速干运动裤</t>
        </is>
      </c>
      <c r="B2993" t="inlineStr">
        <is>
          <t>recveKOBkWzrpM.jpg</t>
        </is>
      </c>
      <c r="C2993" s="2" t="str">
        <f>=HYPERLINK("https://xhslink.com/m/8mcB8sUWbFC", "https://xhslink.com/m/8mcB8sUWbFC")</f>
        <v>https://xhslink.com/m/8mcB8sUWbFC</v>
      </c>
      <c r="D2993"/>
      <c r="E2993">
        <v>25000</v>
      </c>
      <c r="F2993">
        <v>89</v>
      </c>
      <c r="G2993">
        <v>88</v>
      </c>
      <c r="H2993">
        <v>100</v>
      </c>
      <c r="I2993" t="inlineStr">
        <is>
          <t>运动裤</t>
        </is>
      </c>
      <c r="J2993" t="inlineStr">
        <is>
          <t>0.00</t>
        </is>
      </c>
      <c r="K2993" t="inlineStr">
        <is>
          <t>🔥低粉爆款</t>
        </is>
      </c>
      <c r="L2993" t="inlineStr">
        <is>
          <t>小羊七七的店</t>
        </is>
      </c>
      <c r="M2993">
        <v>2039</v>
      </c>
      <c r="N2993">
        <v>4.69</v>
      </c>
      <c r="O2993">
        <v>31000</v>
      </c>
      <c r="P2993" t="inlineStr">
        <is>
          <t>66a37d0d3338e800018a5ec6</t>
        </is>
      </c>
      <c r="Q2993" t="inlineStr">
        <is>
          <t>🚫重复</t>
        </is>
      </c>
      <c r="R2993" t="inlineStr">
        <is>
          <t>14周</t>
        </is>
      </c>
      <c r="S2993" t="inlineStr">
        <is>
          <t>12.26</t>
        </is>
      </c>
      <c r="T2993" t="inlineStr">
        <is>
          <t>服饰穿搭</t>
        </is>
      </c>
      <c r="U2993" t="inlineStr">
        <is>
          <t>女装</t>
        </is>
      </c>
      <c r="V2993" s="3">
        <v>46112.78107638889</v>
      </c>
      <c r="W2993" t="inlineStr">
        <is>
          <t>2026-Q1</t>
        </is>
      </c>
    </row>
    <row r="2994" ht="25.5" customHeight="1">
      <c r="A2994" t="inlineStr">
        <is>
          <t>工装裤女美式复古百搭阔腿裤夏季新款垂感宽松显瘦休闲运动裤</t>
        </is>
      </c>
      <c r="B2994" t="inlineStr">
        <is>
          <t>recveKOBkWE5NE.jpg</t>
        </is>
      </c>
      <c r="C2994" s="2" t="str">
        <f>=HYPERLINK("https://xhslink.com/m/tev2b8mo01", "https://xhslink.com/m/tev2b8mo01")</f>
        <v>https://xhslink.com/m/tev2b8mo01</v>
      </c>
      <c r="D2994"/>
      <c r="E2994">
        <v>94000</v>
      </c>
      <c r="F2994">
        <v>79.9</v>
      </c>
      <c r="G2994"/>
      <c r="H2994">
        <v>100</v>
      </c>
      <c r="I2994" t="inlineStr">
        <is>
          <t>运动裤</t>
        </is>
      </c>
      <c r="J2994" t="inlineStr">
        <is>
          <t>0.00</t>
        </is>
      </c>
      <c r="K2994" t="inlineStr">
        <is>
          <t>🔥低粉爆款</t>
        </is>
      </c>
      <c r="L2994" t="inlineStr">
        <is>
          <t>猫猫不耶的店</t>
        </is>
      </c>
      <c r="M2994">
        <v>22000</v>
      </c>
      <c r="N2994">
        <v>4.36</v>
      </c>
      <c r="O2994">
        <v>390000</v>
      </c>
      <c r="P2994" t="inlineStr">
        <is>
          <t>666e9718a9c8b700012f839c</t>
        </is>
      </c>
      <c r="Q2994" t="inlineStr">
        <is>
          <t>🚫重复</t>
        </is>
      </c>
      <c r="R2994" t="inlineStr">
        <is>
          <t>14周</t>
        </is>
      </c>
      <c r="S2994" t="inlineStr">
        <is>
          <t>4.27</t>
        </is>
      </c>
      <c r="T2994" t="inlineStr">
        <is>
          <t>服饰穿搭</t>
        </is>
      </c>
      <c r="U2994" t="inlineStr">
        <is>
          <t>女装</t>
        </is>
      </c>
      <c r="V2994" s="3">
        <v>46112.78107638889</v>
      </c>
      <c r="W2994" t="inlineStr">
        <is>
          <t>2026-Q1</t>
        </is>
      </c>
    </row>
    <row r="2995" ht="25.5" customHeight="1">
      <c r="A2995" t="inlineStr">
        <is>
          <t>【前3万单立减30】天丝牛仔裤2026高腰春夏新垂感休闲运动裤</t>
        </is>
      </c>
      <c r="B2995" t="inlineStr">
        <is>
          <t>recveKOBkWd4TX.jpg</t>
        </is>
      </c>
      <c r="C2995" s="2" t="str">
        <f>=HYPERLINK("https://xhslink.com/m/47579bCnken", "https://xhslink.com/m/47579bCnken")</f>
        <v>https://xhslink.com/m/47579bCnken</v>
      </c>
      <c r="D2995"/>
      <c r="E2995">
        <v>24000</v>
      </c>
      <c r="F2995">
        <v>89.9</v>
      </c>
      <c r="G2995">
        <v>59.9</v>
      </c>
      <c r="H2995">
        <v>100</v>
      </c>
      <c r="I2995" t="inlineStr">
        <is>
          <t>运动裤</t>
        </is>
      </c>
      <c r="J2995" t="inlineStr">
        <is>
          <t>0.00</t>
        </is>
      </c>
      <c r="K2995"/>
      <c r="L2995" t="inlineStr">
        <is>
          <t>舟北北服饰的店</t>
        </is>
      </c>
      <c r="M2995">
        <v>16000</v>
      </c>
      <c r="N2995">
        <v>4.5</v>
      </c>
      <c r="O2995">
        <v>328000</v>
      </c>
      <c r="P2995" t="inlineStr">
        <is>
          <t>67de1dc7132df900013c116f</t>
        </is>
      </c>
      <c r="Q2995" t="inlineStr">
        <is>
          <t>🚫重复</t>
        </is>
      </c>
      <c r="R2995" t="inlineStr">
        <is>
          <t>14周</t>
        </is>
      </c>
      <c r="S2995" t="inlineStr">
        <is>
          <t>1.50</t>
        </is>
      </c>
      <c r="T2995" t="inlineStr">
        <is>
          <t>服饰穿搭</t>
        </is>
      </c>
      <c r="U2995" t="inlineStr">
        <is>
          <t>女装</t>
        </is>
      </c>
      <c r="V2995" s="3">
        <v>46112.78107638889</v>
      </c>
      <c r="W2995" t="inlineStr">
        <is>
          <t>2026-Q1</t>
        </is>
      </c>
    </row>
    <row r="2996" ht="25.5" customHeight="1">
      <c r="A2996" t="inlineStr">
        <is>
          <t>灰色阔腿裤女秋季2025新款窄版高腰宽松垂感休闲瑜伽运动卫裤</t>
        </is>
      </c>
      <c r="B2996" t="inlineStr">
        <is>
          <t>recveKOBkWwli8.jpg</t>
        </is>
      </c>
      <c r="C2996" s="2" t="str">
        <f>=HYPERLINK("https://xhslink.com/m/9Hpk2NnCsaM", "https://xhslink.com/m/9Hpk2NnCsaM")</f>
        <v>https://xhslink.com/m/9Hpk2NnCsaM</v>
      </c>
      <c r="D2996"/>
      <c r="E2996">
        <v>33000</v>
      </c>
      <c r="F2996">
        <v>99</v>
      </c>
      <c r="G2996"/>
      <c r="H2996">
        <v>100</v>
      </c>
      <c r="I2996" t="inlineStr">
        <is>
          <t>运动裤</t>
        </is>
      </c>
      <c r="J2996" t="inlineStr">
        <is>
          <t>0.00</t>
        </is>
      </c>
      <c r="K2996" t="inlineStr">
        <is>
          <t>🔥低粉爆款</t>
        </is>
      </c>
      <c r="L2996" t="inlineStr">
        <is>
          <t>酸奶玉米汤的店</t>
        </is>
      </c>
      <c r="M2996">
        <v>2318</v>
      </c>
      <c r="N2996">
        <v>4.68</v>
      </c>
      <c r="O2996">
        <v>51000</v>
      </c>
      <c r="P2996" t="inlineStr">
        <is>
          <t>68f6de013f37a90001c245b4</t>
        </is>
      </c>
      <c r="Q2996" t="inlineStr">
        <is>
          <t>🚫重复</t>
        </is>
      </c>
      <c r="R2996" t="inlineStr">
        <is>
          <t>14周</t>
        </is>
      </c>
      <c r="S2996" t="inlineStr">
        <is>
          <t>14.24</t>
        </is>
      </c>
      <c r="T2996" t="inlineStr">
        <is>
          <t>服饰穿搭</t>
        </is>
      </c>
      <c r="U2996" t="inlineStr">
        <is>
          <t>女装</t>
        </is>
      </c>
      <c r="V2996" s="3">
        <v>46112.78107638889</v>
      </c>
      <c r="W2996" t="inlineStr">
        <is>
          <t>2026-Q1</t>
        </is>
      </c>
    </row>
    <row r="2997" ht="25.5" customHeight="1">
      <c r="A2997" t="inlineStr">
        <is>
          <t>VIKIUIKI · 春夏裸感高腰喇叭裤提臀显瘦阔腿裤微喇瑜伽裤健身舞蹈运动裤女</t>
        </is>
      </c>
      <c r="B2997" t="inlineStr">
        <is>
          <t>recveKOBkWvbWE.jpg</t>
        </is>
      </c>
      <c r="C2997" s="2" t="str">
        <f>=HYPERLINK("https://xhslink.com/m/1Klykl2yu5n", "https://xhslink.com/m/1Klykl2yu5n")</f>
        <v>https://xhslink.com/m/1Klykl2yu5n</v>
      </c>
      <c r="D2997"/>
      <c r="E2997">
        <v>16000</v>
      </c>
      <c r="F2997">
        <v>114.99</v>
      </c>
      <c r="G2997">
        <v>94.99</v>
      </c>
      <c r="H2997">
        <v>100</v>
      </c>
      <c r="I2997" t="inlineStr">
        <is>
          <t>运动裤</t>
        </is>
      </c>
      <c r="J2997" t="inlineStr">
        <is>
          <t>0.01</t>
        </is>
      </c>
      <c r="K2997"/>
      <c r="L2997" t="inlineStr">
        <is>
          <t>ViKiUiKI-运动服饰的店</t>
        </is>
      </c>
      <c r="M2997">
        <v>51000</v>
      </c>
      <c r="N2997">
        <v>4.62</v>
      </c>
      <c r="O2997">
        <v>277000</v>
      </c>
      <c r="P2997" t="inlineStr">
        <is>
          <t>66c8325d6ce95d0001cc9f0d</t>
        </is>
      </c>
      <c r="Q2997"/>
      <c r="R2997" t="inlineStr">
        <is>
          <t>14周</t>
        </is>
      </c>
      <c r="S2997" t="inlineStr">
        <is>
          <t>0.31</t>
        </is>
      </c>
      <c r="T2997" t="inlineStr">
        <is>
          <t>服饰穿搭</t>
        </is>
      </c>
      <c r="U2997" t="inlineStr">
        <is>
          <t>女装</t>
        </is>
      </c>
      <c r="V2997" s="3">
        <v>46112.78107638889</v>
      </c>
      <c r="W2997" t="inlineStr">
        <is>
          <t>2026-Q1</t>
        </is>
      </c>
    </row>
    <row r="2998" ht="25.5" customHeight="1">
      <c r="A2998" t="inlineStr">
        <is>
          <t>23宽松透气直筒垂感运动裤女高腰显瘦普拉提跑步训练瑜伽健身长裤</t>
        </is>
      </c>
      <c r="B2998" t="inlineStr">
        <is>
          <t>recveKOBkW3mRB.jpg</t>
        </is>
      </c>
      <c r="C2998" s="2" t="str">
        <f>=HYPERLINK("https://xhslink.com/m/8UF8MWdbUSp", "https://xhslink.com/m/8UF8MWdbUSp")</f>
        <v>https://xhslink.com/m/8UF8MWdbUSp</v>
      </c>
      <c r="D2998"/>
      <c r="E2998">
        <v>19000</v>
      </c>
      <c r="F2998">
        <v>59.99</v>
      </c>
      <c r="G2998"/>
      <c r="H2998">
        <v>100</v>
      </c>
      <c r="I2998" t="inlineStr">
        <is>
          <t>运动裤</t>
        </is>
      </c>
      <c r="J2998" t="inlineStr">
        <is>
          <t>0.01</t>
        </is>
      </c>
      <c r="K2998"/>
      <c r="L2998" t="inlineStr">
        <is>
          <t>瑜伽少女Yoga的店</t>
        </is>
      </c>
      <c r="M2998">
        <v>10000</v>
      </c>
      <c r="N2998">
        <v>4.72</v>
      </c>
      <c r="O2998">
        <v>244000</v>
      </c>
      <c r="P2998" t="inlineStr">
        <is>
          <t>68bce8b38f53130001b191b0</t>
        </is>
      </c>
      <c r="Q2998" t="inlineStr">
        <is>
          <t>🚫重复</t>
        </is>
      </c>
      <c r="R2998" t="inlineStr">
        <is>
          <t>14周</t>
        </is>
      </c>
      <c r="S2998" t="inlineStr">
        <is>
          <t>1.90</t>
        </is>
      </c>
      <c r="T2998" t="inlineStr">
        <is>
          <t>运动潮玩</t>
        </is>
      </c>
      <c r="U2998" t="inlineStr">
        <is>
          <t>运动户外装备</t>
        </is>
      </c>
      <c r="V2998" s="3">
        <v>46112.78107638889</v>
      </c>
      <c r="W2998" t="inlineStr">
        <is>
          <t>2026-Q1</t>
        </is>
      </c>
    </row>
    <row r="2999" ht="25.5" customHeight="1">
      <c r="A2999" t="inlineStr">
        <is>
          <t>高个子微喇裤女165-190加超长秋冬阔腿灰色春夏薄款喇叭运动卫裤</t>
        </is>
      </c>
      <c r="B2999" t="inlineStr">
        <is>
          <t>recveKOBkWJOCy.jpg</t>
        </is>
      </c>
      <c r="C2999" s="2" t="str">
        <f>=HYPERLINK("https://xhslink.com/m/8FgY7q749cj", "https://xhslink.com/m/8FgY7q749cj")</f>
        <v>https://xhslink.com/m/8FgY7q749cj</v>
      </c>
      <c r="D2999"/>
      <c r="E2999">
        <v>17000</v>
      </c>
      <c r="F2999">
        <v>199</v>
      </c>
      <c r="G2999">
        <v>167.16</v>
      </c>
      <c r="H2999">
        <v>100</v>
      </c>
      <c r="I2999" t="inlineStr">
        <is>
          <t>运动裤</t>
        </is>
      </c>
      <c r="J2999" t="inlineStr">
        <is>
          <t>0.01</t>
        </is>
      </c>
      <c r="K2999"/>
      <c r="L2999" t="inlineStr">
        <is>
          <t>west jack服饰的店</t>
        </is>
      </c>
      <c r="M2999">
        <v>15000</v>
      </c>
      <c r="N2999">
        <v>4.63</v>
      </c>
      <c r="O2999">
        <v>144000</v>
      </c>
      <c r="P2999" t="inlineStr">
        <is>
          <t>68eb2299e0f3b2000128c2ca</t>
        </is>
      </c>
      <c r="Q2999"/>
      <c r="R2999" t="inlineStr">
        <is>
          <t>14周</t>
        </is>
      </c>
      <c r="S2999" t="inlineStr">
        <is>
          <t>1.13</t>
        </is>
      </c>
      <c r="T2999" t="inlineStr">
        <is>
          <t>服饰穿搭</t>
        </is>
      </c>
      <c r="U2999" t="inlineStr">
        <is>
          <t>女装</t>
        </is>
      </c>
      <c r="V2999" s="3">
        <v>46112.78107638889</v>
      </c>
      <c r="W2999" t="inlineStr">
        <is>
          <t>2026-Q1</t>
        </is>
      </c>
    </row>
    <row r="3000" ht="25.5" customHeight="1">
      <c r="A3000" t="inlineStr">
        <is>
          <t>美式工装裤女士高级感裤子女春秋高腰阔腿卫裤直筒休闲运动裤长裤</t>
        </is>
      </c>
      <c r="B3000" t="inlineStr">
        <is>
          <t>recveKOBkW6gnq.jpg</t>
        </is>
      </c>
      <c r="C3000" s="2" t="str">
        <f>=HYPERLINK("https://xhslink.com/m/8i2VuNe97uf", "https://xhslink.com/m/8i2VuNe97uf")</f>
        <v>https://xhslink.com/m/8i2VuNe97uf</v>
      </c>
      <c r="D3000"/>
      <c r="E3000">
        <v>3410</v>
      </c>
      <c r="F3000">
        <v>149.9</v>
      </c>
      <c r="G3000">
        <v>89.9</v>
      </c>
      <c r="H3000">
        <v>100</v>
      </c>
      <c r="I3000" t="inlineStr">
        <is>
          <t>运动裤</t>
        </is>
      </c>
      <c r="J3000" t="inlineStr">
        <is>
          <t>0.03</t>
        </is>
      </c>
      <c r="K3000" t="inlineStr">
        <is>
          <t>🔥低粉爆款</t>
        </is>
      </c>
      <c r="L3000" t="inlineStr">
        <is>
          <t>芭蕉公主Oo。的店</t>
        </is>
      </c>
      <c r="M3000">
        <v>281</v>
      </c>
      <c r="N3000">
        <v>4.58</v>
      </c>
      <c r="O3000">
        <v>3777</v>
      </c>
      <c r="P3000" t="inlineStr">
        <is>
          <t>684494ca6d191000016489dc</t>
        </is>
      </c>
      <c r="Q3000" t="inlineStr">
        <is>
          <t>🚫重复</t>
        </is>
      </c>
      <c r="R3000" t="inlineStr">
        <is>
          <t>14周</t>
        </is>
      </c>
      <c r="S3000" t="inlineStr">
        <is>
          <t>12.14</t>
        </is>
      </c>
      <c r="T3000" t="inlineStr">
        <is>
          <t>服饰穿搭</t>
        </is>
      </c>
      <c r="U3000" t="inlineStr">
        <is>
          <t>女装</t>
        </is>
      </c>
      <c r="V3000" s="3">
        <v>46112.78107638889</v>
      </c>
      <c r="W3000" t="inlineStr">
        <is>
          <t>2026-Q1</t>
        </is>
      </c>
    </row>
    <row r="3001" ht="25.5" customHeight="1">
      <c r="A3001" t="inlineStr">
        <is>
          <t>妮妮NINY/版型无敌！弯刀裤薄棉柔软低腰显高显瘦宽松休闲运动裤</t>
        </is>
      </c>
      <c r="B3001" t="inlineStr">
        <is>
          <t>recveKOBkWMnSd.jpg</t>
        </is>
      </c>
      <c r="C3001" s="2" t="str">
        <f>=HYPERLINK("https://xhslink.com/m/1T9CC5SWpYe", "https://xhslink.com/m/1T9CC5SWpYe")</f>
        <v>https://xhslink.com/m/1T9CC5SWpYe</v>
      </c>
      <c r="D3001"/>
      <c r="E3001">
        <v>2579</v>
      </c>
      <c r="F3001">
        <v>129</v>
      </c>
      <c r="G3001">
        <v>126</v>
      </c>
      <c r="H3001">
        <v>100</v>
      </c>
      <c r="I3001" t="inlineStr">
        <is>
          <t>运动裤</t>
        </is>
      </c>
      <c r="J3001" t="inlineStr">
        <is>
          <t>0.04</t>
        </is>
      </c>
      <c r="K3001"/>
      <c r="L3001" t="inlineStr">
        <is>
          <t>妮妮NINY妮的店</t>
        </is>
      </c>
      <c r="M3001">
        <v>106000</v>
      </c>
      <c r="N3001">
        <v>4.71</v>
      </c>
      <c r="O3001">
        <v>21000</v>
      </c>
      <c r="P3001" t="inlineStr">
        <is>
          <t>68ee5c3df8d1f00001a7b720</t>
        </is>
      </c>
      <c r="Q3001" t="inlineStr">
        <is>
          <t>🚫重复</t>
        </is>
      </c>
      <c r="R3001" t="inlineStr">
        <is>
          <t>14周</t>
        </is>
      </c>
      <c r="S3001" t="inlineStr">
        <is>
          <t>0.02</t>
        </is>
      </c>
      <c r="T3001" t="inlineStr">
        <is>
          <t>运动潮玩</t>
        </is>
      </c>
      <c r="U3001" t="inlineStr">
        <is>
          <t>运动户外装备</t>
        </is>
      </c>
      <c r="V3001" s="3">
        <v>46112.78107638889</v>
      </c>
      <c r="W3001" t="inlineStr">
        <is>
          <t>2026-Q1</t>
        </is>
      </c>
    </row>
    <row r="3002" ht="25.5" customHeight="1">
      <c r="A3002" t="inlineStr">
        <is>
          <t>【前3万单立减30】浅蓝色卷边长袖T恤2024防晒罩衫早秋休闲运动T</t>
        </is>
      </c>
      <c r="B3002" t="inlineStr">
        <is>
          <t>recveKOBkWpp5o.jpg</t>
        </is>
      </c>
      <c r="C3002" s="2" t="str">
        <f>=HYPERLINK("https://xhslink.com/m/98hBc5qMNGM", "https://xhslink.com/m/98hBc5qMNGM")</f>
        <v>https://xhslink.com/m/98hBc5qMNGM</v>
      </c>
      <c r="D3002"/>
      <c r="E3002">
        <v>31000</v>
      </c>
      <c r="F3002">
        <v>69.9</v>
      </c>
      <c r="G3002">
        <v>39.9</v>
      </c>
      <c r="H3002">
        <v>100</v>
      </c>
      <c r="I3002" t="inlineStr">
        <is>
          <t>运动T袖</t>
        </is>
      </c>
      <c r="J3002" t="inlineStr">
        <is>
          <t>0.00</t>
        </is>
      </c>
      <c r="K3002"/>
      <c r="L3002" t="inlineStr">
        <is>
          <t>舟北北服饰的店</t>
        </is>
      </c>
      <c r="M3002">
        <v>16000</v>
      </c>
      <c r="N3002">
        <v>4.5</v>
      </c>
      <c r="O3002">
        <v>328000</v>
      </c>
      <c r="P3002" t="inlineStr">
        <is>
          <t>66f0c599f17df90001787e39</t>
        </is>
      </c>
      <c r="Q3002" t="inlineStr">
        <is>
          <t>🚫重复</t>
        </is>
      </c>
      <c r="R3002" t="inlineStr">
        <is>
          <t>14周</t>
        </is>
      </c>
      <c r="S3002" t="inlineStr">
        <is>
          <t>1.94</t>
        </is>
      </c>
      <c r="T3002" t="inlineStr">
        <is>
          <t>服饰穿搭</t>
        </is>
      </c>
      <c r="U3002" t="inlineStr">
        <is>
          <t>女装</t>
        </is>
      </c>
      <c r="V3002" s="3">
        <v>46112.78107638889</v>
      </c>
      <c r="W3002" t="inlineStr">
        <is>
          <t>2026-Q1</t>
        </is>
      </c>
    </row>
    <row r="3003" ht="25.5" customHeight="1">
      <c r="A3003" t="inlineStr">
        <is>
          <t>老美单 柔软弹力修身运动T恤女</t>
        </is>
      </c>
      <c r="B3003" t="inlineStr">
        <is>
          <t>recveKOBkW6DTD.jpg</t>
        </is>
      </c>
      <c r="C3003" s="2" t="str">
        <f>=HYPERLINK("https://xhslink.com/m/6H0xiGgF5pw", "https://xhslink.com/m/6H0xiGgF5pw")</f>
        <v>https://xhslink.com/m/6H0xiGgF5pw</v>
      </c>
      <c r="D3003"/>
      <c r="E3003">
        <v>6396</v>
      </c>
      <c r="F3003">
        <v>39.99</v>
      </c>
      <c r="G3003"/>
      <c r="H3003">
        <v>100</v>
      </c>
      <c r="I3003" t="inlineStr">
        <is>
          <t>运动T袖</t>
        </is>
      </c>
      <c r="J3003" t="inlineStr">
        <is>
          <t>0.02</t>
        </is>
      </c>
      <c r="K3003"/>
      <c r="L3003" t="inlineStr">
        <is>
          <t>小红书范爷的店</t>
        </is>
      </c>
      <c r="M3003">
        <v>287000</v>
      </c>
      <c r="N3003">
        <v>4.56</v>
      </c>
      <c r="O3003">
        <v>3317000</v>
      </c>
      <c r="P3003" t="inlineStr">
        <is>
          <t>67f632d704afe30001b92bbc</t>
        </is>
      </c>
      <c r="Q3003" t="inlineStr">
        <is>
          <t>🚫重复</t>
        </is>
      </c>
      <c r="R3003" t="inlineStr">
        <is>
          <t>14周</t>
        </is>
      </c>
      <c r="S3003" t="inlineStr">
        <is>
          <t>0.02</t>
        </is>
      </c>
      <c r="T3003" t="inlineStr">
        <is>
          <t>服饰穿搭</t>
        </is>
      </c>
      <c r="U3003" t="inlineStr">
        <is>
          <t>女装</t>
        </is>
      </c>
      <c r="V3003" s="3">
        <v>46112.78107638889</v>
      </c>
      <c r="W3003" t="inlineStr">
        <is>
          <t>2026-Q1</t>
        </is>
      </c>
    </row>
    <row r="3004" ht="25.5" customHeight="1">
      <c r="A3004" t="inlineStr">
        <is>
          <t>【虞UU】户外美式！春夏男女速干吸汗运动健身训练服速干长袖T恤</t>
        </is>
      </c>
      <c r="B3004" t="inlineStr">
        <is>
          <t>recveKOBkWoVk9.jpg</t>
        </is>
      </c>
      <c r="C3004" s="2" t="str">
        <f>=HYPERLINK("https://xhslink.com/m/8wjsnLC1t63", "https://xhslink.com/m/8wjsnLC1t63")</f>
        <v>https://xhslink.com/m/8wjsnLC1t63</v>
      </c>
      <c r="D3004"/>
      <c r="E3004">
        <v>9456</v>
      </c>
      <c r="F3004">
        <v>39.9</v>
      </c>
      <c r="G3004"/>
      <c r="H3004">
        <v>100</v>
      </c>
      <c r="I3004" t="inlineStr">
        <is>
          <t>运动T袖</t>
        </is>
      </c>
      <c r="J3004" t="inlineStr">
        <is>
          <t>0.01</t>
        </is>
      </c>
      <c r="K3004"/>
      <c r="L3004" t="inlineStr">
        <is>
          <t>虞优的U的店</t>
        </is>
      </c>
      <c r="M3004">
        <v>11000</v>
      </c>
      <c r="N3004">
        <v>4.44</v>
      </c>
      <c r="O3004">
        <v>102000</v>
      </c>
      <c r="P3004" t="inlineStr">
        <is>
          <t>67bb5f567198db0001209f13</t>
        </is>
      </c>
      <c r="Q3004" t="inlineStr">
        <is>
          <t>🚫重复</t>
        </is>
      </c>
      <c r="R3004" t="inlineStr">
        <is>
          <t>14周</t>
        </is>
      </c>
      <c r="S3004" t="inlineStr">
        <is>
          <t>0.86</t>
        </is>
      </c>
      <c r="T3004" t="inlineStr">
        <is>
          <t>服饰穿搭</t>
        </is>
      </c>
      <c r="U3004" t="inlineStr">
        <is>
          <t>女装</t>
        </is>
      </c>
      <c r="V3004" s="3">
        <v>46112.78107638889</v>
      </c>
      <c r="W3004" t="inlineStr">
        <is>
          <t>2026-Q1</t>
        </is>
      </c>
    </row>
    <row r="3005" ht="25.5" customHeight="1">
      <c r="A3005" t="inlineStr">
        <is>
          <t>夏季新款美背瑜伽罩衫女透气镂空运动T恤瑜伽服上衣跑步健身短袖</t>
        </is>
      </c>
      <c r="B3005" t="inlineStr">
        <is>
          <t>recveKOBkW5Wir.jpg</t>
        </is>
      </c>
      <c r="C3005" s="2" t="str">
        <f>=HYPERLINK("https://xhslink.com/m/48SuxAo281J", "https://xhslink.com/m/48SuxAo281J")</f>
        <v>https://xhslink.com/m/48SuxAo281J</v>
      </c>
      <c r="D3005"/>
      <c r="E3005">
        <v>3522</v>
      </c>
      <c r="F3005">
        <v>59.99</v>
      </c>
      <c r="G3005">
        <v>39.99</v>
      </c>
      <c r="H3005">
        <v>100</v>
      </c>
      <c r="I3005" t="inlineStr">
        <is>
          <t>运动T袖</t>
        </is>
      </c>
      <c r="J3005" t="inlineStr">
        <is>
          <t>0.03</t>
        </is>
      </c>
      <c r="K3005"/>
      <c r="L3005" t="inlineStr">
        <is>
          <t>小杨yoga的店</t>
        </is>
      </c>
      <c r="M3005">
        <v>158000</v>
      </c>
      <c r="N3005">
        <v>4.54</v>
      </c>
      <c r="O3005">
        <v>603000</v>
      </c>
      <c r="P3005" t="inlineStr">
        <is>
          <t>6805ff3e05b7000015aaa790</t>
        </is>
      </c>
      <c r="Q3005" t="inlineStr">
        <is>
          <t>🚫重复</t>
        </is>
      </c>
      <c r="R3005" t="inlineStr">
        <is>
          <t>14周</t>
        </is>
      </c>
      <c r="S3005" t="inlineStr">
        <is>
          <t>0.02</t>
        </is>
      </c>
      <c r="T3005" t="inlineStr">
        <is>
          <t>运动潮玩</t>
        </is>
      </c>
      <c r="U3005" t="inlineStr">
        <is>
          <t>运动户外装备</t>
        </is>
      </c>
      <c r="V3005" s="3">
        <v>46112.78107638889</v>
      </c>
      <c r="W3005" t="inlineStr">
        <is>
          <t>2026-Q1</t>
        </is>
      </c>
    </row>
    <row r="3006" ht="25.5" customHeight="1">
      <c r="A3006" t="inlineStr">
        <is>
          <t>探拓 · （2件减20元！）情侣款抗菌+防晒+速干短袖T恤户外防紫外线运动T</t>
        </is>
      </c>
      <c r="B3006" t="inlineStr">
        <is>
          <t>recveNXG9tyR5c.jpg</t>
        </is>
      </c>
      <c r="C3006" s="2" t="str">
        <f>=HYPERLINK("https://xhslink.com/m/8GW7tTJ7sad", "https://xhslink.com/m/8GW7tTJ7sad")</f>
        <v>https://xhslink.com/m/8GW7tTJ7sad</v>
      </c>
      <c r="D3006"/>
      <c r="E3006">
        <v>3375</v>
      </c>
      <c r="F3006">
        <v>49</v>
      </c>
      <c r="G3006"/>
      <c r="H3006">
        <v>100</v>
      </c>
      <c r="I3006" t="inlineStr">
        <is>
          <t>速干T恤</t>
        </is>
      </c>
      <c r="J3006" t="inlineStr">
        <is>
          <t>0.03</t>
        </is>
      </c>
      <c r="K3006" t="inlineStr">
        <is>
          <t>🔥低粉爆款</t>
        </is>
      </c>
      <c r="L3006" t="inlineStr">
        <is>
          <t>探拓TECTOP旗舰店</t>
        </is>
      </c>
      <c r="M3006">
        <v>788</v>
      </c>
      <c r="N3006">
        <v>4.61</v>
      </c>
      <c r="O3006">
        <v>38000</v>
      </c>
      <c r="P3006" t="inlineStr">
        <is>
          <t>69ae84ece30b940015c688ed</t>
        </is>
      </c>
      <c r="Q3006"/>
      <c r="R3006" t="inlineStr">
        <is>
          <t>14周</t>
        </is>
      </c>
      <c r="S3006" t="inlineStr">
        <is>
          <t>4.28</t>
        </is>
      </c>
      <c r="T3006" t="inlineStr">
        <is>
          <t>服饰穿搭</t>
        </is>
      </c>
      <c r="U3006" t="inlineStr">
        <is>
          <t>女装</t>
        </is>
      </c>
      <c r="V3006" s="3">
        <v>46112.78107638889</v>
      </c>
      <c r="W3006" t="inlineStr">
        <is>
          <t>2026-Q1</t>
        </is>
      </c>
    </row>
    <row r="3007" ht="25.5" customHeight="1">
      <c r="A3007" t="inlineStr">
        <is>
          <t>安踏 · 直播专属零压温控T速干t恤短袖半袖上衣男女962626103/952626101</t>
        </is>
      </c>
      <c r="B3007" t="inlineStr">
        <is>
          <t>recveNXG9teyJ8.jpg</t>
        </is>
      </c>
      <c r="C3007" s="2" t="str">
        <f>=HYPERLINK("https://xhslink.com/m/2Ck3LNSIx0K", "https://xhslink.com/m/2Ck3LNSIx0K")</f>
        <v>https://xhslink.com/m/2Ck3LNSIx0K</v>
      </c>
      <c r="D3007"/>
      <c r="E3007">
        <v>401</v>
      </c>
      <c r="F3007">
        <v>139</v>
      </c>
      <c r="G3007">
        <v>99</v>
      </c>
      <c r="H3007">
        <v>100</v>
      </c>
      <c r="I3007" t="inlineStr">
        <is>
          <t>速干T恤</t>
        </is>
      </c>
      <c r="J3007" t="inlineStr">
        <is>
          <t>0.25</t>
        </is>
      </c>
      <c r="K3007"/>
      <c r="L3007" t="inlineStr">
        <is>
          <t>安踏旗舰店</t>
        </is>
      </c>
      <c r="M3007">
        <v>241000</v>
      </c>
      <c r="N3007">
        <v>4.61</v>
      </c>
      <c r="O3007">
        <v>153000</v>
      </c>
      <c r="P3007" t="inlineStr">
        <is>
          <t>69b6cf70325083000180a671</t>
        </is>
      </c>
      <c r="Q3007" t="inlineStr">
        <is>
          <t>🚫重复</t>
        </is>
      </c>
      <c r="R3007" t="inlineStr">
        <is>
          <t>14周</t>
        </is>
      </c>
      <c r="S3007" t="inlineStr">
        <is>
          <t>0.00</t>
        </is>
      </c>
      <c r="T3007" t="inlineStr">
        <is>
          <t>服饰穿搭</t>
        </is>
      </c>
      <c r="U3007" t="inlineStr">
        <is>
          <t>女装</t>
        </is>
      </c>
      <c r="V3007" s="3">
        <v>46112.78107638889</v>
      </c>
      <c r="W3007" t="inlineStr">
        <is>
          <t>2026-Q1</t>
        </is>
      </c>
    </row>
    <row r="3008" ht="25.5" customHeight="1">
      <c r="A3008" t="inlineStr">
        <is>
          <t>mont·bell · 【拍下采购】2026年夏儿童 短袖 速干防uv 有机棉防u v预计2-3周</t>
        </is>
      </c>
      <c r="B3008" t="inlineStr">
        <is>
          <t>recveNXG9tsmAI.jpg</t>
        </is>
      </c>
      <c r="C3008" s="2" t="str">
        <f>=HYPERLINK("https://xhslink.com/m/4UTNQw2VizN", "https://xhslink.com/m/4UTNQw2VizN")</f>
        <v>https://xhslink.com/m/4UTNQw2VizN</v>
      </c>
      <c r="D3008"/>
      <c r="E3008">
        <v>937</v>
      </c>
      <c r="F3008">
        <v>135</v>
      </c>
      <c r="G3008"/>
      <c r="H3008">
        <v>100</v>
      </c>
      <c r="I3008" t="inlineStr">
        <is>
          <t>速干T恤</t>
        </is>
      </c>
      <c r="J3008" t="inlineStr">
        <is>
          <t>0.11</t>
        </is>
      </c>
      <c r="K3008"/>
      <c r="L3008" t="inlineStr">
        <is>
          <t>糖心日本购的店</t>
        </is>
      </c>
      <c r="M3008">
        <v>1205</v>
      </c>
      <c r="N3008">
        <v>4.55</v>
      </c>
      <c r="O3008">
        <v>1138</v>
      </c>
      <c r="P3008" t="inlineStr">
        <is>
          <t>698030edb6ceb40001d3b77c</t>
        </is>
      </c>
      <c r="Q3008"/>
      <c r="R3008" t="inlineStr">
        <is>
          <t>14周</t>
        </is>
      </c>
      <c r="S3008" t="inlineStr">
        <is>
          <t>0.78</t>
        </is>
      </c>
      <c r="T3008" t="inlineStr">
        <is>
          <t>母婴亲子</t>
        </is>
      </c>
      <c r="U3008" t="inlineStr">
        <is>
          <t>童装童鞋</t>
        </is>
      </c>
      <c r="V3008" s="3">
        <v>46112.78107638889</v>
      </c>
      <c r="W3008" t="inlineStr">
        <is>
          <t>2026-Q1</t>
        </is>
      </c>
    </row>
    <row r="3009" ht="25.5" customHeight="1">
      <c r="A3009" t="inlineStr">
        <is>
          <t>夏季运动速干短袖明线字母印花休闲T恤上衣男女款防紫外线UPF50+</t>
        </is>
      </c>
      <c r="B3009" t="inlineStr">
        <is>
          <t>recveNXG9tqVM6_fix.jpg</t>
        </is>
      </c>
      <c r="C3009" s="2" t="str">
        <f>=HYPERLINK("https://xhslink.com/m/72OKOjqXEPf", "https://xhslink.com/m/72OKOjqXEPf")</f>
        <v>https://xhslink.com/m/72OKOjqXEPf</v>
      </c>
      <c r="D3009"/>
      <c r="E3009">
        <v>2905</v>
      </c>
      <c r="F3009">
        <v>89</v>
      </c>
      <c r="G3009">
        <v>49</v>
      </c>
      <c r="H3009">
        <v>100</v>
      </c>
      <c r="I3009" t="inlineStr">
        <is>
          <t>速干T恤</t>
        </is>
      </c>
      <c r="J3009" t="inlineStr">
        <is>
          <t>0.03</t>
        </is>
      </c>
      <c r="K3009"/>
      <c r="L3009" t="inlineStr">
        <is>
          <t>小仓姐的店</t>
        </is>
      </c>
      <c r="M3009">
        <v>18000</v>
      </c>
      <c r="N3009">
        <v>4.54</v>
      </c>
      <c r="O3009">
        <v>67000</v>
      </c>
      <c r="P3009" t="inlineStr">
        <is>
          <t>681a23c33366f100019d3b62</t>
        </is>
      </c>
      <c r="Q3009" t="inlineStr">
        <is>
          <t>🚫重复</t>
        </is>
      </c>
      <c r="R3009" t="inlineStr">
        <is>
          <t>14周</t>
        </is>
      </c>
      <c r="S3009" t="inlineStr">
        <is>
          <t>0.16</t>
        </is>
      </c>
      <c r="T3009" t="inlineStr">
        <is>
          <t>服饰穿搭</t>
        </is>
      </c>
      <c r="U3009" t="inlineStr">
        <is>
          <t>女装</t>
        </is>
      </c>
      <c r="V3009" s="3">
        <v>46112.78107638889</v>
      </c>
      <c r="W3009" t="inlineStr">
        <is>
          <t>2026-Q1</t>
        </is>
      </c>
    </row>
    <row r="3010" ht="25.5" customHeight="1">
      <c r="A3010" t="inlineStr">
        <is>
          <t>ins风！男女同款情侣运动防晒吸湿健身跑步半拉链插肩袖速干T恤</t>
        </is>
      </c>
      <c r="B3010" t="inlineStr">
        <is>
          <t>recveNXG9tQRSA_fix.jpg</t>
        </is>
      </c>
      <c r="C3010" s="2" t="str">
        <f>=HYPERLINK("https://xhslink.com/m/53GcuPaeFpo", "https://xhslink.com/m/53GcuPaeFpo")</f>
        <v>https://xhslink.com/m/53GcuPaeFpo</v>
      </c>
      <c r="D3010"/>
      <c r="E3010">
        <v>8994</v>
      </c>
      <c r="F3010">
        <v>39</v>
      </c>
      <c r="G3010"/>
      <c r="H3010">
        <v>100</v>
      </c>
      <c r="I3010" t="inlineStr">
        <is>
          <t>速干T恤</t>
        </is>
      </c>
      <c r="J3010" t="inlineStr">
        <is>
          <t>0.01</t>
        </is>
      </c>
      <c r="K3010"/>
      <c r="L3010" t="inlineStr">
        <is>
          <t>福多外贸服饰的店</t>
        </is>
      </c>
      <c r="M3010">
        <v>11000</v>
      </c>
      <c r="N3010">
        <v>4.54</v>
      </c>
      <c r="O3010">
        <v>173000</v>
      </c>
      <c r="P3010" t="inlineStr">
        <is>
          <t>67cdb6b64a59360001a3e934</t>
        </is>
      </c>
      <c r="Q3010" t="inlineStr">
        <is>
          <t>🚫重复</t>
        </is>
      </c>
      <c r="R3010" t="inlineStr">
        <is>
          <t>14周</t>
        </is>
      </c>
      <c r="S3010" t="inlineStr">
        <is>
          <t>0.82</t>
        </is>
      </c>
      <c r="T3010" t="inlineStr">
        <is>
          <t>运动潮玩</t>
        </is>
      </c>
      <c r="U3010" t="inlineStr">
        <is>
          <t>运动户外装备</t>
        </is>
      </c>
      <c r="V3010" s="3">
        <v>46112.78107638889</v>
      </c>
      <c r="W3010" t="inlineStr">
        <is>
          <t>2026-Q1</t>
        </is>
      </c>
    </row>
    <row r="3011" ht="25.5" customHeight="1">
      <c r="A3011" t="inlineStr">
        <is>
          <t>beanies · 【推荐做奶咖】贝尼诗英国进口冻干风味速溶薄荷巧克力黑咖啡</t>
        </is>
      </c>
      <c r="B3011" t="inlineStr">
        <is>
          <t>recveNXG9txAm3.jpg</t>
        </is>
      </c>
      <c r="C3011" s="2" t="str">
        <f>=HYPERLINK("https://xhslink.com/m/4iv9fzds9Wy", "https://xhslink.com/m/4iv9fzds9Wy")</f>
        <v>https://xhslink.com/m/4iv9fzds9Wy</v>
      </c>
      <c r="D3011"/>
      <c r="E3011">
        <v>62000</v>
      </c>
      <c r="F3011">
        <v>101</v>
      </c>
      <c r="G3011">
        <v>78</v>
      </c>
      <c r="H3011">
        <v>100</v>
      </c>
      <c r="I3011" t="inlineStr">
        <is>
          <t>饮品</t>
        </is>
      </c>
      <c r="J3011" t="inlineStr">
        <is>
          <t>0.00</t>
        </is>
      </c>
      <c r="K3011"/>
      <c r="L3011" t="inlineStr">
        <is>
          <t>皇太后御食生活的店</t>
        </is>
      </c>
      <c r="M3011">
        <v>36000</v>
      </c>
      <c r="N3011">
        <v>4.59</v>
      </c>
      <c r="O3011">
        <v>243000</v>
      </c>
      <c r="P3011" t="inlineStr">
        <is>
          <t>691a850643699b0001d57850</t>
        </is>
      </c>
      <c r="Q3011" t="inlineStr">
        <is>
          <t>🚫重复</t>
        </is>
      </c>
      <c r="R3011" t="inlineStr">
        <is>
          <t>14周</t>
        </is>
      </c>
      <c r="S3011" t="inlineStr">
        <is>
          <t>1.72</t>
        </is>
      </c>
      <c r="T3011" t="inlineStr">
        <is>
          <t>美食滋补</t>
        </is>
      </c>
      <c r="U3011" t="inlineStr">
        <is>
          <t>休闲零食</t>
        </is>
      </c>
      <c r="V3011" s="3">
        <v>46112.78107638889</v>
      </c>
      <c r="W3011" t="inlineStr">
        <is>
          <t>2026-Q1</t>
        </is>
      </c>
    </row>
    <row r="3012" ht="25.5" customHeight="1">
      <c r="A3012" t="inlineStr">
        <is>
          <t>连咖啡 · 【周边上新】40颗滴滤咖啡液·黑咖啡·全球首款瞬时锁鲜美式拿铁</t>
        </is>
      </c>
      <c r="B3012" t="inlineStr">
        <is>
          <t>recveNXG9t2w4V.jpg</t>
        </is>
      </c>
      <c r="C3012" s="2" t="str">
        <f>=HYPERLINK("https://xhslink.com/m/9NQj52KXuDD", "https://xhslink.com/m/9NQj52KXuDD")</f>
        <v>https://xhslink.com/m/9NQj52KXuDD</v>
      </c>
      <c r="D3012"/>
      <c r="E3012">
        <v>20000</v>
      </c>
      <c r="F3012">
        <v>109.9</v>
      </c>
      <c r="G3012">
        <v>59.9</v>
      </c>
      <c r="H3012">
        <v>100</v>
      </c>
      <c r="I3012" t="inlineStr">
        <is>
          <t>饮品</t>
        </is>
      </c>
      <c r="J3012" t="inlineStr">
        <is>
          <t>0.01</t>
        </is>
      </c>
      <c r="K3012"/>
      <c r="L3012" t="inlineStr">
        <is>
          <t>连咖啡旗舰店</t>
        </is>
      </c>
      <c r="M3012">
        <v>25000</v>
      </c>
      <c r="N3012">
        <v>4.61</v>
      </c>
      <c r="O3012">
        <v>170000</v>
      </c>
      <c r="P3012" t="inlineStr">
        <is>
          <t>67739b8c286c9f0001b41887</t>
        </is>
      </c>
      <c r="Q3012" t="inlineStr">
        <is>
          <t>🚫重复</t>
        </is>
      </c>
      <c r="R3012" t="inlineStr">
        <is>
          <t>14周</t>
        </is>
      </c>
      <c r="S3012" t="inlineStr">
        <is>
          <t>0.80</t>
        </is>
      </c>
      <c r="T3012" t="inlineStr">
        <is>
          <t>美食滋补</t>
        </is>
      </c>
      <c r="U3012" t="inlineStr">
        <is>
          <t>酒水冲饮</t>
        </is>
      </c>
      <c r="V3012" s="3">
        <v>46112.78107638889</v>
      </c>
      <c r="W3012" t="inlineStr">
        <is>
          <t>2026-Q1</t>
        </is>
      </c>
    </row>
    <row r="3013" ht="25.5" customHeight="1">
      <c r="A3013" t="inlineStr">
        <is>
          <t>【古法活醪糟】非遗手工醪糟酒酿血糯米/玫瑰/原味2斤4斤四川特产</t>
        </is>
      </c>
      <c r="B3013" t="inlineStr">
        <is>
          <t>recveNXG9tse9y.jpg</t>
        </is>
      </c>
      <c r="C3013" s="2" t="str">
        <f>=HYPERLINK("https://xhslink.com/m/5YSK8LZv9KW", "https://xhslink.com/m/5YSK8LZv9KW")</f>
        <v>https://xhslink.com/m/5YSK8LZv9KW</v>
      </c>
      <c r="D3013"/>
      <c r="E3013">
        <v>10000</v>
      </c>
      <c r="F3013">
        <v>45</v>
      </c>
      <c r="G3013">
        <v>33.6</v>
      </c>
      <c r="H3013">
        <v>100</v>
      </c>
      <c r="I3013" t="inlineStr">
        <is>
          <t>饮品</t>
        </is>
      </c>
      <c r="J3013" t="inlineStr">
        <is>
          <t>0.01</t>
        </is>
      </c>
      <c r="K3013"/>
      <c r="L3013" t="inlineStr">
        <is>
          <t>竹城手工醪糟铺的店</t>
        </is>
      </c>
      <c r="M3013">
        <v>18000</v>
      </c>
      <c r="N3013">
        <v>4.62</v>
      </c>
      <c r="O3013">
        <v>72000</v>
      </c>
      <c r="P3013" t="inlineStr">
        <is>
          <t>690364ffdcedc7000103eef8</t>
        </is>
      </c>
      <c r="Q3013"/>
      <c r="R3013" t="inlineStr">
        <is>
          <t>14周</t>
        </is>
      </c>
      <c r="S3013" t="inlineStr">
        <is>
          <t>0.56</t>
        </is>
      </c>
      <c r="T3013" t="inlineStr">
        <is>
          <t>美食滋补</t>
        </is>
      </c>
      <c r="U3013" t="inlineStr">
        <is>
          <t>酒水冲饮</t>
        </is>
      </c>
      <c r="V3013" s="3">
        <v>46112.78107638889</v>
      </c>
      <c r="W3013" t="inlineStr">
        <is>
          <t>2026-Q1</t>
        </is>
      </c>
    </row>
    <row r="3014" ht="25.5" customHeight="1">
      <c r="A3014" t="inlineStr">
        <is>
          <t>乐做食养·河南特产山药茯苓鸡内金焦饼无麸质黄小米薄饼健康零食</t>
        </is>
      </c>
      <c r="B3014" t="inlineStr">
        <is>
          <t>recveNXG9tTgQ2.jpg</t>
        </is>
      </c>
      <c r="C3014" s="2" t="str">
        <f>=HYPERLINK("https://xhslink.com/m/8vyabPFJSkF", "https://xhslink.com/m/8vyabPFJSkF")</f>
        <v>https://xhslink.com/m/8vyabPFJSkF</v>
      </c>
      <c r="D3014"/>
      <c r="E3014">
        <v>61000</v>
      </c>
      <c r="F3014">
        <v>99</v>
      </c>
      <c r="G3014">
        <v>55.8</v>
      </c>
      <c r="H3014">
        <v>100</v>
      </c>
      <c r="I3014" t="inlineStr">
        <is>
          <t>养生零食</t>
        </is>
      </c>
      <c r="J3014" t="inlineStr">
        <is>
          <t>0.00</t>
        </is>
      </c>
      <c r="K3014" t="inlineStr">
        <is>
          <t>🔥低粉爆款</t>
        </is>
      </c>
      <c r="L3014" t="inlineStr">
        <is>
          <t>乐做食养的店</t>
        </is>
      </c>
      <c r="M3014">
        <v>7754</v>
      </c>
      <c r="N3014">
        <v>4.8</v>
      </c>
      <c r="O3014">
        <v>115000</v>
      </c>
      <c r="P3014" t="inlineStr">
        <is>
          <t>67a31f6fbac2510001b61547</t>
        </is>
      </c>
      <c r="Q3014" t="inlineStr">
        <is>
          <t>🚫重复</t>
        </is>
      </c>
      <c r="R3014" t="inlineStr">
        <is>
          <t>14周</t>
        </is>
      </c>
      <c r="S3014" t="inlineStr">
        <is>
          <t>7.87</t>
        </is>
      </c>
      <c r="T3014" t="inlineStr">
        <is>
          <t>美食滋补</t>
        </is>
      </c>
      <c r="U3014" t="inlineStr">
        <is>
          <t>休闲零食</t>
        </is>
      </c>
      <c r="V3014" s="3">
        <v>46112.78107638889</v>
      </c>
      <c r="W3014" t="inlineStr">
        <is>
          <t>2026-Q1</t>
        </is>
      </c>
    </row>
    <row r="3015" ht="25.5" customHeight="1">
      <c r="A3015" t="inlineStr">
        <is>
          <t>林间盏 · 铁棍山药雪花片丨纯山药早餐【小土罐】 100克小罐装丨温县垆土</t>
        </is>
      </c>
      <c r="B3015" t="inlineStr">
        <is>
          <t>recveNXG9tNCUe.jpg</t>
        </is>
      </c>
      <c r="C3015" s="2" t="str">
        <f>=HYPERLINK("https://xhslink.com/m/7piPEqnUH3q", "https://xhslink.com/m/7piPEqnUH3q")</f>
        <v>https://xhslink.com/m/7piPEqnUH3q</v>
      </c>
      <c r="D3015"/>
      <c r="E3015">
        <v>35000</v>
      </c>
      <c r="F3015">
        <v>227</v>
      </c>
      <c r="G3015">
        <v>199.76</v>
      </c>
      <c r="H3015">
        <v>100</v>
      </c>
      <c r="I3015" t="inlineStr">
        <is>
          <t>养生零食</t>
        </is>
      </c>
      <c r="J3015" t="inlineStr">
        <is>
          <t>0.00</t>
        </is>
      </c>
      <c r="K3015"/>
      <c r="L3015" t="inlineStr">
        <is>
          <t>林间盏旗舰店</t>
        </is>
      </c>
      <c r="M3015">
        <v>533000</v>
      </c>
      <c r="N3015">
        <v>4.56</v>
      </c>
      <c r="O3015">
        <v>506000</v>
      </c>
      <c r="P3015" t="inlineStr">
        <is>
          <t>6648792f533bfa0001809525</t>
        </is>
      </c>
      <c r="Q3015" t="inlineStr">
        <is>
          <t>🚫重复</t>
        </is>
      </c>
      <c r="R3015" t="inlineStr">
        <is>
          <t>14周</t>
        </is>
      </c>
      <c r="S3015" t="inlineStr">
        <is>
          <t>0.07</t>
        </is>
      </c>
      <c r="T3015" t="inlineStr">
        <is>
          <t>美食滋补</t>
        </is>
      </c>
      <c r="U3015" t="inlineStr">
        <is>
          <t>休闲零食</t>
        </is>
      </c>
      <c r="V3015" s="3">
        <v>46112.78107638889</v>
      </c>
      <c r="W3015" t="inlineStr">
        <is>
          <t>2026-Q1</t>
        </is>
      </c>
    </row>
    <row r="3016" ht="25.5" customHeight="1">
      <c r="A3016" t="inlineStr">
        <is>
          <t>纸片人长袖雪花棉大u领宽松遮肉开叉打底秋冬女正肩慵懒宽松</t>
        </is>
      </c>
      <c r="B3016" t="inlineStr">
        <is>
          <t>recveNXG9tMegr.jpg</t>
        </is>
      </c>
      <c r="C3016" s="2" t="str">
        <f>=HYPERLINK("https://xhslink.com/m/6yH0XXUX9kT", "https://xhslink.com/m/6yH0XXUX9kT")</f>
        <v>https://xhslink.com/m/6yH0XXUX9kT</v>
      </c>
      <c r="D3016"/>
      <c r="E3016">
        <v>49000</v>
      </c>
      <c r="F3016">
        <v>65</v>
      </c>
      <c r="G3016"/>
      <c r="H3016">
        <v>100</v>
      </c>
      <c r="I3016" t="inlineStr">
        <is>
          <t>T恤</t>
        </is>
      </c>
      <c r="J3016" t="inlineStr">
        <is>
          <t>0.00</t>
        </is>
      </c>
      <c r="K3016"/>
      <c r="L3016" t="inlineStr">
        <is>
          <t>美腻coco的店</t>
        </is>
      </c>
      <c r="M3016">
        <v>72000</v>
      </c>
      <c r="N3016">
        <v>4.48</v>
      </c>
      <c r="O3016">
        <v>375000</v>
      </c>
      <c r="P3016" t="inlineStr">
        <is>
          <t>66c881e55c80460001d00bb2</t>
        </is>
      </c>
      <c r="Q3016" t="inlineStr">
        <is>
          <t>🚫重复</t>
        </is>
      </c>
      <c r="R3016" t="inlineStr">
        <is>
          <t>14周</t>
        </is>
      </c>
      <c r="S3016" t="inlineStr">
        <is>
          <t>0.68</t>
        </is>
      </c>
      <c r="T3016" t="inlineStr">
        <is>
          <t>服饰穿搭</t>
        </is>
      </c>
      <c r="U3016" t="inlineStr">
        <is>
          <t>女装</t>
        </is>
      </c>
      <c r="V3016" s="3">
        <v>46112.78107638889</v>
      </c>
      <c r="W3016" t="inlineStr">
        <is>
          <t>2026-Q1</t>
        </is>
      </c>
    </row>
    <row r="3017" ht="25.5" customHeight="1">
      <c r="A3017" t="inlineStr">
        <is>
          <t>【前3万单立减30】浅蓝色卷边长袖T恤2024防晒罩衫早秋休闲运动T</t>
        </is>
      </c>
      <c r="B3017" t="inlineStr">
        <is>
          <t>recveNXG9tNS5o.jpg</t>
        </is>
      </c>
      <c r="C3017" s="2" t="str">
        <f>=HYPERLINK("https://xhslink.com/m/45rzknATBYK", "https://xhslink.com/m/45rzknATBYK")</f>
        <v>https://xhslink.com/m/45rzknATBYK</v>
      </c>
      <c r="D3017"/>
      <c r="E3017">
        <v>31000</v>
      </c>
      <c r="F3017">
        <v>69.9</v>
      </c>
      <c r="G3017">
        <v>39.9</v>
      </c>
      <c r="H3017">
        <v>100</v>
      </c>
      <c r="I3017" t="inlineStr">
        <is>
          <t>T恤</t>
        </is>
      </c>
      <c r="J3017" t="inlineStr">
        <is>
          <t>0.00</t>
        </is>
      </c>
      <c r="K3017"/>
      <c r="L3017" t="inlineStr">
        <is>
          <t>舟北北服饰的店</t>
        </is>
      </c>
      <c r="M3017">
        <v>16000</v>
      </c>
      <c r="N3017">
        <v>4.5</v>
      </c>
      <c r="O3017">
        <v>328000</v>
      </c>
      <c r="P3017" t="inlineStr">
        <is>
          <t>66e0052dd7ec0900018ea993</t>
        </is>
      </c>
      <c r="Q3017" t="inlineStr">
        <is>
          <t>🚫重复</t>
        </is>
      </c>
      <c r="R3017" t="inlineStr">
        <is>
          <t>14周</t>
        </is>
      </c>
      <c r="S3017" t="inlineStr">
        <is>
          <t>1.94</t>
        </is>
      </c>
      <c r="T3017" t="inlineStr">
        <is>
          <t>服饰穿搭</t>
        </is>
      </c>
      <c r="U3017" t="inlineStr">
        <is>
          <t>女装</t>
        </is>
      </c>
      <c r="V3017" s="3">
        <v>46112.78107638889</v>
      </c>
      <c r="W3017" t="inlineStr">
        <is>
          <t>2026-Q1</t>
        </is>
      </c>
    </row>
    <row r="3018" ht="25.5" customHeight="1">
      <c r="A3018" t="inlineStr">
        <is>
          <t>清纯小白花1.0 圆领小飞袖白t恤大领口短袖上衣 200G</t>
        </is>
      </c>
      <c r="B3018" t="inlineStr">
        <is>
          <t>recveNXG9t64ye.jpg</t>
        </is>
      </c>
      <c r="C3018" s="2" t="str">
        <f>=HYPERLINK("https://xhslink.com/m/4QCzWwn0zTJ", "https://xhslink.com/m/4QCzWwn0zTJ")</f>
        <v>https://xhslink.com/m/4QCzWwn0zTJ</v>
      </c>
      <c r="D3018"/>
      <c r="E3018">
        <v>36000</v>
      </c>
      <c r="F3018">
        <v>53.8</v>
      </c>
      <c r="G3018">
        <v>43.8</v>
      </c>
      <c r="H3018">
        <v>100</v>
      </c>
      <c r="I3018" t="inlineStr">
        <is>
          <t>T恤</t>
        </is>
      </c>
      <c r="J3018" t="inlineStr">
        <is>
          <t>0.00</t>
        </is>
      </c>
      <c r="K3018"/>
      <c r="L3018" t="inlineStr">
        <is>
          <t>1mo饼的店</t>
        </is>
      </c>
      <c r="M3018">
        <v>89000</v>
      </c>
      <c r="N3018">
        <v>4.71</v>
      </c>
      <c r="O3018">
        <v>451000</v>
      </c>
      <c r="P3018" t="inlineStr">
        <is>
          <t>664c474333941b00017c7d47</t>
        </is>
      </c>
      <c r="Q3018" t="inlineStr">
        <is>
          <t>🚫重复</t>
        </is>
      </c>
      <c r="R3018" t="inlineStr">
        <is>
          <t>14周</t>
        </is>
      </c>
      <c r="S3018" t="inlineStr">
        <is>
          <t>0.40</t>
        </is>
      </c>
      <c r="T3018" t="inlineStr">
        <is>
          <t>服饰穿搭</t>
        </is>
      </c>
      <c r="U3018" t="inlineStr">
        <is>
          <t>女装</t>
        </is>
      </c>
      <c r="V3018" s="3">
        <v>46112.78107638889</v>
      </c>
      <c r="W3018" t="inlineStr">
        <is>
          <t>2026-Q1</t>
        </is>
      </c>
    </row>
    <row r="3019" ht="25.5" customHeight="1">
      <c r="A3019" t="inlineStr">
        <is>
          <t>【JMHH】自留磨毛短袖T恤女春夏秋冬四季可穿内搭单穿宽松打底衫</t>
        </is>
      </c>
      <c r="B3019" t="inlineStr">
        <is>
          <t>recveNXG9tPTGX.jpg</t>
        </is>
      </c>
      <c r="C3019" s="2" t="str">
        <f>=HYPERLINK("https://xhslink.com/m/73c21KojaYq", "https://xhslink.com/m/73c21KojaYq")</f>
        <v>https://xhslink.com/m/73c21KojaYq</v>
      </c>
      <c r="D3019"/>
      <c r="E3019">
        <v>60000</v>
      </c>
      <c r="F3019">
        <v>45</v>
      </c>
      <c r="G3019"/>
      <c r="H3019">
        <v>100</v>
      </c>
      <c r="I3019" t="inlineStr">
        <is>
          <t>T恤</t>
        </is>
      </c>
      <c r="J3019" t="inlineStr">
        <is>
          <t>0.00</t>
        </is>
      </c>
      <c r="K3019"/>
      <c r="L3019" t="inlineStr">
        <is>
          <t>慧慧穿搭分享的店</t>
        </is>
      </c>
      <c r="M3019">
        <v>104000</v>
      </c>
      <c r="N3019">
        <v>4.65</v>
      </c>
      <c r="O3019">
        <v>829000</v>
      </c>
      <c r="P3019" t="inlineStr">
        <is>
          <t>661f7195f448b100010570ff</t>
        </is>
      </c>
      <c r="Q3019"/>
      <c r="R3019" t="inlineStr">
        <is>
          <t>14周</t>
        </is>
      </c>
      <c r="S3019" t="inlineStr">
        <is>
          <t>0.58</t>
        </is>
      </c>
      <c r="T3019" t="inlineStr">
        <is>
          <t>服饰穿搭</t>
        </is>
      </c>
      <c r="U3019" t="inlineStr">
        <is>
          <t>女装</t>
        </is>
      </c>
      <c r="V3019" s="3">
        <v>46112.78107638889</v>
      </c>
      <c r="W3019" t="inlineStr">
        <is>
          <t>2026-Q1</t>
        </is>
      </c>
    </row>
    <row r="3020" ht="25.5" customHeight="1">
      <c r="A3020" t="inlineStr">
        <is>
          <t>运动户外美式！！秋季男女速干吸汗健身训练服速干长袖T恤</t>
        </is>
      </c>
      <c r="B3020" t="inlineStr">
        <is>
          <t>recveNXG9tV0Nx.jpg</t>
        </is>
      </c>
      <c r="C3020" s="2" t="str">
        <f>=HYPERLINK("https://xhslink.com/m/4w6hglnynKz", "https://xhslink.com/m/4w6hglnynKz")</f>
        <v>https://xhslink.com/m/4w6hglnynKz</v>
      </c>
      <c r="D3020"/>
      <c r="E3020">
        <v>9977</v>
      </c>
      <c r="F3020">
        <v>78</v>
      </c>
      <c r="G3020">
        <v>39.9</v>
      </c>
      <c r="H3020">
        <v>100</v>
      </c>
      <c r="I3020" t="inlineStr">
        <is>
          <t>T恤</t>
        </is>
      </c>
      <c r="J3020" t="inlineStr">
        <is>
          <t>0.01</t>
        </is>
      </c>
      <c r="K3020"/>
      <c r="L3020" t="inlineStr">
        <is>
          <t>大苏和小薄的店</t>
        </is>
      </c>
      <c r="M3020">
        <v>38000</v>
      </c>
      <c r="N3020">
        <v>4.51</v>
      </c>
      <c r="O3020">
        <v>351000</v>
      </c>
      <c r="P3020" t="inlineStr">
        <is>
          <t>68482d3d0da50d0001b9f969</t>
        </is>
      </c>
      <c r="Q3020" t="inlineStr">
        <is>
          <t>🚫重复</t>
        </is>
      </c>
      <c r="R3020" t="inlineStr">
        <is>
          <t>14周</t>
        </is>
      </c>
      <c r="S3020" t="inlineStr">
        <is>
          <t>0.26</t>
        </is>
      </c>
      <c r="T3020" t="inlineStr">
        <is>
          <t>服饰穿搭</t>
        </is>
      </c>
      <c r="U3020" t="inlineStr">
        <is>
          <t>女装</t>
        </is>
      </c>
      <c r="V3020" s="3">
        <v>46112.78107638889</v>
      </c>
      <c r="W3020" t="inlineStr">
        <is>
          <t>2026-Q1</t>
        </is>
      </c>
    </row>
    <row r="3021" ht="25.5" customHeight="1">
      <c r="A3021" t="inlineStr">
        <is>
          <t>小白花2.0 加长袖子圆领收腰白t恤大领口短袖上衣 200G</t>
        </is>
      </c>
      <c r="B3021" t="inlineStr">
        <is>
          <t>recveNXG9t5luP.jpg</t>
        </is>
      </c>
      <c r="C3021" s="2" t="str">
        <f>=HYPERLINK("https://xhslink.com/m/9UAKVjEbAOX", "https://xhslink.com/m/9UAKVjEbAOX")</f>
        <v>https://xhslink.com/m/9UAKVjEbAOX</v>
      </c>
      <c r="D3021"/>
      <c r="E3021">
        <v>15000</v>
      </c>
      <c r="F3021">
        <v>53.8</v>
      </c>
      <c r="G3021">
        <v>43.8</v>
      </c>
      <c r="H3021">
        <v>100</v>
      </c>
      <c r="I3021" t="inlineStr">
        <is>
          <t>T恤</t>
        </is>
      </c>
      <c r="J3021" t="inlineStr">
        <is>
          <t>0.01</t>
        </is>
      </c>
      <c r="K3021"/>
      <c r="L3021" t="inlineStr">
        <is>
          <t>1mo饼的店</t>
        </is>
      </c>
      <c r="M3021">
        <v>89000</v>
      </c>
      <c r="N3021">
        <v>4.71</v>
      </c>
      <c r="O3021">
        <v>451000</v>
      </c>
      <c r="P3021" t="inlineStr">
        <is>
          <t>67f553ad2a334f0001bc2e43</t>
        </is>
      </c>
      <c r="Q3021" t="inlineStr">
        <is>
          <t>🚫重复</t>
        </is>
      </c>
      <c r="R3021" t="inlineStr">
        <is>
          <t>14周</t>
        </is>
      </c>
      <c r="S3021" t="inlineStr">
        <is>
          <t>0.17</t>
        </is>
      </c>
      <c r="T3021" t="inlineStr">
        <is>
          <t>服饰穿搭</t>
        </is>
      </c>
      <c r="U3021" t="inlineStr">
        <is>
          <t>女装</t>
        </is>
      </c>
      <c r="V3021" s="3">
        <v>46112.78107638889</v>
      </c>
      <c r="W3021" t="inlineStr">
        <is>
          <t>2026-Q1</t>
        </is>
      </c>
    </row>
    <row r="3022" ht="25.5" customHeight="1">
      <c r="A3022" t="inlineStr">
        <is>
          <t>【月销13000+】多色圆领/V领短袖T恤  5063-7737</t>
        </is>
      </c>
      <c r="B3022" t="inlineStr">
        <is>
          <t>recveNXG9tamVg.jpg</t>
        </is>
      </c>
      <c r="C3022" s="2" t="str">
        <f>=HYPERLINK("https://xhslink.com/m/9jaC1WHpzWy", "https://xhslink.com/m/9jaC1WHpzWy")</f>
        <v>https://xhslink.com/m/9jaC1WHpzWy</v>
      </c>
      <c r="D3022"/>
      <c r="E3022">
        <v>16000</v>
      </c>
      <c r="F3022">
        <v>49</v>
      </c>
      <c r="G3022">
        <v>44</v>
      </c>
      <c r="H3022">
        <v>100</v>
      </c>
      <c r="I3022" t="inlineStr">
        <is>
          <t>T恤</t>
        </is>
      </c>
      <c r="J3022" t="inlineStr">
        <is>
          <t>0.01</t>
        </is>
      </c>
      <c r="K3022"/>
      <c r="L3022" t="inlineStr">
        <is>
          <t>奈奈美服装店的店</t>
        </is>
      </c>
      <c r="M3022">
        <v>76000</v>
      </c>
      <c r="N3022">
        <v>4.49</v>
      </c>
      <c r="O3022">
        <v>362000</v>
      </c>
      <c r="P3022" t="inlineStr">
        <is>
          <t>6804a76151259e00150e36bf</t>
        </is>
      </c>
      <c r="Q3022" t="inlineStr">
        <is>
          <t>🚫重复</t>
        </is>
      </c>
      <c r="R3022" t="inlineStr">
        <is>
          <t>14周</t>
        </is>
      </c>
      <c r="S3022" t="inlineStr">
        <is>
          <t>0.21</t>
        </is>
      </c>
      <c r="T3022" t="inlineStr">
        <is>
          <t>服饰穿搭</t>
        </is>
      </c>
      <c r="U3022" t="inlineStr">
        <is>
          <t>女装</t>
        </is>
      </c>
      <c r="V3022" s="3">
        <v>46112.78107638889</v>
      </c>
      <c r="W3022" t="inlineStr">
        <is>
          <t>2026-Q1</t>
        </is>
      </c>
    </row>
    <row r="3023" ht="25.5" customHeight="1">
      <c r="A3023" t="inlineStr">
        <is>
          <t>2026夏季新款前后趣味蝴蝶正肩短袖T恤小个子显瘦纯棉百搭上衣</t>
        </is>
      </c>
      <c r="B3023" t="inlineStr">
        <is>
          <t>recveNXG9tSSGV.jpg</t>
        </is>
      </c>
      <c r="C3023" s="2" t="str">
        <f>=HYPERLINK("https://xhslink.com/m/5C8wQs1OWFU", "https://xhslink.com/m/5C8wQs1OWFU")</f>
        <v>https://xhslink.com/m/5C8wQs1OWFU</v>
      </c>
      <c r="D3023"/>
      <c r="E3023">
        <v>4762</v>
      </c>
      <c r="F3023">
        <v>39.9</v>
      </c>
      <c r="G3023">
        <v>29.9</v>
      </c>
      <c r="H3023">
        <v>100</v>
      </c>
      <c r="I3023" t="inlineStr">
        <is>
          <t>T恤</t>
        </is>
      </c>
      <c r="J3023" t="inlineStr">
        <is>
          <t>0.02</t>
        </is>
      </c>
      <c r="K3023"/>
      <c r="L3023" t="inlineStr">
        <is>
          <t>葵秋潮牌的店</t>
        </is>
      </c>
      <c r="M3023">
        <v>54000</v>
      </c>
      <c r="N3023">
        <v>4.63</v>
      </c>
      <c r="O3023">
        <v>404000</v>
      </c>
      <c r="P3023" t="inlineStr">
        <is>
          <t>6818d09aafdaa60001bed74f</t>
        </is>
      </c>
      <c r="Q3023" t="inlineStr">
        <is>
          <t>🚫重复</t>
        </is>
      </c>
      <c r="R3023" t="inlineStr">
        <is>
          <t>14周</t>
        </is>
      </c>
      <c r="S3023" t="inlineStr">
        <is>
          <t>0.09</t>
        </is>
      </c>
      <c r="T3023" t="inlineStr">
        <is>
          <t>服饰穿搭</t>
        </is>
      </c>
      <c r="U3023" t="inlineStr">
        <is>
          <t>女装</t>
        </is>
      </c>
      <c r="V3023" s="3">
        <v>46112.78107638889</v>
      </c>
      <c r="W3023" t="inlineStr">
        <is>
          <t>2026-Q1</t>
        </is>
      </c>
    </row>
    <row r="3024" ht="25.5" customHeight="1">
      <c r="A3024" t="inlineStr">
        <is>
          <t>重磅日系夏季纯棉短袖t恤女修身短款设计感小众百搭辣妹别致上衣</t>
        </is>
      </c>
      <c r="B3024" t="inlineStr">
        <is>
          <t>recveNXG9tmk3e.jpg</t>
        </is>
      </c>
      <c r="C3024" s="2" t="str">
        <f>=HYPERLINK("https://xhslink.com/m/2j2LUcFDNvM", "https://xhslink.com/m/2j2LUcFDNvM")</f>
        <v>https://xhslink.com/m/2j2LUcFDNvM</v>
      </c>
      <c r="D3024"/>
      <c r="E3024">
        <v>3023</v>
      </c>
      <c r="F3024">
        <v>49.8</v>
      </c>
      <c r="G3024">
        <v>39.8</v>
      </c>
      <c r="H3024">
        <v>100</v>
      </c>
      <c r="I3024" t="inlineStr">
        <is>
          <t>T恤</t>
        </is>
      </c>
      <c r="J3024" t="inlineStr">
        <is>
          <t>0.03</t>
        </is>
      </c>
      <c r="K3024"/>
      <c r="L3024" t="inlineStr">
        <is>
          <t>杨听听原创服装的店</t>
        </is>
      </c>
      <c r="M3024">
        <v>1428</v>
      </c>
      <c r="N3024">
        <v>4.48</v>
      </c>
      <c r="O3024">
        <v>17000</v>
      </c>
      <c r="P3024" t="inlineStr">
        <is>
          <t>684c81bae32134000123ea09</t>
        </is>
      </c>
      <c r="Q3024" t="inlineStr">
        <is>
          <t>🚫重复</t>
        </is>
      </c>
      <c r="R3024" t="inlineStr">
        <is>
          <t>14周</t>
        </is>
      </c>
      <c r="S3024" t="inlineStr">
        <is>
          <t>2.12</t>
        </is>
      </c>
      <c r="T3024" t="inlineStr">
        <is>
          <t>服饰穿搭</t>
        </is>
      </c>
      <c r="U3024" t="inlineStr">
        <is>
          <t>女装</t>
        </is>
      </c>
      <c r="V3024" s="3">
        <v>46112.78107638889</v>
      </c>
      <c r="W3024" t="inlineStr">
        <is>
          <t>2026-Q1</t>
        </is>
      </c>
    </row>
    <row r="3025" ht="25.5" customHeight="1">
      <c r="A3025" t="inlineStr">
        <is>
          <t>显白夏季宽松竹节棉圆领短袖T恤女夏柔软亲肤轻薄上衣</t>
        </is>
      </c>
      <c r="B3025" t="inlineStr">
        <is>
          <t>recveNXG9tMWP9.jpg</t>
        </is>
      </c>
      <c r="C3025" s="2" t="str">
        <f>=HYPERLINK("https://xhslink.com/m/9Pi1YaxZ4GZ", "https://xhslink.com/m/9Pi1YaxZ4GZ")</f>
        <v>https://xhslink.com/m/9Pi1YaxZ4GZ</v>
      </c>
      <c r="D3025"/>
      <c r="E3025">
        <v>14000</v>
      </c>
      <c r="F3025">
        <v>79.9</v>
      </c>
      <c r="G3025">
        <v>49.9</v>
      </c>
      <c r="H3025">
        <v>100</v>
      </c>
      <c r="I3025" t="inlineStr">
        <is>
          <t>T恤</t>
        </is>
      </c>
      <c r="J3025" t="inlineStr">
        <is>
          <t>0.01</t>
        </is>
      </c>
      <c r="K3025"/>
      <c r="L3025" t="inlineStr">
        <is>
          <t>略甜的店</t>
        </is>
      </c>
      <c r="M3025">
        <v>12000</v>
      </c>
      <c r="N3025">
        <v>4.6</v>
      </c>
      <c r="O3025">
        <v>40000</v>
      </c>
      <c r="P3025" t="inlineStr">
        <is>
          <t>68597f2f75907700018ef6a9</t>
        </is>
      </c>
      <c r="Q3025" t="inlineStr">
        <is>
          <t>🚫重复</t>
        </is>
      </c>
      <c r="R3025" t="inlineStr">
        <is>
          <t>14周</t>
        </is>
      </c>
      <c r="S3025" t="inlineStr">
        <is>
          <t>1.17</t>
        </is>
      </c>
      <c r="T3025" t="inlineStr">
        <is>
          <t>服饰穿搭</t>
        </is>
      </c>
      <c r="U3025" t="inlineStr">
        <is>
          <t>女装</t>
        </is>
      </c>
      <c r="V3025" s="3">
        <v>46112.78107638889</v>
      </c>
      <c r="W3025" t="inlineStr">
        <is>
          <t>2026-Q1</t>
        </is>
      </c>
    </row>
    <row r="3026" ht="25.5" customHeight="1">
      <c r="A3026" t="inlineStr">
        <is>
          <t>米尼尼 简约气质亨利领设计感半袖T恤</t>
        </is>
      </c>
      <c r="B3026" t="inlineStr">
        <is>
          <t>recveNXG9t4IQz.jpg</t>
        </is>
      </c>
      <c r="C3026" s="2" t="str">
        <f>=HYPERLINK("https://xhslink.com/m/1E0oOu6kJ3o", "https://xhslink.com/m/1E0oOu6kJ3o")</f>
        <v>https://xhslink.com/m/1E0oOu6kJ3o</v>
      </c>
      <c r="D3026"/>
      <c r="E3026">
        <v>8603</v>
      </c>
      <c r="F3026">
        <v>55.9</v>
      </c>
      <c r="G3026">
        <v>45.9</v>
      </c>
      <c r="H3026">
        <v>100</v>
      </c>
      <c r="I3026" t="inlineStr">
        <is>
          <t>T恤</t>
        </is>
      </c>
      <c r="J3026" t="inlineStr">
        <is>
          <t>0.01</t>
        </is>
      </c>
      <c r="K3026"/>
      <c r="L3026" t="inlineStr">
        <is>
          <t>米尼尼studio的店</t>
        </is>
      </c>
      <c r="M3026">
        <v>488000</v>
      </c>
      <c r="N3026">
        <v>4.51</v>
      </c>
      <c r="O3026">
        <v>595000</v>
      </c>
      <c r="P3026" t="inlineStr">
        <is>
          <t>689f01eb5e17a70001f9903c</t>
        </is>
      </c>
      <c r="Q3026" t="inlineStr">
        <is>
          <t>🚫重复</t>
        </is>
      </c>
      <c r="R3026" t="inlineStr">
        <is>
          <t>14周</t>
        </is>
      </c>
      <c r="S3026" t="inlineStr">
        <is>
          <t>0.02</t>
        </is>
      </c>
      <c r="T3026" t="inlineStr">
        <is>
          <t>服饰穿搭</t>
        </is>
      </c>
      <c r="U3026" t="inlineStr">
        <is>
          <t>女装</t>
        </is>
      </c>
      <c r="V3026" s="3">
        <v>46112.78107638889</v>
      </c>
      <c r="W3026" t="inlineStr">
        <is>
          <t>2026-Q1</t>
        </is>
      </c>
    </row>
    <row r="3027" ht="25.5" customHeight="1">
      <c r="A3027" t="inlineStr">
        <is>
          <t>北欧简约大气百搭显瘦100棉针织衫纯色短袖T恤女26春夏季6408</t>
        </is>
      </c>
      <c r="B3027" t="inlineStr">
        <is>
          <t>recveNXG9tNdkb.jpg</t>
        </is>
      </c>
      <c r="C3027" s="2" t="str">
        <f>=HYPERLINK("https://xhslink.com/m/5aqQLDk5dq4", "https://xhslink.com/m/5aqQLDk5dq4")</f>
        <v>https://xhslink.com/m/5aqQLDk5dq4</v>
      </c>
      <c r="D3027"/>
      <c r="E3027">
        <v>14000</v>
      </c>
      <c r="F3027">
        <v>169</v>
      </c>
      <c r="G3027">
        <v>148</v>
      </c>
      <c r="H3027">
        <v>100</v>
      </c>
      <c r="I3027" t="inlineStr">
        <is>
          <t>T恤</t>
        </is>
      </c>
      <c r="J3027" t="inlineStr">
        <is>
          <t>0.01</t>
        </is>
      </c>
      <c r="K3027"/>
      <c r="L3027" t="inlineStr">
        <is>
          <t>兔兔要飞的店</t>
        </is>
      </c>
      <c r="M3027">
        <v>14000</v>
      </c>
      <c r="N3027">
        <v>4.71</v>
      </c>
      <c r="O3027">
        <v>86000</v>
      </c>
      <c r="P3027" t="inlineStr">
        <is>
          <t>643d48b81b444b0001e3c8c8</t>
        </is>
      </c>
      <c r="Q3027" t="inlineStr">
        <is>
          <t>🚫重复</t>
        </is>
      </c>
      <c r="R3027" t="inlineStr">
        <is>
          <t>14周</t>
        </is>
      </c>
      <c r="S3027" t="inlineStr">
        <is>
          <t>1.00</t>
        </is>
      </c>
      <c r="T3027" t="inlineStr">
        <is>
          <t>服饰穿搭</t>
        </is>
      </c>
      <c r="U3027" t="inlineStr">
        <is>
          <t>女装</t>
        </is>
      </c>
      <c r="V3027" s="3">
        <v>46112.78107638889</v>
      </c>
      <c r="W3027" t="inlineStr">
        <is>
          <t>2026-Q1</t>
        </is>
      </c>
    </row>
    <row r="3028" ht="25.5" customHeight="1">
      <c r="A3028" t="inlineStr">
        <is>
          <t>一只圆目 版型超好！松弛感大V领短袖t恤女慵懒休闲上衣250222</t>
        </is>
      </c>
      <c r="B3028" t="inlineStr">
        <is>
          <t>recveNXG9tjsTh.jpg</t>
        </is>
      </c>
      <c r="C3028" s="2" t="str">
        <f>=HYPERLINK("https://xhslink.com/m/70cJUTwFNUt", "https://xhslink.com/m/70cJUTwFNUt")</f>
        <v>https://xhslink.com/m/70cJUTwFNUt</v>
      </c>
      <c r="D3028"/>
      <c r="E3028">
        <v>5817</v>
      </c>
      <c r="F3028">
        <v>59</v>
      </c>
      <c r="G3028"/>
      <c r="H3028">
        <v>100</v>
      </c>
      <c r="I3028" t="inlineStr">
        <is>
          <t>T恤</t>
        </is>
      </c>
      <c r="J3028" t="inlineStr">
        <is>
          <t>0.02</t>
        </is>
      </c>
      <c r="K3028"/>
      <c r="L3028" t="inlineStr">
        <is>
          <t>一只圆目的店</t>
        </is>
      </c>
      <c r="M3028">
        <v>31000</v>
      </c>
      <c r="N3028">
        <v>4.58</v>
      </c>
      <c r="O3028">
        <v>228000</v>
      </c>
      <c r="P3028" t="inlineStr">
        <is>
          <t>6864f9f67ec78a00013d2680</t>
        </is>
      </c>
      <c r="Q3028" t="inlineStr">
        <is>
          <t>🚫重复</t>
        </is>
      </c>
      <c r="R3028" t="inlineStr">
        <is>
          <t>14周</t>
        </is>
      </c>
      <c r="S3028" t="inlineStr">
        <is>
          <t>0.19</t>
        </is>
      </c>
      <c r="T3028" t="inlineStr">
        <is>
          <t>服饰穿搭</t>
        </is>
      </c>
      <c r="U3028" t="inlineStr">
        <is>
          <t>女装</t>
        </is>
      </c>
      <c r="V3028" s="3">
        <v>46112.78107638889</v>
      </c>
      <c r="W3028" t="inlineStr">
        <is>
          <t>2026-Q1</t>
        </is>
      </c>
    </row>
    <row r="3029" ht="25.5" customHeight="1">
      <c r="A3029" t="inlineStr">
        <is>
          <t>夏季多巴胺日系纯棉短袖t恤女短款修身别致设计感百搭小众上衣</t>
        </is>
      </c>
      <c r="B3029" t="inlineStr">
        <is>
          <t>recveNXG9tuh3N.jpg</t>
        </is>
      </c>
      <c r="C3029" s="2" t="str">
        <f>=HYPERLINK("https://xhslink.com/m/5rg5JghP3jY", "https://xhslink.com/m/5rg5JghP3jY")</f>
        <v>https://xhslink.com/m/5rg5JghP3jY</v>
      </c>
      <c r="D3029"/>
      <c r="E3029">
        <v>1734</v>
      </c>
      <c r="F3029">
        <v>49.8</v>
      </c>
      <c r="G3029">
        <v>39.8</v>
      </c>
      <c r="H3029">
        <v>100</v>
      </c>
      <c r="I3029" t="inlineStr">
        <is>
          <t>T恤</t>
        </is>
      </c>
      <c r="J3029" t="inlineStr">
        <is>
          <t>0.06</t>
        </is>
      </c>
      <c r="K3029"/>
      <c r="L3029" t="inlineStr">
        <is>
          <t>杨听听原创服装的店</t>
        </is>
      </c>
      <c r="M3029">
        <v>1428</v>
      </c>
      <c r="N3029">
        <v>4.48</v>
      </c>
      <c r="O3029">
        <v>17000</v>
      </c>
      <c r="P3029" t="inlineStr">
        <is>
          <t>684796defab3990001b814d4</t>
        </is>
      </c>
      <c r="Q3029" t="inlineStr">
        <is>
          <t>🚫重复</t>
        </is>
      </c>
      <c r="R3029" t="inlineStr">
        <is>
          <t>14周</t>
        </is>
      </c>
      <c r="S3029" t="inlineStr">
        <is>
          <t>1.21</t>
        </is>
      </c>
      <c r="T3029" t="inlineStr">
        <is>
          <t>服饰穿搭</t>
        </is>
      </c>
      <c r="U3029" t="inlineStr">
        <is>
          <t>女装</t>
        </is>
      </c>
      <c r="V3029" s="3">
        <v>46112.78107638889</v>
      </c>
      <c r="W3029" t="inlineStr">
        <is>
          <t>2026-Q1</t>
        </is>
      </c>
    </row>
    <row r="3030" ht="25.5" customHeight="1">
      <c r="A3030" t="inlineStr">
        <is>
          <t>超弹巨好穿百搭极简T恤 百搭上衣 女</t>
        </is>
      </c>
      <c r="B3030" t="inlineStr">
        <is>
          <t>recveNXG9t1FGx.jpg</t>
        </is>
      </c>
      <c r="C3030" s="2" t="str">
        <f>=HYPERLINK("https://xhslink.com/m/VTeyjm7kZT", "https://xhslink.com/m/VTeyjm7kZT")</f>
        <v>https://xhslink.com/m/VTeyjm7kZT</v>
      </c>
      <c r="D3030"/>
      <c r="E3030">
        <v>8724</v>
      </c>
      <c r="F3030">
        <v>299</v>
      </c>
      <c r="G3030">
        <v>199</v>
      </c>
      <c r="H3030">
        <v>100</v>
      </c>
      <c r="I3030" t="inlineStr">
        <is>
          <t>T恤</t>
        </is>
      </c>
      <c r="J3030" t="inlineStr">
        <is>
          <t>0.01</t>
        </is>
      </c>
      <c r="K3030"/>
      <c r="L3030" t="inlineStr">
        <is>
          <t>姝瑶的店</t>
        </is>
      </c>
      <c r="M3030">
        <v>34000</v>
      </c>
      <c r="N3030">
        <v>4.68</v>
      </c>
      <c r="O3030">
        <v>35000</v>
      </c>
      <c r="P3030" t="inlineStr">
        <is>
          <t>67d8d7bd0144270001f0c0c2</t>
        </is>
      </c>
      <c r="Q3030" t="inlineStr">
        <is>
          <t>🚫重复</t>
        </is>
      </c>
      <c r="R3030" t="inlineStr">
        <is>
          <t>14周</t>
        </is>
      </c>
      <c r="S3030" t="inlineStr">
        <is>
          <t>0.26</t>
        </is>
      </c>
      <c r="T3030" t="inlineStr">
        <is>
          <t>服饰穿搭</t>
        </is>
      </c>
      <c r="U3030" t="inlineStr">
        <is>
          <t>女装</t>
        </is>
      </c>
      <c r="V3030" s="3">
        <v>46112.78107638889</v>
      </c>
      <c r="W3030" t="inlineStr">
        <is>
          <t>2026-Q1</t>
        </is>
      </c>
    </row>
    <row r="3031" ht="25.5" customHeight="1">
      <c r="A3031" t="inlineStr">
        <is>
          <t>李琴琴Lily·【棉质 系列】圆领正肩掐腰短袖修身紧身显瘦T恤</t>
        </is>
      </c>
      <c r="B3031" t="inlineStr">
        <is>
          <t>recveNXG9tFnNw.jpg</t>
        </is>
      </c>
      <c r="C3031" s="2" t="str">
        <f>=HYPERLINK("https://xhslink.com/m/3fphJlKw8oh", "https://xhslink.com/m/3fphJlKw8oh")</f>
        <v>https://xhslink.com/m/3fphJlKw8oh</v>
      </c>
      <c r="D3031"/>
      <c r="E3031">
        <v>6009</v>
      </c>
      <c r="F3031">
        <v>109</v>
      </c>
      <c r="G3031">
        <v>69</v>
      </c>
      <c r="H3031">
        <v>100</v>
      </c>
      <c r="I3031" t="inlineStr">
        <is>
          <t>T恤</t>
        </is>
      </c>
      <c r="J3031" t="inlineStr">
        <is>
          <t>0.02</t>
        </is>
      </c>
      <c r="K3031"/>
      <c r="L3031" t="inlineStr">
        <is>
          <t>李琴琴Lily的店</t>
        </is>
      </c>
      <c r="M3031">
        <v>37000</v>
      </c>
      <c r="N3031">
        <v>4.71</v>
      </c>
      <c r="O3031">
        <v>383000</v>
      </c>
      <c r="P3031" t="inlineStr">
        <is>
          <t>67f50c8c2a334f0001b8cbb5</t>
        </is>
      </c>
      <c r="Q3031" t="inlineStr">
        <is>
          <t>🚫重复</t>
        </is>
      </c>
      <c r="R3031" t="inlineStr">
        <is>
          <t>14周</t>
        </is>
      </c>
      <c r="S3031" t="inlineStr">
        <is>
          <t>0.16</t>
        </is>
      </c>
      <c r="T3031" t="inlineStr">
        <is>
          <t>服饰穿搭</t>
        </is>
      </c>
      <c r="U3031" t="inlineStr">
        <is>
          <t>女装</t>
        </is>
      </c>
      <c r="V3031" s="3">
        <v>46112.78107638889</v>
      </c>
      <c r="W3031" t="inlineStr">
        <is>
          <t>2026-Q1</t>
        </is>
      </c>
    </row>
    <row r="3032" ht="25.5" customHeight="1">
      <c r="A3032" t="inlineStr">
        <is>
          <t>她奢 · 性价比天花板 口碑！B眼入系列 夏日基础款小飞袖弹力修身正肩T恤</t>
        </is>
      </c>
      <c r="B3032" t="inlineStr">
        <is>
          <t>recveNXG9tTmbM.jpg</t>
        </is>
      </c>
      <c r="C3032" s="2" t="str">
        <f>=HYPERLINK("https://xhslink.com/m/84cLoNGnZQp", "https://xhslink.com/m/84cLoNGnZQp")</f>
        <v>https://xhslink.com/m/84cLoNGnZQp</v>
      </c>
      <c r="D3032"/>
      <c r="E3032">
        <v>2329</v>
      </c>
      <c r="F3032">
        <v>39.99</v>
      </c>
      <c r="G3032">
        <v>29.99</v>
      </c>
      <c r="H3032">
        <v>100</v>
      </c>
      <c r="I3032" t="inlineStr">
        <is>
          <t>T恤</t>
        </is>
      </c>
      <c r="J3032" t="inlineStr">
        <is>
          <t>0.04</t>
        </is>
      </c>
      <c r="K3032"/>
      <c r="L3032" t="inlineStr">
        <is>
          <t>她奢的店</t>
        </is>
      </c>
      <c r="M3032">
        <v>529000</v>
      </c>
      <c r="N3032">
        <v>4.55</v>
      </c>
      <c r="O3032">
        <v>4323000</v>
      </c>
      <c r="P3032" t="inlineStr">
        <is>
          <t>69ae38e411535800154453e2</t>
        </is>
      </c>
      <c r="Q3032" t="inlineStr">
        <is>
          <t>🚫重复</t>
        </is>
      </c>
      <c r="R3032" t="inlineStr">
        <is>
          <t>14周</t>
        </is>
      </c>
      <c r="S3032" t="inlineStr">
        <is>
          <t>0.00</t>
        </is>
      </c>
      <c r="T3032" t="inlineStr">
        <is>
          <t>服饰穿搭</t>
        </is>
      </c>
      <c r="U3032" t="inlineStr">
        <is>
          <t>女装</t>
        </is>
      </c>
      <c r="V3032" s="3">
        <v>46112.78107638889</v>
      </c>
      <c r="W3032" t="inlineStr">
        <is>
          <t>2026-Q1</t>
        </is>
      </c>
    </row>
    <row r="3033" ht="25.5" customHeight="1">
      <c r="A3033" t="inlineStr">
        <is>
          <t>CTJZ•STO · 170+高个子/春夏法式卷边微透长袖女纯欲薄款罩衫宽松T恤上衣</t>
        </is>
      </c>
      <c r="B3033" t="inlineStr">
        <is>
          <t>recveNXG9tlCSL.jpg</t>
        </is>
      </c>
      <c r="C3033" s="2" t="str">
        <f>=HYPERLINK("https://xhslink.com/m/981ioNf1L8d", "https://xhslink.com/m/981ioNf1L8d")</f>
        <v>https://xhslink.com/m/981ioNf1L8d</v>
      </c>
      <c r="D3033"/>
      <c r="E3033">
        <v>4230</v>
      </c>
      <c r="F3033">
        <v>59.9</v>
      </c>
      <c r="G3033">
        <v>49.9</v>
      </c>
      <c r="H3033">
        <v>100</v>
      </c>
      <c r="I3033" t="inlineStr">
        <is>
          <t>T恤</t>
        </is>
      </c>
      <c r="J3033" t="inlineStr">
        <is>
          <t>0.02</t>
        </is>
      </c>
      <c r="K3033"/>
      <c r="L3033" t="inlineStr">
        <is>
          <t>长腿家族（高个子穿搭）的店</t>
        </is>
      </c>
      <c r="M3033">
        <v>229000</v>
      </c>
      <c r="N3033">
        <v>4.64</v>
      </c>
      <c r="O3033">
        <v>689000</v>
      </c>
      <c r="P3033" t="inlineStr">
        <is>
          <t>69a02bd434470f000106f275</t>
        </is>
      </c>
      <c r="Q3033"/>
      <c r="R3033" t="inlineStr">
        <is>
          <t>14周</t>
        </is>
      </c>
      <c r="S3033" t="inlineStr">
        <is>
          <t>0.02</t>
        </is>
      </c>
      <c r="T3033" t="inlineStr">
        <is>
          <t>服饰穿搭</t>
        </is>
      </c>
      <c r="U3033" t="inlineStr">
        <is>
          <t>女装</t>
        </is>
      </c>
      <c r="V3033" s="3">
        <v>46112.78107638889</v>
      </c>
      <c r="W3033" t="inlineStr">
        <is>
          <t>2026-Q1</t>
        </is>
      </c>
    </row>
    <row r="3034" ht="25.5" customHeight="1">
      <c r="A3034" t="inlineStr">
        <is>
          <t>秋冬山系哈梭明线长袖t恤 城市轻户外风宽松运动上衣 男女情侣款</t>
        </is>
      </c>
      <c r="B3034" t="inlineStr">
        <is>
          <t>recveNXG9tlaHb.jpg</t>
        </is>
      </c>
      <c r="C3034" s="2" t="str">
        <f>=HYPERLINK("https://xhslink.com/m/zFHCPPPfAy", "https://xhslink.com/m/zFHCPPPfAy")</f>
        <v>https://xhslink.com/m/zFHCPPPfAy</v>
      </c>
      <c r="D3034"/>
      <c r="E3034">
        <v>1418</v>
      </c>
      <c r="F3034">
        <v>99</v>
      </c>
      <c r="G3034">
        <v>69.9</v>
      </c>
      <c r="H3034">
        <v>100</v>
      </c>
      <c r="I3034" t="inlineStr">
        <is>
          <t>T恤</t>
        </is>
      </c>
      <c r="J3034" t="inlineStr">
        <is>
          <t>0.07</t>
        </is>
      </c>
      <c r="K3034"/>
      <c r="L3034" t="inlineStr">
        <is>
          <t>山虎外贸的店</t>
        </is>
      </c>
      <c r="M3034">
        <v>10000</v>
      </c>
      <c r="N3034">
        <v>4.6</v>
      </c>
      <c r="O3034">
        <v>47000</v>
      </c>
      <c r="P3034" t="inlineStr">
        <is>
          <t>68a09a7da1d30c0001f07df9</t>
        </is>
      </c>
      <c r="Q3034"/>
      <c r="R3034" t="inlineStr">
        <is>
          <t>14周</t>
        </is>
      </c>
      <c r="S3034" t="inlineStr">
        <is>
          <t>0.14</t>
        </is>
      </c>
      <c r="T3034" t="inlineStr">
        <is>
          <t>服饰穿搭</t>
        </is>
      </c>
      <c r="U3034" t="inlineStr">
        <is>
          <t>女装</t>
        </is>
      </c>
      <c r="V3034" s="3">
        <v>46112.78107638889</v>
      </c>
      <c r="W3034" t="inlineStr">
        <is>
          <t>2026-Q1</t>
        </is>
      </c>
    </row>
    <row r="3035" ht="25.5" customHeight="1">
      <c r="A3035" t="inlineStr">
        <is>
          <t>小玫瑰·夏季雪花棉短袖宽松T恤慵懒感上衣显瘦百搭清爽透气夏天</t>
        </is>
      </c>
      <c r="B3035" t="inlineStr">
        <is>
          <t>recveNXG9tLss6.jpg</t>
        </is>
      </c>
      <c r="C3035" s="2" t="str">
        <f>=HYPERLINK("https://xhslink.com/m/2wFhxexvkNK", "https://xhslink.com/m/2wFhxexvkNK")</f>
        <v>https://xhslink.com/m/2wFhxexvkNK</v>
      </c>
      <c r="D3035"/>
      <c r="E3035">
        <v>745</v>
      </c>
      <c r="F3035">
        <v>69</v>
      </c>
      <c r="G3035">
        <v>55</v>
      </c>
      <c r="H3035">
        <v>100</v>
      </c>
      <c r="I3035" t="inlineStr">
        <is>
          <t>T恤</t>
        </is>
      </c>
      <c r="J3035" t="inlineStr">
        <is>
          <t>0.13</t>
        </is>
      </c>
      <c r="K3035"/>
      <c r="L3035" t="inlineStr">
        <is>
          <t>小周超有钱的店</t>
        </is>
      </c>
      <c r="M3035">
        <v>5934</v>
      </c>
      <c r="N3035">
        <v>4.81</v>
      </c>
      <c r="O3035">
        <v>27000</v>
      </c>
      <c r="P3035" t="inlineStr">
        <is>
          <t>6863f830e47da7000160c12c</t>
        </is>
      </c>
      <c r="Q3035" t="inlineStr">
        <is>
          <t>🚫重复</t>
        </is>
      </c>
      <c r="R3035" t="inlineStr">
        <is>
          <t>14周</t>
        </is>
      </c>
      <c r="S3035" t="inlineStr">
        <is>
          <t>0.13</t>
        </is>
      </c>
      <c r="T3035" t="inlineStr">
        <is>
          <t>服饰穿搭</t>
        </is>
      </c>
      <c r="U3035" t="inlineStr">
        <is>
          <t>女装</t>
        </is>
      </c>
      <c r="V3035" s="3">
        <v>46112.78107638889</v>
      </c>
      <c r="W3035" t="inlineStr">
        <is>
          <t>2026-Q1</t>
        </is>
      </c>
    </row>
    <row r="3036" ht="25.5" customHeight="1">
      <c r="A3036" t="inlineStr">
        <is>
          <t>SRK · S2CW0189 经典黑白条纹设计感短袖针织衫优雅百搭T恤圆领显瘦短款</t>
        </is>
      </c>
      <c r="B3036" t="inlineStr">
        <is>
          <t>recveNXG9tDhTo.jpg</t>
        </is>
      </c>
      <c r="C3036" s="2" t="str">
        <f>=HYPERLINK("https://xhslink.com/m/3dgNvvtz4ec", "https://xhslink.com/m/3dgNvvtz4ec")</f>
        <v>https://xhslink.com/m/3dgNvvtz4ec</v>
      </c>
      <c r="D3036"/>
      <c r="E3036">
        <v>5258</v>
      </c>
      <c r="F3036">
        <v>119</v>
      </c>
      <c r="G3036">
        <v>104.72</v>
      </c>
      <c r="H3036">
        <v>100</v>
      </c>
      <c r="I3036" t="inlineStr">
        <is>
          <t>T恤</t>
        </is>
      </c>
      <c r="J3036" t="inlineStr">
        <is>
          <t>0.02</t>
        </is>
      </c>
      <c r="K3036"/>
      <c r="L3036" t="inlineStr">
        <is>
          <t>SRK Boutique的店</t>
        </is>
      </c>
      <c r="M3036">
        <v>18000</v>
      </c>
      <c r="N3036">
        <v>4.62</v>
      </c>
      <c r="O3036">
        <v>195000</v>
      </c>
      <c r="P3036" t="inlineStr">
        <is>
          <t>6663cc5a5a06930001b3c653</t>
        </is>
      </c>
      <c r="Q3036"/>
      <c r="R3036" t="inlineStr">
        <is>
          <t>14周</t>
        </is>
      </c>
      <c r="S3036" t="inlineStr">
        <is>
          <t>0.29</t>
        </is>
      </c>
      <c r="T3036" t="inlineStr">
        <is>
          <t>服饰穿搭</t>
        </is>
      </c>
      <c r="U3036" t="inlineStr">
        <is>
          <t>女装</t>
        </is>
      </c>
      <c r="V3036" s="3">
        <v>46112.78107638889</v>
      </c>
      <c r="W3036" t="inlineStr">
        <is>
          <t>2026-Q1</t>
        </is>
      </c>
    </row>
    <row r="3037" ht="25.5" customHeight="1">
      <c r="A3037" t="inlineStr">
        <is>
          <t>猫屿花事原创浮游植物无火香薰礼盒手工生日礼物小众高级送男女生</t>
        </is>
      </c>
      <c r="B3037" t="inlineStr">
        <is>
          <t>recveNXG9t4Xg2.jpg</t>
        </is>
      </c>
      <c r="C3037" s="2" t="str">
        <f>=HYPERLINK("https://xhslink.com/m/7jMj5kVBCmx", "https://xhslink.com/m/7jMj5kVBCmx")</f>
        <v>https://xhslink.com/m/7jMj5kVBCmx</v>
      </c>
      <c r="D3037"/>
      <c r="E3037">
        <v>17000</v>
      </c>
      <c r="F3037">
        <v>68</v>
      </c>
      <c r="G3037">
        <v>63</v>
      </c>
      <c r="H3037">
        <v>100</v>
      </c>
      <c r="I3037" t="inlineStr">
        <is>
          <t>香薰</t>
        </is>
      </c>
      <c r="J3037" t="inlineStr">
        <is>
          <t>0.01</t>
        </is>
      </c>
      <c r="K3037"/>
      <c r="L3037" t="inlineStr">
        <is>
          <t>猫屿花事FlowerXcats的店</t>
        </is>
      </c>
      <c r="M3037">
        <v>6435</v>
      </c>
      <c r="N3037">
        <v>4.73</v>
      </c>
      <c r="O3037">
        <v>19000</v>
      </c>
      <c r="P3037" t="inlineStr">
        <is>
          <t>66abad04a9bd4d0001657a38</t>
        </is>
      </c>
      <c r="Q3037"/>
      <c r="R3037" t="inlineStr">
        <is>
          <t>14周</t>
        </is>
      </c>
      <c r="S3037" t="inlineStr">
        <is>
          <t>2.64</t>
        </is>
      </c>
      <c r="T3037" t="inlineStr">
        <is>
          <t>家居生活</t>
        </is>
      </c>
      <c r="U3037" t="inlineStr">
        <is>
          <t>家居日用</t>
        </is>
      </c>
      <c r="V3037" s="3">
        <v>46112.78107638889</v>
      </c>
      <c r="W3037" t="inlineStr">
        <is>
          <t>2026-Q1</t>
        </is>
      </c>
    </row>
    <row r="3038" ht="25.5" customHeight="1">
      <c r="A3038" t="inlineStr">
        <is>
          <t>喜净 · 泰国Hygiene·香氛包·清新去味持久释香</t>
        </is>
      </c>
      <c r="B3038" t="inlineStr">
        <is>
          <t>recveNXG9t1Cnj.jpg</t>
        </is>
      </c>
      <c r="C3038" s="2" t="str">
        <f>=HYPERLINK("https://xhslink.com/m/4Ce6TMSSmsE", "https://xhslink.com/m/4Ce6TMSSmsE")</f>
        <v>https://xhslink.com/m/4Ce6TMSSmsE</v>
      </c>
      <c r="D3038"/>
      <c r="E3038">
        <v>45000</v>
      </c>
      <c r="F3038">
        <v>58.2</v>
      </c>
      <c r="G3038">
        <v>49.2</v>
      </c>
      <c r="H3038">
        <v>100</v>
      </c>
      <c r="I3038" t="inlineStr">
        <is>
          <t>香薰</t>
        </is>
      </c>
      <c r="J3038" t="inlineStr">
        <is>
          <t>0.00</t>
        </is>
      </c>
      <c r="K3038"/>
      <c r="L3038" t="inlineStr">
        <is>
          <t>喜净旗舰店</t>
        </is>
      </c>
      <c r="M3038">
        <v>42000</v>
      </c>
      <c r="N3038">
        <v>4.54</v>
      </c>
      <c r="O3038">
        <v>410000</v>
      </c>
      <c r="P3038" t="inlineStr">
        <is>
          <t>67232a5710adb500011a6a9f</t>
        </is>
      </c>
      <c r="Q3038"/>
      <c r="R3038" t="inlineStr">
        <is>
          <t>14周</t>
        </is>
      </c>
      <c r="S3038" t="inlineStr">
        <is>
          <t>1.07</t>
        </is>
      </c>
      <c r="T3038" t="inlineStr">
        <is>
          <t>家居生活</t>
        </is>
      </c>
      <c r="U3038" t="inlineStr">
        <is>
          <t>家居日用</t>
        </is>
      </c>
      <c r="V3038" s="3">
        <v>46112.78107638889</v>
      </c>
      <c r="W3038" t="inlineStr">
        <is>
          <t>2026-Q1</t>
        </is>
      </c>
    </row>
    <row r="3039" ht="25.5" customHeight="1">
      <c r="A3039" t="inlineStr">
        <is>
          <t>椰子扩香石香薰礼盒家用小众高级持久无火香薰生日礼物玄关摆件</t>
        </is>
      </c>
      <c r="B3039" t="inlineStr">
        <is>
          <t>recveNXG9tUGVi.jpg</t>
        </is>
      </c>
      <c r="C3039" s="2" t="str">
        <f>=HYPERLINK("https://xhslink.com/m/53AsHMXqWj2", "https://xhslink.com/m/53AsHMXqWj2")</f>
        <v>https://xhslink.com/m/53AsHMXqWj2</v>
      </c>
      <c r="D3039"/>
      <c r="E3039">
        <v>19000</v>
      </c>
      <c r="F3039">
        <v>98.8</v>
      </c>
      <c r="G3039">
        <v>83.98</v>
      </c>
      <c r="H3039">
        <v>100</v>
      </c>
      <c r="I3039" t="inlineStr">
        <is>
          <t>香薰</t>
        </is>
      </c>
      <c r="J3039" t="inlineStr">
        <is>
          <t>0.01</t>
        </is>
      </c>
      <c r="K3039" t="inlineStr">
        <is>
          <t>🔥低粉爆款</t>
        </is>
      </c>
      <c r="L3039" t="inlineStr">
        <is>
          <t>羊屿屋的店</t>
        </is>
      </c>
      <c r="M3039">
        <v>4336</v>
      </c>
      <c r="N3039">
        <v>4.72</v>
      </c>
      <c r="O3039">
        <v>35000</v>
      </c>
      <c r="P3039" t="inlineStr">
        <is>
          <t>66c993ebeb68400001310ef7</t>
        </is>
      </c>
      <c r="Q3039"/>
      <c r="R3039" t="inlineStr">
        <is>
          <t>14周</t>
        </is>
      </c>
      <c r="S3039" t="inlineStr">
        <is>
          <t>4.38</t>
        </is>
      </c>
      <c r="T3039" t="inlineStr">
        <is>
          <t>家居生活</t>
        </is>
      </c>
      <c r="U3039" t="inlineStr">
        <is>
          <t>家居日用</t>
        </is>
      </c>
      <c r="V3039" s="3">
        <v>46112.78107638889</v>
      </c>
      <c r="W3039" t="inlineStr">
        <is>
          <t>2026-Q1</t>
        </is>
      </c>
    </row>
    <row r="3040" ht="25.5" customHeight="1">
      <c r="A3040" t="inlineStr">
        <is>
          <t>室内无火香薰茶香藤条精油大容量持久扩香清新卧室厕所客厅空气</t>
        </is>
      </c>
      <c r="B3040" t="inlineStr">
        <is>
          <t>recveNXG9twxAs.jpg</t>
        </is>
      </c>
      <c r="C3040" s="2" t="str">
        <f>=HYPERLINK("https://xhslink.com/m/8YRnBNnEdL9", "https://xhslink.com/m/8YRnBNnEdL9")</f>
        <v>https://xhslink.com/m/8YRnBNnEdL9</v>
      </c>
      <c r="D3040"/>
      <c r="E3040">
        <v>15000</v>
      </c>
      <c r="F3040">
        <v>99</v>
      </c>
      <c r="G3040">
        <v>62</v>
      </c>
      <c r="H3040">
        <v>100</v>
      </c>
      <c r="I3040" t="inlineStr">
        <is>
          <t>香薰</t>
        </is>
      </c>
      <c r="J3040" t="inlineStr">
        <is>
          <t>0.01</t>
        </is>
      </c>
      <c r="K3040"/>
      <c r="L3040" t="inlineStr">
        <is>
          <t>Quivenic奇闻纪的店</t>
        </is>
      </c>
      <c r="M3040">
        <v>5256</v>
      </c>
      <c r="N3040">
        <v>4.6</v>
      </c>
      <c r="O3040">
        <v>113000</v>
      </c>
      <c r="P3040" t="inlineStr">
        <is>
          <t>686fb16b94b90700158be3be</t>
        </is>
      </c>
      <c r="Q3040" t="inlineStr">
        <is>
          <t>🚫重复</t>
        </is>
      </c>
      <c r="R3040" t="inlineStr">
        <is>
          <t>14周</t>
        </is>
      </c>
      <c r="S3040" t="inlineStr">
        <is>
          <t>2.85</t>
        </is>
      </c>
      <c r="T3040" t="inlineStr">
        <is>
          <t>家居生活</t>
        </is>
      </c>
      <c r="U3040" t="inlineStr">
        <is>
          <t>家居日用</t>
        </is>
      </c>
      <c r="V3040" s="3">
        <v>46112.78107638889</v>
      </c>
      <c r="W3040" t="inlineStr">
        <is>
          <t>2026-Q1</t>
        </is>
      </c>
    </row>
    <row r="3041" ht="25.5" customHeight="1">
      <c r="A3041" t="inlineStr">
        <is>
          <t>无火香薰晶石扩香石精油卧室持久精油家用摆件房间小众助眠香薰</t>
        </is>
      </c>
      <c r="B3041" t="inlineStr">
        <is>
          <t>recveNXG9t6EvK.jpg</t>
        </is>
      </c>
      <c r="C3041" s="2" t="str">
        <f>=HYPERLINK("https://xhslink.com/m/7NjDrTHdjI6", "https://xhslink.com/m/7NjDrTHdjI6")</f>
        <v>https://xhslink.com/m/7NjDrTHdjI6</v>
      </c>
      <c r="D3041"/>
      <c r="E3041">
        <v>9045</v>
      </c>
      <c r="F3041">
        <v>39.9</v>
      </c>
      <c r="G3041">
        <v>26.6</v>
      </c>
      <c r="H3041">
        <v>100</v>
      </c>
      <c r="I3041" t="inlineStr">
        <is>
          <t>香薰</t>
        </is>
      </c>
      <c r="J3041" t="inlineStr">
        <is>
          <t>0.01</t>
        </is>
      </c>
      <c r="K3041" t="inlineStr">
        <is>
          <t>🔥低粉爆款</t>
        </is>
      </c>
      <c r="L3041" t="inlineStr">
        <is>
          <t>叶楠盈香的店</t>
        </is>
      </c>
      <c r="M3041">
        <v>658</v>
      </c>
      <c r="N3041">
        <v>4.73</v>
      </c>
      <c r="O3041">
        <v>10000</v>
      </c>
      <c r="P3041" t="inlineStr">
        <is>
          <t>68b4228d26d3a40015262e0a</t>
        </is>
      </c>
      <c r="Q3041" t="inlineStr">
        <is>
          <t>🚫重复</t>
        </is>
      </c>
      <c r="R3041" t="inlineStr">
        <is>
          <t>14周</t>
        </is>
      </c>
      <c r="S3041" t="inlineStr">
        <is>
          <t>13.75</t>
        </is>
      </c>
      <c r="T3041" t="inlineStr">
        <is>
          <t>家居生活</t>
        </is>
      </c>
      <c r="U3041" t="inlineStr">
        <is>
          <t>家居日用</t>
        </is>
      </c>
      <c r="V3041" s="3">
        <v>46112.78107638889</v>
      </c>
      <c r="W3041" t="inlineStr">
        <is>
          <t>2026-Q1</t>
        </is>
      </c>
    </row>
    <row r="3042" ht="25.5" customHeight="1">
      <c r="A3042" t="inlineStr">
        <is>
          <t>和猫住 · 品牌直营【豆腐混合猫砂】经典奶香除臭吸水结团低粉尘</t>
        </is>
      </c>
      <c r="B3042" t="inlineStr">
        <is>
          <t>recveNXG9t3esb.jpg</t>
        </is>
      </c>
      <c r="C3042" s="2" t="str">
        <f>=HYPERLINK("https://xhslink.com/m/803JeUXmsqf", "https://xhslink.com/m/803JeUXmsqf")</f>
        <v>https://xhslink.com/m/803JeUXmsqf</v>
      </c>
      <c r="D3042"/>
      <c r="E3042">
        <v>21000</v>
      </c>
      <c r="F3042">
        <v>15.4</v>
      </c>
      <c r="G3042"/>
      <c r="H3042">
        <v>100</v>
      </c>
      <c r="I3042" t="inlineStr">
        <is>
          <t>除臭猫砂</t>
        </is>
      </c>
      <c r="J3042" t="inlineStr">
        <is>
          <t>0.00</t>
        </is>
      </c>
      <c r="K3042" t="inlineStr">
        <is>
          <t>🔥低粉爆款</t>
        </is>
      </c>
      <c r="L3042" t="inlineStr">
        <is>
          <t>和猫住小铺旗舰店</t>
        </is>
      </c>
      <c r="M3042">
        <v>4847</v>
      </c>
      <c r="N3042">
        <v>4.6</v>
      </c>
      <c r="O3042">
        <v>26000</v>
      </c>
      <c r="P3042" t="inlineStr">
        <is>
          <t>6747e8a6d505040001706122</t>
        </is>
      </c>
      <c r="Q3042" t="inlineStr">
        <is>
          <t>🚫重复</t>
        </is>
      </c>
      <c r="R3042" t="inlineStr">
        <is>
          <t>14周</t>
        </is>
      </c>
      <c r="S3042" t="inlineStr">
        <is>
          <t>4.33</t>
        </is>
      </c>
      <c r="T3042" t="inlineStr">
        <is>
          <t>家居生活</t>
        </is>
      </c>
      <c r="U3042" t="inlineStr">
        <is>
          <t>宠物用品</t>
        </is>
      </c>
      <c r="V3042" s="3">
        <v>46112.78107638889</v>
      </c>
      <c r="W3042" t="inlineStr">
        <is>
          <t>2026-Q1</t>
        </is>
      </c>
    </row>
    <row r="3043" ht="25.5" customHeight="1">
      <c r="A3043" t="inlineStr">
        <is>
          <t>和猫住 · 品牌直营【豆腐混合猫砂】经典奶香除臭吸水结团低粉尘</t>
        </is>
      </c>
      <c r="B3043" t="inlineStr">
        <is>
          <t>recveNXG9tF2ap.jpg</t>
        </is>
      </c>
      <c r="C3043" s="2" t="str">
        <f>=HYPERLINK("https://xhslink.com/m/eCNSAQtx8G", "https://xhslink.com/m/eCNSAQtx8G")</f>
        <v>https://xhslink.com/m/eCNSAQtx8G</v>
      </c>
      <c r="D3043"/>
      <c r="E3043">
        <v>21000</v>
      </c>
      <c r="F3043">
        <v>58</v>
      </c>
      <c r="G3043"/>
      <c r="H3043">
        <v>100</v>
      </c>
      <c r="I3043" t="inlineStr">
        <is>
          <t>豆腐猫砂</t>
        </is>
      </c>
      <c r="J3043" t="inlineStr">
        <is>
          <t>0.00</t>
        </is>
      </c>
      <c r="K3043" t="inlineStr">
        <is>
          <t>🔥低粉爆款</t>
        </is>
      </c>
      <c r="L3043" t="inlineStr">
        <is>
          <t>和猫住小铺旗舰店</t>
        </is>
      </c>
      <c r="M3043">
        <v>4847</v>
      </c>
      <c r="N3043">
        <v>4.6</v>
      </c>
      <c r="O3043">
        <v>26000</v>
      </c>
      <c r="P3043" t="inlineStr">
        <is>
          <t>6747e8a6d505040001706125</t>
        </is>
      </c>
      <c r="Q3043" t="inlineStr">
        <is>
          <t>🚫重复</t>
        </is>
      </c>
      <c r="R3043" t="inlineStr">
        <is>
          <t>14周</t>
        </is>
      </c>
      <c r="S3043" t="inlineStr">
        <is>
          <t>4.33</t>
        </is>
      </c>
      <c r="T3043" t="inlineStr">
        <is>
          <t>家居生活</t>
        </is>
      </c>
      <c r="U3043" t="inlineStr">
        <is>
          <t>宠物用品</t>
        </is>
      </c>
      <c r="V3043" s="3">
        <v>46112.78107638889</v>
      </c>
      <c r="W3043" t="inlineStr">
        <is>
          <t>2026-Q1</t>
        </is>
      </c>
    </row>
    <row r="3044" ht="25.5" customHeight="1">
      <c r="A3044" t="inlineStr">
        <is>
          <t>小乐魔 · SAP高分子豆腐混合猫砂除臭强吸水无尘不沾底快速结团可冲厕</t>
        </is>
      </c>
      <c r="B3044" t="inlineStr">
        <is>
          <t>recveNXG9thB2o.jpg</t>
        </is>
      </c>
      <c r="C3044" s="2" t="str">
        <f>=HYPERLINK("https://xhslink.com/m/AWApt1LotdD", "https://xhslink.com/m/AWApt1LotdD")</f>
        <v>https://xhslink.com/m/AWApt1LotdD</v>
      </c>
      <c r="D3044"/>
      <c r="E3044">
        <v>205000</v>
      </c>
      <c r="F3044">
        <v>18.8</v>
      </c>
      <c r="G3044">
        <v>15.98</v>
      </c>
      <c r="H3044">
        <v>100</v>
      </c>
      <c r="I3044" t="inlineStr">
        <is>
          <t>豆腐猫砂</t>
        </is>
      </c>
      <c r="J3044" t="inlineStr">
        <is>
          <t>0.00</t>
        </is>
      </c>
      <c r="K3044" t="inlineStr">
        <is>
          <t>🔥低粉爆款</t>
        </is>
      </c>
      <c r="L3044" t="inlineStr">
        <is>
          <t>小乐魔宠物猫砂的店</t>
        </is>
      </c>
      <c r="M3044">
        <v>4962</v>
      </c>
      <c r="N3044">
        <v>4.43</v>
      </c>
      <c r="O3044">
        <v>270000</v>
      </c>
      <c r="P3044" t="inlineStr">
        <is>
          <t>663884d8e2da560001a6bd49</t>
        </is>
      </c>
      <c r="Q3044" t="inlineStr">
        <is>
          <t>🚫重复</t>
        </is>
      </c>
      <c r="R3044" t="inlineStr">
        <is>
          <t>14周</t>
        </is>
      </c>
      <c r="S3044" t="inlineStr">
        <is>
          <t>41.31</t>
        </is>
      </c>
      <c r="T3044" t="inlineStr">
        <is>
          <t>家居生活</t>
        </is>
      </c>
      <c r="U3044" t="inlineStr">
        <is>
          <t>宠物用品</t>
        </is>
      </c>
      <c r="V3044" s="3">
        <v>46112.78107638889</v>
      </c>
      <c r="W3044" t="inlineStr">
        <is>
          <t>2026-Q1</t>
        </is>
      </c>
    </row>
    <row r="3045" ht="25.5" customHeight="1">
      <c r="A3045" t="inlineStr">
        <is>
          <t>猫咪饮水神器宠物自动喂水碗自动补水免滤芯清洁水源固定防倒</t>
        </is>
      </c>
      <c r="B3045" t="inlineStr">
        <is>
          <t>recveNXG9tiOMY.jpg</t>
        </is>
      </c>
      <c r="C3045" s="2" t="str">
        <f>=HYPERLINK("https://xhslink.com/m/2HpYw2jzswD", "https://xhslink.com/m/2HpYw2jzswD")</f>
        <v>https://xhslink.com/m/2HpYw2jzswD</v>
      </c>
      <c r="D3045"/>
      <c r="E3045">
        <v>12000</v>
      </c>
      <c r="F3045">
        <v>46.95</v>
      </c>
      <c r="G3045">
        <v>39.9</v>
      </c>
      <c r="H3045">
        <v>100</v>
      </c>
      <c r="I3045" t="inlineStr">
        <is>
          <t>猫咪饮水机</t>
        </is>
      </c>
      <c r="J3045" t="inlineStr">
        <is>
          <t>0.01</t>
        </is>
      </c>
      <c r="K3045" t="inlineStr">
        <is>
          <t>🔥低粉爆款</t>
        </is>
      </c>
      <c r="L3045" t="inlineStr">
        <is>
          <t>悠米BlissPet的店</t>
        </is>
      </c>
      <c r="M3045">
        <v>486</v>
      </c>
      <c r="N3045">
        <v>4.63</v>
      </c>
      <c r="O3045">
        <v>14000</v>
      </c>
      <c r="P3045" t="inlineStr">
        <is>
          <t>68ed2318c753610001e53112</t>
        </is>
      </c>
      <c r="Q3045"/>
      <c r="R3045" t="inlineStr">
        <is>
          <t>14周</t>
        </is>
      </c>
      <c r="S3045" t="inlineStr">
        <is>
          <t>24.69</t>
        </is>
      </c>
      <c r="T3045" t="inlineStr">
        <is>
          <t>家居生活</t>
        </is>
      </c>
      <c r="U3045" t="inlineStr">
        <is>
          <t>家居日用</t>
        </is>
      </c>
      <c r="V3045" s="3">
        <v>46112.78107638889</v>
      </c>
      <c r="W3045" t="inlineStr">
        <is>
          <t>2026-Q1</t>
        </is>
      </c>
    </row>
    <row r="3046" ht="25.5" customHeight="1">
      <c r="A3046" t="inlineStr">
        <is>
          <t>高档车载香薰汽车香氛持久留香淡香男女士车内香薰祛异味提车礼物</t>
        </is>
      </c>
      <c r="B3046" t="inlineStr">
        <is>
          <t>recveNXG9tU8lh.jpg</t>
        </is>
      </c>
      <c r="C3046" s="2" t="str">
        <f>=HYPERLINK("https://xhslink.com/m/8vuBXUwzfSz", "https://xhslink.com/m/8vuBXUwzfSz")</f>
        <v>https://xhslink.com/m/8vuBXUwzfSz</v>
      </c>
      <c r="D3046"/>
      <c r="E3046">
        <v>16000</v>
      </c>
      <c r="F3046">
        <v>42.8</v>
      </c>
      <c r="G3046">
        <v>26.8</v>
      </c>
      <c r="H3046">
        <v>100</v>
      </c>
      <c r="I3046" t="inlineStr">
        <is>
          <t>车载香薰</t>
        </is>
      </c>
      <c r="J3046" t="inlineStr">
        <is>
          <t>0.01</t>
        </is>
      </c>
      <c r="K3046" t="inlineStr">
        <is>
          <t>🔥低粉爆款</t>
        </is>
      </c>
      <c r="L3046" t="inlineStr">
        <is>
          <t>加点辣的店</t>
        </is>
      </c>
      <c r="M3046">
        <v>671</v>
      </c>
      <c r="N3046">
        <v>4.77</v>
      </c>
      <c r="O3046">
        <v>17000</v>
      </c>
      <c r="P3046" t="inlineStr">
        <is>
          <t>691db4d0dbfbf50001c0ef30</t>
        </is>
      </c>
      <c r="Q3046"/>
      <c r="R3046" t="inlineStr">
        <is>
          <t>14周</t>
        </is>
      </c>
      <c r="S3046" t="inlineStr">
        <is>
          <t>23.85</t>
        </is>
      </c>
      <c r="T3046" t="inlineStr">
        <is>
          <t>家居生活</t>
        </is>
      </c>
      <c r="U3046" t="inlineStr">
        <is>
          <t>家居日用</t>
        </is>
      </c>
      <c r="V3046" s="3">
        <v>46112.78107638889</v>
      </c>
      <c r="W3046" t="inlineStr">
        <is>
          <t>2026-Q1</t>
        </is>
      </c>
    </row>
    <row r="3047" ht="25.5" customHeight="1">
      <c r="A3047" t="inlineStr">
        <is>
          <t>Find it · 小圆瓶车载香薰汽车香水淡香味祛异味持久留香</t>
        </is>
      </c>
      <c r="B3047" t="inlineStr">
        <is>
          <t>recveNXG9tUtGL.jpg</t>
        </is>
      </c>
      <c r="C3047" s="2" t="str">
        <f>=HYPERLINK("https://xhslink.com/m/5AaQ15nYstY", "https://xhslink.com/m/5AaQ15nYstY")</f>
        <v>https://xhslink.com/m/5AaQ15nYstY</v>
      </c>
      <c r="D3047"/>
      <c r="E3047">
        <v>41000</v>
      </c>
      <c r="F3047">
        <v>59</v>
      </c>
      <c r="G3047"/>
      <c r="H3047">
        <v>100</v>
      </c>
      <c r="I3047" t="inlineStr">
        <is>
          <t>车载香薰</t>
        </is>
      </c>
      <c r="J3047" t="inlineStr">
        <is>
          <t>0.00</t>
        </is>
      </c>
      <c r="K3047" t="inlineStr">
        <is>
          <t>🔥低粉爆款</t>
        </is>
      </c>
      <c r="L3047" t="inlineStr">
        <is>
          <t>Find it车载香薰的店</t>
        </is>
      </c>
      <c r="M3047">
        <v>1739</v>
      </c>
      <c r="N3047">
        <v>3.76</v>
      </c>
      <c r="O3047">
        <v>49000</v>
      </c>
      <c r="P3047" t="inlineStr">
        <is>
          <t>672dc0d86a6c18000196d02e</t>
        </is>
      </c>
      <c r="Q3047" t="inlineStr">
        <is>
          <t>🚫重复</t>
        </is>
      </c>
      <c r="R3047" t="inlineStr">
        <is>
          <t>14周</t>
        </is>
      </c>
      <c r="S3047" t="inlineStr">
        <is>
          <t>23.58</t>
        </is>
      </c>
      <c r="T3047" t="inlineStr">
        <is>
          <t>家居生活</t>
        </is>
      </c>
      <c r="U3047" t="inlineStr">
        <is>
          <t>家居日用</t>
        </is>
      </c>
      <c r="V3047" s="3">
        <v>46112.78107638889</v>
      </c>
      <c r="W3047" t="inlineStr">
        <is>
          <t>2026-Q1</t>
        </is>
      </c>
    </row>
    <row r="3048" ht="25.5" customHeight="1">
      <c r="A3048" t="inlineStr">
        <is>
          <t>birdtalk · 童梦系列石膏挂片车载香薰车载持久香薰香氛</t>
        </is>
      </c>
      <c r="B3048" t="inlineStr">
        <is>
          <t>recveNXG9tgJvM.jpg</t>
        </is>
      </c>
      <c r="C3048" s="2" t="str">
        <f>=HYPERLINK("https://xhslink.com/m/3q6Zqdp5goI", "https://xhslink.com/m/3q6Zqdp5goI")</f>
        <v>https://xhslink.com/m/3q6Zqdp5goI</v>
      </c>
      <c r="D3048"/>
      <c r="E3048">
        <v>21000</v>
      </c>
      <c r="F3048">
        <v>38</v>
      </c>
      <c r="G3048">
        <v>29.9</v>
      </c>
      <c r="H3048">
        <v>100</v>
      </c>
      <c r="I3048" t="inlineStr">
        <is>
          <t>车载香薰</t>
        </is>
      </c>
      <c r="J3048" t="inlineStr">
        <is>
          <t>0.00</t>
        </is>
      </c>
      <c r="K3048"/>
      <c r="L3048" t="inlineStr">
        <is>
          <t>birdtalk布尔桃香薰旗舰店</t>
        </is>
      </c>
      <c r="M3048">
        <v>44000</v>
      </c>
      <c r="N3048">
        <v>3.95</v>
      </c>
      <c r="O3048">
        <v>52000</v>
      </c>
      <c r="P3048" t="inlineStr">
        <is>
          <t>67e614b9c90d830001a7a4e8</t>
        </is>
      </c>
      <c r="Q3048"/>
      <c r="R3048" t="inlineStr">
        <is>
          <t>14周</t>
        </is>
      </c>
      <c r="S3048" t="inlineStr">
        <is>
          <t>0.48</t>
        </is>
      </c>
      <c r="T3048" t="inlineStr">
        <is>
          <t>家居生活</t>
        </is>
      </c>
      <c r="U3048" t="inlineStr">
        <is>
          <t>家居日用</t>
        </is>
      </c>
      <c r="V3048" s="3">
        <v>46112.78107638889</v>
      </c>
      <c r="W3048" t="inlineStr">
        <is>
          <t>2026-Q1</t>
        </is>
      </c>
    </row>
    <row r="3049" ht="25.5" customHeight="1">
      <c r="A3049" t="inlineStr">
        <is>
          <t>工装裤女美式复古百搭阔腿裤夏季新款垂感宽松显瘦休闲运动裤</t>
        </is>
      </c>
      <c r="B3049" t="inlineStr">
        <is>
          <t>recveNXG9tpbqZ.jpg</t>
        </is>
      </c>
      <c r="C3049" s="2" t="str">
        <f>=HYPERLINK("https://xhslink.com/m/7u3O7l6kZ0Q", "https://xhslink.com/m/7u3O7l6kZ0Q")</f>
        <v>https://xhslink.com/m/7u3O7l6kZ0Q</v>
      </c>
      <c r="D3049"/>
      <c r="E3049">
        <v>94000</v>
      </c>
      <c r="F3049">
        <v>79.9</v>
      </c>
      <c r="G3049"/>
      <c r="H3049">
        <v>100</v>
      </c>
      <c r="I3049" t="inlineStr">
        <is>
          <t>运动裤</t>
        </is>
      </c>
      <c r="J3049" t="inlineStr">
        <is>
          <t>0.00</t>
        </is>
      </c>
      <c r="K3049" t="inlineStr">
        <is>
          <t>🔥低粉爆款</t>
        </is>
      </c>
      <c r="L3049" t="inlineStr">
        <is>
          <t>猫猫不耶的店</t>
        </is>
      </c>
      <c r="M3049">
        <v>22000</v>
      </c>
      <c r="N3049">
        <v>4.37</v>
      </c>
      <c r="O3049">
        <v>390000</v>
      </c>
      <c r="P3049" t="inlineStr">
        <is>
          <t>66598b4b1fd02f000152f4c4</t>
        </is>
      </c>
      <c r="Q3049" t="inlineStr">
        <is>
          <t>🚫重复</t>
        </is>
      </c>
      <c r="R3049" t="inlineStr">
        <is>
          <t>14周</t>
        </is>
      </c>
      <c r="S3049" t="inlineStr">
        <is>
          <t>4.27</t>
        </is>
      </c>
      <c r="T3049" t="inlineStr">
        <is>
          <t>服饰穿搭</t>
        </is>
      </c>
      <c r="U3049" t="inlineStr">
        <is>
          <t>女装</t>
        </is>
      </c>
      <c r="V3049" s="3">
        <v>46112.78107638889</v>
      </c>
      <c r="W3049" t="inlineStr">
        <is>
          <t>2026-Q1</t>
        </is>
      </c>
    </row>
    <row r="3050" ht="25.5" customHeight="1">
      <c r="A3050" t="inlineStr">
        <is>
          <t>直筒休闲运动卫裤女2026春季新款小个子女装阔腿裤子显瘦高腰女裤</t>
        </is>
      </c>
      <c r="B3050" t="inlineStr">
        <is>
          <t>recveNXG9t34k5.jpg</t>
        </is>
      </c>
      <c r="C3050" s="2" t="str">
        <f>=HYPERLINK("https://xhslink.com/m/8Kzjm4JrbWo", "https://xhslink.com/m/8Kzjm4JrbWo")</f>
        <v>https://xhslink.com/m/8Kzjm4JrbWo</v>
      </c>
      <c r="D3050"/>
      <c r="E3050">
        <v>68000</v>
      </c>
      <c r="F3050">
        <v>114.2</v>
      </c>
      <c r="G3050">
        <v>79.9</v>
      </c>
      <c r="H3050">
        <v>100</v>
      </c>
      <c r="I3050" t="inlineStr">
        <is>
          <t>运动裤</t>
        </is>
      </c>
      <c r="J3050" t="inlineStr">
        <is>
          <t>0.00</t>
        </is>
      </c>
      <c r="K3050"/>
      <c r="L3050" t="inlineStr">
        <is>
          <t>-乐分享的店</t>
        </is>
      </c>
      <c r="M3050">
        <v>140000</v>
      </c>
      <c r="N3050">
        <v>4.59</v>
      </c>
      <c r="O3050">
        <v>978000</v>
      </c>
      <c r="P3050" t="inlineStr">
        <is>
          <t>66c35adc3e0ccc00011c7193</t>
        </is>
      </c>
      <c r="Q3050" t="inlineStr">
        <is>
          <t>🚫重复</t>
        </is>
      </c>
      <c r="R3050" t="inlineStr">
        <is>
          <t>14周</t>
        </is>
      </c>
      <c r="S3050" t="inlineStr">
        <is>
          <t>0.49</t>
        </is>
      </c>
      <c r="T3050" t="inlineStr">
        <is>
          <t>服饰穿搭</t>
        </is>
      </c>
      <c r="U3050" t="inlineStr">
        <is>
          <t>女装</t>
        </is>
      </c>
      <c r="V3050" s="3">
        <v>46112.78107638889</v>
      </c>
      <c r="W3050" t="inlineStr">
        <is>
          <t>2026-Q1</t>
        </is>
      </c>
    </row>
    <row r="3051" ht="25.5" customHeight="1">
      <c r="A3051" t="inlineStr">
        <is>
          <t>乐拉 · ZP运动长袖修身跑步透气健身上衣训练t恤瑜伽服TX0263</t>
        </is>
      </c>
      <c r="B3051" t="inlineStr">
        <is>
          <t>recveNXG9tq6Is.jpg</t>
        </is>
      </c>
      <c r="C3051" s="2" t="str">
        <f>=HYPERLINK("https://xhslink.com/m/1FLW2KN1Mwh", "https://xhslink.com/m/1FLW2KN1Mwh")</f>
        <v>https://xhslink.com/m/1FLW2KN1Mwh</v>
      </c>
      <c r="D3051"/>
      <c r="E3051">
        <v>52000</v>
      </c>
      <c r="F3051">
        <v>118</v>
      </c>
      <c r="G3051">
        <v>78</v>
      </c>
      <c r="H3051">
        <v>100</v>
      </c>
      <c r="I3051" t="inlineStr">
        <is>
          <t>运动T恤</t>
        </is>
      </c>
      <c r="J3051" t="inlineStr">
        <is>
          <t>0.00</t>
        </is>
      </c>
      <c r="K3051" t="inlineStr">
        <is>
          <t>🔥低粉爆款</t>
        </is>
      </c>
      <c r="L3051" t="inlineStr">
        <is>
          <t>Leorrey乐拉旗舰店</t>
        </is>
      </c>
      <c r="M3051">
        <v>12000</v>
      </c>
      <c r="N3051">
        <v>4.73</v>
      </c>
      <c r="O3051">
        <v>413000</v>
      </c>
      <c r="P3051" t="inlineStr">
        <is>
          <t>65444db6c0cacb0001823574</t>
        </is>
      </c>
      <c r="Q3051" t="inlineStr">
        <is>
          <t>🚫重复</t>
        </is>
      </c>
      <c r="R3051" t="inlineStr">
        <is>
          <t>14周</t>
        </is>
      </c>
      <c r="S3051" t="inlineStr">
        <is>
          <t>4.33</t>
        </is>
      </c>
      <c r="T3051" t="inlineStr">
        <is>
          <t>运动潮玩</t>
        </is>
      </c>
      <c r="U3051" t="inlineStr">
        <is>
          <t>运动户外装备</t>
        </is>
      </c>
      <c r="V3051" s="3">
        <v>46112.78107638889</v>
      </c>
      <c r="W3051" t="inlineStr">
        <is>
          <t>2026-Q1</t>
        </is>
      </c>
    </row>
    <row r="3052" ht="25.5" customHeight="1">
      <c r="A3052" t="inlineStr">
        <is>
          <t>【虞UU】户外美式！春夏男女速干吸汗运动健身训练服速干长袖T恤</t>
        </is>
      </c>
      <c r="B3052" t="inlineStr">
        <is>
          <t>recveNXG9tZmXj.jpg</t>
        </is>
      </c>
      <c r="C3052" s="2" t="str">
        <f>=HYPERLINK("https://xhslink.com/m/1KzUfbaR5JW", "https://xhslink.com/m/1KzUfbaR5JW")</f>
        <v>https://xhslink.com/m/1KzUfbaR5JW</v>
      </c>
      <c r="D3052"/>
      <c r="E3052">
        <v>9481</v>
      </c>
      <c r="F3052">
        <v>39.9</v>
      </c>
      <c r="G3052"/>
      <c r="H3052">
        <v>100</v>
      </c>
      <c r="I3052" t="inlineStr">
        <is>
          <t>运动T恤</t>
        </is>
      </c>
      <c r="J3052" t="inlineStr">
        <is>
          <t>0.01</t>
        </is>
      </c>
      <c r="K3052"/>
      <c r="L3052" t="inlineStr">
        <is>
          <t>虞优的U的店</t>
        </is>
      </c>
      <c r="M3052">
        <v>11000</v>
      </c>
      <c r="N3052">
        <v>4.44</v>
      </c>
      <c r="O3052">
        <v>102000</v>
      </c>
      <c r="P3052" t="inlineStr">
        <is>
          <t>67d6f0ae8599cb0001822f67</t>
        </is>
      </c>
      <c r="Q3052" t="inlineStr">
        <is>
          <t>🚫重复</t>
        </is>
      </c>
      <c r="R3052" t="inlineStr">
        <is>
          <t>14周</t>
        </is>
      </c>
      <c r="S3052" t="inlineStr">
        <is>
          <t>0.86</t>
        </is>
      </c>
      <c r="T3052" t="inlineStr">
        <is>
          <t>服饰穿搭</t>
        </is>
      </c>
      <c r="U3052" t="inlineStr">
        <is>
          <t>女装</t>
        </is>
      </c>
      <c r="V3052" s="3">
        <v>46112.78107638889</v>
      </c>
      <c r="W3052" t="inlineStr">
        <is>
          <t>2026-Q1</t>
        </is>
      </c>
    </row>
    <row r="3053" ht="25.5" customHeight="1">
      <c r="A3053" t="inlineStr">
        <is>
          <t>ins风！男女同款情侣运动防晒吸湿健身跑步半拉链插肩袖速干T恤</t>
        </is>
      </c>
      <c r="B3053" t="inlineStr">
        <is>
          <t>recveNXG9tXS4Y.jpg</t>
        </is>
      </c>
      <c r="C3053" s="2" t="str">
        <f>=HYPERLINK("https://xhslink.com/m/9ZXWAbZ5z4L", "https://xhslink.com/m/9ZXWAbZ5z4L")</f>
        <v>https://xhslink.com/m/9ZXWAbZ5z4L</v>
      </c>
      <c r="D3053"/>
      <c r="E3053">
        <v>8997</v>
      </c>
      <c r="F3053">
        <v>39</v>
      </c>
      <c r="G3053"/>
      <c r="H3053">
        <v>100</v>
      </c>
      <c r="I3053" t="inlineStr">
        <is>
          <t>运动T恤</t>
        </is>
      </c>
      <c r="J3053" t="inlineStr">
        <is>
          <t>0.01</t>
        </is>
      </c>
      <c r="K3053"/>
      <c r="L3053" t="inlineStr">
        <is>
          <t>福多外贸服饰的店</t>
        </is>
      </c>
      <c r="M3053">
        <v>11000</v>
      </c>
      <c r="N3053">
        <v>4.54</v>
      </c>
      <c r="O3053">
        <v>173000</v>
      </c>
      <c r="P3053" t="inlineStr">
        <is>
          <t>67cdb6b64a59360001a3e937</t>
        </is>
      </c>
      <c r="Q3053" t="inlineStr">
        <is>
          <t>🚫重复</t>
        </is>
      </c>
      <c r="R3053" t="inlineStr">
        <is>
          <t>14周</t>
        </is>
      </c>
      <c r="S3053" t="inlineStr">
        <is>
          <t>0.82</t>
        </is>
      </c>
      <c r="T3053" t="inlineStr">
        <is>
          <t>运动潮玩</t>
        </is>
      </c>
      <c r="U3053" t="inlineStr">
        <is>
          <t>运动户外装备</t>
        </is>
      </c>
      <c r="V3053" s="3">
        <v>46112.78107638889</v>
      </c>
      <c r="W3053" t="inlineStr">
        <is>
          <t>2026-Q1</t>
        </is>
      </c>
    </row>
    <row r="3054" ht="25.5" customHeight="1">
      <c r="A3054" t="inlineStr">
        <is>
          <t>老美单 柔软弹力修身运动T恤女</t>
        </is>
      </c>
      <c r="B3054" t="inlineStr">
        <is>
          <t>recveNXG9tTsVF.jpg</t>
        </is>
      </c>
      <c r="C3054" s="2" t="str">
        <f>=HYPERLINK("https://xhslink.com/m/7FCcMul0Zju", "https://xhslink.com/m/7FCcMul0Zju")</f>
        <v>https://xhslink.com/m/7FCcMul0Zju</v>
      </c>
      <c r="D3054"/>
      <c r="E3054">
        <v>6442</v>
      </c>
      <c r="F3054">
        <v>39.99</v>
      </c>
      <c r="G3054"/>
      <c r="H3054">
        <v>100</v>
      </c>
      <c r="I3054" t="inlineStr">
        <is>
          <t>运动T恤</t>
        </is>
      </c>
      <c r="J3054" t="inlineStr">
        <is>
          <t>0.02</t>
        </is>
      </c>
      <c r="K3054"/>
      <c r="L3054" t="inlineStr">
        <is>
          <t>小红书范爷的店</t>
        </is>
      </c>
      <c r="M3054">
        <v>287000</v>
      </c>
      <c r="N3054">
        <v>4.57</v>
      </c>
      <c r="O3054">
        <v>3317000</v>
      </c>
      <c r="P3054" t="inlineStr">
        <is>
          <t>67f632d704afe30001b92bd4</t>
        </is>
      </c>
      <c r="Q3054" t="inlineStr">
        <is>
          <t>🚫重复</t>
        </is>
      </c>
      <c r="R3054" t="inlineStr">
        <is>
          <t>14周</t>
        </is>
      </c>
      <c r="S3054" t="inlineStr">
        <is>
          <t>0.02</t>
        </is>
      </c>
      <c r="T3054" t="inlineStr">
        <is>
          <t>服饰穿搭</t>
        </is>
      </c>
      <c r="U3054" t="inlineStr">
        <is>
          <t>女装</t>
        </is>
      </c>
      <c r="V3054" s="3">
        <v>46112.78107638889</v>
      </c>
      <c r="W3054" t="inlineStr">
        <is>
          <t>2026-Q1</t>
        </is>
      </c>
    </row>
    <row r="3055" ht="25.5" customHeight="1">
      <c r="A3055" t="inlineStr">
        <is>
          <t>【苔行透氧】夏季山系男女款轻量户外吸湿排汗速干长袖T恤防晒衣</t>
        </is>
      </c>
      <c r="B3055" t="inlineStr">
        <is>
          <t>recveNXG9tV5sc.jpg</t>
        </is>
      </c>
      <c r="C3055" s="2" t="str">
        <f>=HYPERLINK("https://xhslink.com/m/6GJxCi9R5xH", "https://xhslink.com/m/6GJxCi9R5xH")</f>
        <v>https://xhslink.com/m/6GJxCi9R5xH</v>
      </c>
      <c r="D3055"/>
      <c r="E3055">
        <v>1538</v>
      </c>
      <c r="F3055">
        <v>59</v>
      </c>
      <c r="G3055"/>
      <c r="H3055">
        <v>100</v>
      </c>
      <c r="I3055" t="inlineStr">
        <is>
          <t>运动T恤</t>
        </is>
      </c>
      <c r="J3055" t="inlineStr">
        <is>
          <t>0.07</t>
        </is>
      </c>
      <c r="K3055"/>
      <c r="L3055" t="inlineStr">
        <is>
          <t>福多外贸服饰的店</t>
        </is>
      </c>
      <c r="M3055">
        <v>11000</v>
      </c>
      <c r="N3055">
        <v>4.54</v>
      </c>
      <c r="O3055">
        <v>173000</v>
      </c>
      <c r="P3055" t="inlineStr">
        <is>
          <t>6868c3fb15811b0001fb7381</t>
        </is>
      </c>
      <c r="Q3055" t="inlineStr">
        <is>
          <t>🚫重复</t>
        </is>
      </c>
      <c r="R3055" t="inlineStr">
        <is>
          <t>14周</t>
        </is>
      </c>
      <c r="S3055" t="inlineStr">
        <is>
          <t>0.14</t>
        </is>
      </c>
      <c r="T3055" t="inlineStr">
        <is>
          <t>服饰穿搭</t>
        </is>
      </c>
      <c r="U3055" t="inlineStr">
        <is>
          <t>女装</t>
        </is>
      </c>
      <c r="V3055" s="3">
        <v>46112.78107638889</v>
      </c>
      <c r="W3055" t="inlineStr">
        <is>
          <t>2026-Q1</t>
        </is>
      </c>
    </row>
    <row r="3056" ht="25.5" customHeight="1">
      <c r="A3056" t="inlineStr">
        <is>
          <t>大树小耳朵 · 睡前聊聊卡、儿童亲子互动游戏抽签益智游戏卡</t>
        </is>
      </c>
      <c r="B3056" t="inlineStr">
        <is>
          <t>recveNXG9t81Rt.jpg</t>
        </is>
      </c>
      <c r="C3056" s="2" t="str">
        <f>=HYPERLINK("https://xhslink.com/m/4t8kflhzyn7", "https://xhslink.com/m/4t8kflhzyn7")</f>
        <v>https://xhslink.com/m/4t8kflhzyn7</v>
      </c>
      <c r="D3056"/>
      <c r="E3056">
        <v>30000</v>
      </c>
      <c r="F3056">
        <v>33.8</v>
      </c>
      <c r="G3056">
        <v>23.8</v>
      </c>
      <c r="H3056">
        <v>100</v>
      </c>
      <c r="I3056" t="inlineStr">
        <is>
          <t>玩具</t>
        </is>
      </c>
      <c r="J3056" t="inlineStr">
        <is>
          <t>0.00</t>
        </is>
      </c>
      <c r="K3056" t="inlineStr">
        <is>
          <t>🔥低粉爆款</t>
        </is>
      </c>
      <c r="L3056" t="inlineStr">
        <is>
          <t>爱娃爱己哇的店</t>
        </is>
      </c>
      <c r="M3056">
        <v>1224</v>
      </c>
      <c r="N3056">
        <v>4.63</v>
      </c>
      <c r="O3056">
        <v>31000</v>
      </c>
      <c r="P3056" t="inlineStr">
        <is>
          <t>66d10fe0a95eb800014c8399</t>
        </is>
      </c>
      <c r="Q3056" t="inlineStr">
        <is>
          <t>🚫重复</t>
        </is>
      </c>
      <c r="R3056" t="inlineStr">
        <is>
          <t>14周</t>
        </is>
      </c>
      <c r="S3056" t="inlineStr">
        <is>
          <t>24.51</t>
        </is>
      </c>
      <c r="T3056" t="inlineStr">
        <is>
          <t>母婴亲子</t>
        </is>
      </c>
      <c r="U3056" t="inlineStr">
        <is>
          <t>童装童鞋</t>
        </is>
      </c>
      <c r="V3056" s="3">
        <v>46112.78107638889</v>
      </c>
      <c r="W3056" t="inlineStr">
        <is>
          <t>2026-Q1</t>
        </is>
      </c>
    </row>
    <row r="3057" ht="25.5" customHeight="1">
      <c r="A3057" t="inlineStr">
        <is>
          <t>FlyO · 飞哦儿童户外纯物理防晒霜</t>
        </is>
      </c>
      <c r="B3057" t="inlineStr">
        <is>
          <t>recveNXG9tvYbS.jpg</t>
        </is>
      </c>
      <c r="C3057" s="2" t="str">
        <f>=HYPERLINK("https://xhslink.com/m/cfQQdW3eOi", "https://xhslink.com/m/cfQQdW3eOi")</f>
        <v>https://xhslink.com/m/cfQQdW3eOi</v>
      </c>
      <c r="D3057"/>
      <c r="E3057">
        <v>13000</v>
      </c>
      <c r="F3057">
        <v>219</v>
      </c>
      <c r="G3057">
        <v>169</v>
      </c>
      <c r="H3057">
        <v>100</v>
      </c>
      <c r="I3057" t="inlineStr">
        <is>
          <t>防晒霜</t>
        </is>
      </c>
      <c r="J3057" t="inlineStr">
        <is>
          <t>0.01</t>
        </is>
      </c>
      <c r="K3057"/>
      <c r="L3057" t="inlineStr">
        <is>
          <t>FlyO Kidz 飞哦儿童旗舰店</t>
        </is>
      </c>
      <c r="M3057">
        <v>19000</v>
      </c>
      <c r="N3057">
        <v>4.77</v>
      </c>
      <c r="O3057">
        <v>223000</v>
      </c>
      <c r="P3057" t="inlineStr">
        <is>
          <t>6790d2565ed7270001136466</t>
        </is>
      </c>
      <c r="Q3057" t="inlineStr">
        <is>
          <t>🚫重复</t>
        </is>
      </c>
      <c r="R3057" t="inlineStr">
        <is>
          <t>14周</t>
        </is>
      </c>
      <c r="S3057" t="inlineStr">
        <is>
          <t>0.68</t>
        </is>
      </c>
      <c r="T3057" t="inlineStr">
        <is>
          <t>美妆个护</t>
        </is>
      </c>
      <c r="U3057" t="inlineStr">
        <is>
          <t>护肤彩妆</t>
        </is>
      </c>
      <c r="V3057" s="3">
        <v>46112.78107638889</v>
      </c>
      <c r="W3057" t="inlineStr">
        <is>
          <t>2026-Q1</t>
        </is>
      </c>
    </row>
    <row r="3058" ht="25.5" customHeight="1">
      <c r="A3058" t="inlineStr">
        <is>
          <t>【前5000单立减30】美式亨利领正肩卫衣男女春秋美式解构长袖T恤</t>
        </is>
      </c>
      <c r="B3058" t="inlineStr">
        <is>
          <t>recveNXG9tWHgE.jpg</t>
        </is>
      </c>
      <c r="C3058" s="2" t="str">
        <f>=HYPERLINK("https://xhslink.com/m/9fWIwRcTAcX", "https://xhslink.com/m/9fWIwRcTAcX")</f>
        <v>https://xhslink.com/m/9fWIwRcTAcX</v>
      </c>
      <c r="D3058"/>
      <c r="E3058">
        <v>4179</v>
      </c>
      <c r="F3058">
        <v>86.9</v>
      </c>
      <c r="G3058">
        <v>56.9</v>
      </c>
      <c r="H3058">
        <v>100</v>
      </c>
      <c r="I3058" t="inlineStr">
        <is>
          <t>长袖上衣</t>
        </is>
      </c>
      <c r="J3058" t="inlineStr">
        <is>
          <t>0.02</t>
        </is>
      </c>
      <c r="K3058"/>
      <c r="L3058" t="inlineStr">
        <is>
          <t>雪雪搭子户外的店</t>
        </is>
      </c>
      <c r="M3058">
        <v>1932</v>
      </c>
      <c r="N3058">
        <v>4.6</v>
      </c>
      <c r="O3058">
        <v>25000</v>
      </c>
      <c r="P3058" t="inlineStr">
        <is>
          <t>691fc7ba95624300012fe922</t>
        </is>
      </c>
      <c r="Q3058" t="inlineStr">
        <is>
          <t>🚫重复</t>
        </is>
      </c>
      <c r="R3058" t="inlineStr">
        <is>
          <t>14周</t>
        </is>
      </c>
      <c r="S3058" t="inlineStr">
        <is>
          <t>2.16</t>
        </is>
      </c>
      <c r="T3058" t="inlineStr">
        <is>
          <t>服饰穿搭</t>
        </is>
      </c>
      <c r="U3058" t="inlineStr">
        <is>
          <t>女装</t>
        </is>
      </c>
      <c r="V3058" s="3">
        <v>46112.78107638889</v>
      </c>
      <c r="W3058" t="inlineStr">
        <is>
          <t>2026-Q1</t>
        </is>
      </c>
    </row>
    <row r="3059" ht="25.5" customHeight="1">
      <c r="A3059" t="inlineStr">
        <is>
          <t>户外徒步三合一冲锋衣夹克秋冬可拆卸情侣登山服外套</t>
        </is>
      </c>
      <c r="B3059" t="inlineStr">
        <is>
          <t>recveNXG9tV6P7.jpg</t>
        </is>
      </c>
      <c r="C3059" s="2" t="str">
        <f>=HYPERLINK("https://xhslink.com/m/5xZddybdRPV", "https://xhslink.com/m/5xZddybdRPV")</f>
        <v>https://xhslink.com/m/5xZddybdRPV</v>
      </c>
      <c r="D3059"/>
      <c r="E3059">
        <v>35000</v>
      </c>
      <c r="F3059">
        <v>157</v>
      </c>
      <c r="G3059"/>
      <c r="H3059">
        <v>100</v>
      </c>
      <c r="I3059" t="inlineStr">
        <is>
          <t>外套</t>
        </is>
      </c>
      <c r="J3059" t="inlineStr">
        <is>
          <t>0.00</t>
        </is>
      </c>
      <c r="K3059" t="inlineStr">
        <is>
          <t>🔥低粉爆款</t>
        </is>
      </c>
      <c r="L3059" t="inlineStr">
        <is>
          <t>冲锋小陈的店</t>
        </is>
      </c>
      <c r="M3059">
        <v>3612</v>
      </c>
      <c r="N3059">
        <v>4.41</v>
      </c>
      <c r="O3059">
        <v>64000</v>
      </c>
      <c r="P3059" t="inlineStr">
        <is>
          <t>6717e46ddeb6c20001447975</t>
        </is>
      </c>
      <c r="Q3059"/>
      <c r="R3059" t="inlineStr">
        <is>
          <t>14周</t>
        </is>
      </c>
      <c r="S3059" t="inlineStr">
        <is>
          <t>9.69</t>
        </is>
      </c>
      <c r="T3059" t="inlineStr">
        <is>
          <t>服饰穿搭</t>
        </is>
      </c>
      <c r="U3059" t="inlineStr">
        <is>
          <t>女装</t>
        </is>
      </c>
      <c r="V3059" s="3">
        <v>46112.78107638889</v>
      </c>
      <c r="W3059" t="inlineStr">
        <is>
          <t>2026-Q1</t>
        </is>
      </c>
    </row>
    <row r="3060" ht="25.5" customHeight="1">
      <c r="A3060" t="inlineStr">
        <is>
          <t>【粉粉羽绒】-冬季新款轻薄保暖羽绒服女</t>
        </is>
      </c>
      <c r="B3060" t="inlineStr">
        <is>
          <t>recveNXG9tJw6J.jpg</t>
        </is>
      </c>
      <c r="C3060" s="2" t="str">
        <f>=HYPERLINK("https://xhslink.com/m/5CJohqFV7gE", "https://xhslink.com/m/5CJohqFV7gE")</f>
        <v>https://xhslink.com/m/5CJohqFV7gE</v>
      </c>
      <c r="D3060"/>
      <c r="E3060">
        <v>13000</v>
      </c>
      <c r="F3060">
        <v>299.9</v>
      </c>
      <c r="G3060">
        <v>293.9</v>
      </c>
      <c r="H3060">
        <v>100</v>
      </c>
      <c r="I3060" t="inlineStr">
        <is>
          <t>外套</t>
        </is>
      </c>
      <c r="J3060" t="inlineStr">
        <is>
          <t>0.01</t>
        </is>
      </c>
      <c r="K3060" t="inlineStr">
        <is>
          <t>🔥低粉爆款</t>
        </is>
      </c>
      <c r="L3060" t="inlineStr">
        <is>
          <t>旺旺雪雪冰的店</t>
        </is>
      </c>
      <c r="M3060">
        <v>445</v>
      </c>
      <c r="N3060">
        <v>4.55</v>
      </c>
      <c r="O3060">
        <v>14000</v>
      </c>
      <c r="P3060" t="inlineStr">
        <is>
          <t>68f96c66becfcc00012e5a1c</t>
        </is>
      </c>
      <c r="Q3060"/>
      <c r="R3060" t="inlineStr">
        <is>
          <t>14周</t>
        </is>
      </c>
      <c r="S3060" t="inlineStr">
        <is>
          <t>29.21</t>
        </is>
      </c>
      <c r="T3060" t="inlineStr">
        <is>
          <t>服饰穿搭</t>
        </is>
      </c>
      <c r="U3060" t="inlineStr">
        <is>
          <t>女装</t>
        </is>
      </c>
      <c r="V3060" s="3">
        <v>46112.78107638889</v>
      </c>
      <c r="W3060" t="inlineStr">
        <is>
          <t>2026-Q1</t>
        </is>
      </c>
    </row>
    <row r="3061" ht="25.5" customHeight="1">
      <c r="A3061" t="inlineStr">
        <is>
          <t>1068春秋款时尚潮流休闲户外拉链立领显瘦短款卫衣女</t>
        </is>
      </c>
      <c r="B3061" t="inlineStr">
        <is>
          <t>recveNXG9tyuSH.jpg</t>
        </is>
      </c>
      <c r="C3061" s="2" t="str">
        <f>=HYPERLINK("https://xhslink.com/m/2w3A1i3jsmm", "https://xhslink.com/m/2w3A1i3jsmm")</f>
        <v>https://xhslink.com/m/2w3A1i3jsmm</v>
      </c>
      <c r="D3061"/>
      <c r="E3061">
        <v>3094</v>
      </c>
      <c r="F3061">
        <v>69.99</v>
      </c>
      <c r="G3061"/>
      <c r="H3061">
        <v>100</v>
      </c>
      <c r="I3061" t="inlineStr">
        <is>
          <t>外套</t>
        </is>
      </c>
      <c r="J3061" t="inlineStr">
        <is>
          <t>0.03</t>
        </is>
      </c>
      <c r="K3061"/>
      <c r="L3061" t="inlineStr">
        <is>
          <t>素衣巷女装的店</t>
        </is>
      </c>
      <c r="M3061">
        <v>1337</v>
      </c>
      <c r="N3061">
        <v>4.41</v>
      </c>
      <c r="O3061">
        <v>13000</v>
      </c>
      <c r="P3061" t="inlineStr">
        <is>
          <t>69a28d3adb860900017cba7a</t>
        </is>
      </c>
      <c r="Q3061"/>
      <c r="R3061" t="inlineStr">
        <is>
          <t>14周</t>
        </is>
      </c>
      <c r="S3061" t="inlineStr">
        <is>
          <t>2.31</t>
        </is>
      </c>
      <c r="T3061" t="inlineStr">
        <is>
          <t>服饰穿搭</t>
        </is>
      </c>
      <c r="U3061" t="inlineStr">
        <is>
          <t>女装</t>
        </is>
      </c>
      <c r="V3061" s="3">
        <v>46112.78107638889</v>
      </c>
      <c r="W3061" t="inlineStr">
        <is>
          <t>2026-Q1</t>
        </is>
      </c>
    </row>
    <row r="3062" ht="25.5" customHeight="1">
      <c r="A3062" t="inlineStr">
        <is>
          <t>RA&amp;RN · RARN热爱如你【云暖花苞 锁住轻暖】空气层拉链卫衣外套RA25AW032</t>
        </is>
      </c>
      <c r="B3062" t="inlineStr">
        <is>
          <t>recveNXG9twyc1.jpg</t>
        </is>
      </c>
      <c r="C3062" s="2" t="str">
        <f>=HYPERLINK("https://xhslink.com/m/8JdokUMCeSS", "https://xhslink.com/m/8JdokUMCeSS")</f>
        <v>https://xhslink.com/m/8JdokUMCeSS</v>
      </c>
      <c r="D3062"/>
      <c r="E3062">
        <v>2316</v>
      </c>
      <c r="F3062">
        <v>199</v>
      </c>
      <c r="G3062"/>
      <c r="H3062">
        <v>100</v>
      </c>
      <c r="I3062" t="inlineStr">
        <is>
          <t>外套</t>
        </is>
      </c>
      <c r="J3062" t="inlineStr">
        <is>
          <t>0.04</t>
        </is>
      </c>
      <c r="K3062" t="inlineStr">
        <is>
          <t>🔥低粉爆款</t>
        </is>
      </c>
      <c r="L3062" t="inlineStr">
        <is>
          <t>RA&amp;RN服饰旗舰店</t>
        </is>
      </c>
      <c r="M3062">
        <v>492</v>
      </c>
      <c r="N3062">
        <v>4.55</v>
      </c>
      <c r="O3062">
        <v>97000</v>
      </c>
      <c r="P3062" t="inlineStr">
        <is>
          <t>69981fae06f9da00015edbb0</t>
        </is>
      </c>
      <c r="Q3062"/>
      <c r="R3062" t="inlineStr">
        <is>
          <t>14周</t>
        </is>
      </c>
      <c r="S3062" t="inlineStr">
        <is>
          <t>4.71</t>
        </is>
      </c>
      <c r="T3062" t="inlineStr">
        <is>
          <t>服饰穿搭</t>
        </is>
      </c>
      <c r="U3062" t="inlineStr">
        <is>
          <t>女装</t>
        </is>
      </c>
      <c r="V3062" s="3">
        <v>46112.78107638889</v>
      </c>
      <c r="W3062" t="inlineStr">
        <is>
          <t>2026-Q1</t>
        </is>
      </c>
    </row>
    <row r="3063" ht="25.5" customHeight="1">
      <c r="A3063" t="inlineStr">
        <is>
          <t>涂涂国风【秋日慢】原创设计春款上新新中式立体剪裁双层开衫外套</t>
        </is>
      </c>
      <c r="B3063" t="inlineStr">
        <is>
          <t>recveNXG9to1vc.jpg</t>
        </is>
      </c>
      <c r="C3063" s="2" t="str">
        <f>=HYPERLINK("https://xhslink.com/m/4zHbhzAu5CQ", "https://xhslink.com/m/4zHbhzAu5CQ")</f>
        <v>https://xhslink.com/m/4zHbhzAu5CQ</v>
      </c>
      <c r="D3063"/>
      <c r="E3063">
        <v>1627</v>
      </c>
      <c r="F3063">
        <v>139.9</v>
      </c>
      <c r="G3063"/>
      <c r="H3063">
        <v>100</v>
      </c>
      <c r="I3063" t="inlineStr">
        <is>
          <t>外套</t>
        </is>
      </c>
      <c r="J3063" t="inlineStr">
        <is>
          <t>0.06</t>
        </is>
      </c>
      <c r="K3063" t="inlineStr">
        <is>
          <t>🔥低粉爆款</t>
        </is>
      </c>
      <c r="L3063" t="inlineStr">
        <is>
          <t>葻珊原创女装的店</t>
        </is>
      </c>
      <c r="M3063">
        <v>222</v>
      </c>
      <c r="N3063">
        <v>4.55</v>
      </c>
      <c r="O3063">
        <v>32000</v>
      </c>
      <c r="P3063" t="inlineStr">
        <is>
          <t>690717f589b7480015eb05c0</t>
        </is>
      </c>
      <c r="Q3063"/>
      <c r="R3063" t="inlineStr">
        <is>
          <t>14周</t>
        </is>
      </c>
      <c r="S3063" t="inlineStr">
        <is>
          <t>7.33</t>
        </is>
      </c>
      <c r="T3063" t="inlineStr">
        <is>
          <t>服饰穿搭</t>
        </is>
      </c>
      <c r="U3063" t="inlineStr">
        <is>
          <t>女装</t>
        </is>
      </c>
      <c r="V3063" s="3">
        <v>46112.78107638889</v>
      </c>
      <c r="W3063" t="inlineStr">
        <is>
          <t>2026-Q1</t>
        </is>
      </c>
    </row>
    <row r="3064" ht="25.5" customHeight="1">
      <c r="A3064" t="inlineStr">
        <is>
          <t>日单牛货 可两面穿 男女日系时尚休闲百搭无领夹克外套</t>
        </is>
      </c>
      <c r="B3064" t="inlineStr">
        <is>
          <t>recveNXG9tjWLh.jpg</t>
        </is>
      </c>
      <c r="C3064" s="2" t="str">
        <f>=HYPERLINK("https://xhslink.com/m/17W5JBr6Hwe", "https://xhslink.com/m/17W5JBr6Hwe")</f>
        <v>https://xhslink.com/m/17W5JBr6Hwe</v>
      </c>
      <c r="D3064"/>
      <c r="E3064">
        <v>573</v>
      </c>
      <c r="F3064">
        <v>79</v>
      </c>
      <c r="G3064"/>
      <c r="H3064">
        <v>100</v>
      </c>
      <c r="I3064" t="inlineStr">
        <is>
          <t>外套</t>
        </is>
      </c>
      <c r="J3064" t="inlineStr">
        <is>
          <t>0.17</t>
        </is>
      </c>
      <c r="K3064"/>
      <c r="L3064" t="inlineStr">
        <is>
          <t>麦子熟了外贸店的店</t>
        </is>
      </c>
      <c r="M3064">
        <v>67000</v>
      </c>
      <c r="N3064">
        <v>4.32</v>
      </c>
      <c r="O3064">
        <v>140000</v>
      </c>
      <c r="P3064" t="inlineStr">
        <is>
          <t>68c11a00a54cb6001502fb5b</t>
        </is>
      </c>
      <c r="Q3064"/>
      <c r="R3064" t="inlineStr">
        <is>
          <t>14周</t>
        </is>
      </c>
      <c r="S3064" t="inlineStr">
        <is>
          <t>0.01</t>
        </is>
      </c>
      <c r="T3064" t="inlineStr">
        <is>
          <t>服饰穿搭</t>
        </is>
      </c>
      <c r="U3064" t="inlineStr">
        <is>
          <t>女装</t>
        </is>
      </c>
      <c r="V3064" s="3">
        <v>46112.78107638889</v>
      </c>
      <c r="W3064" t="inlineStr">
        <is>
          <t>2026-Q1</t>
        </is>
      </c>
    </row>
    <row r="3065" ht="25.5" customHeight="1">
      <c r="A3065" t="inlineStr">
        <is>
          <t>设计感满印星星波点高领秋冬季2025小宅女可爱甜美萌系加绒外套女</t>
        </is>
      </c>
      <c r="B3065" t="inlineStr">
        <is>
          <t>recveNXG9t2FLs.jpg</t>
        </is>
      </c>
      <c r="C3065" s="2" t="str">
        <f>=HYPERLINK("https://xhslink.com/m/NBmUlmdx09", "https://xhslink.com/m/NBmUlmdx09")</f>
        <v>https://xhslink.com/m/NBmUlmdx09</v>
      </c>
      <c r="D3065"/>
      <c r="E3065">
        <v>2566</v>
      </c>
      <c r="F3065">
        <v>59.88</v>
      </c>
      <c r="G3065"/>
      <c r="H3065">
        <v>100</v>
      </c>
      <c r="I3065" t="inlineStr">
        <is>
          <t>外套</t>
        </is>
      </c>
      <c r="J3065" t="inlineStr">
        <is>
          <t>0.04</t>
        </is>
      </c>
      <c r="K3065"/>
      <c r="L3065" t="inlineStr">
        <is>
          <t>灰色设计空间的店</t>
        </is>
      </c>
      <c r="M3065">
        <v>1458</v>
      </c>
      <c r="N3065">
        <v>4.48</v>
      </c>
      <c r="O3065">
        <v>7235</v>
      </c>
      <c r="P3065" t="inlineStr">
        <is>
          <t>6903bb9d42726100015aa35f</t>
        </is>
      </c>
      <c r="Q3065"/>
      <c r="R3065" t="inlineStr">
        <is>
          <t>14周</t>
        </is>
      </c>
      <c r="S3065" t="inlineStr">
        <is>
          <t>1.76</t>
        </is>
      </c>
      <c r="T3065" t="inlineStr">
        <is>
          <t>服饰穿搭</t>
        </is>
      </c>
      <c r="U3065" t="inlineStr">
        <is>
          <t>女装</t>
        </is>
      </c>
      <c r="V3065" s="3">
        <v>46112.78107638889</v>
      </c>
      <c r="W3065" t="inlineStr">
        <is>
          <t>2026-Q1</t>
        </is>
      </c>
    </row>
    <row r="3066" ht="25.5" customHeight="1">
      <c r="A3066" t="inlineStr">
        <is>
          <t>平行宇宙-春秋后交叉飘带西装风衣短外套</t>
        </is>
      </c>
      <c r="B3066" t="inlineStr">
        <is>
          <t>recveNXG9tfI3X.jpg</t>
        </is>
      </c>
      <c r="C3066" s="2" t="str">
        <f>=HYPERLINK("https://xhslink.com/m/2Wlaxu1N6Vq", "https://xhslink.com/m/2Wlaxu1N6Vq")</f>
        <v>https://xhslink.com/m/2Wlaxu1N6Vq</v>
      </c>
      <c r="D3066"/>
      <c r="E3066">
        <v>926</v>
      </c>
      <c r="F3066">
        <v>289</v>
      </c>
      <c r="G3066">
        <v>286</v>
      </c>
      <c r="H3066">
        <v>100</v>
      </c>
      <c r="I3066" t="inlineStr">
        <is>
          <t>外套</t>
        </is>
      </c>
      <c r="J3066" t="inlineStr">
        <is>
          <t>0.11</t>
        </is>
      </c>
      <c r="K3066"/>
      <c r="L3066" t="inlineStr">
        <is>
          <t>花生就是花姐的店</t>
        </is>
      </c>
      <c r="M3066">
        <v>30000</v>
      </c>
      <c r="N3066">
        <v>4.73</v>
      </c>
      <c r="O3066">
        <v>36000</v>
      </c>
      <c r="P3066" t="inlineStr">
        <is>
          <t>6999bbb57db7d200014689d4</t>
        </is>
      </c>
      <c r="Q3066"/>
      <c r="R3066" t="inlineStr">
        <is>
          <t>14周</t>
        </is>
      </c>
      <c r="S3066" t="inlineStr">
        <is>
          <t>0.03</t>
        </is>
      </c>
      <c r="T3066" t="inlineStr">
        <is>
          <t>服饰穿搭</t>
        </is>
      </c>
      <c r="U3066" t="inlineStr">
        <is>
          <t>女装</t>
        </is>
      </c>
      <c r="V3066" s="3">
        <v>46112.78107638889</v>
      </c>
      <c r="W3066" t="inlineStr">
        <is>
          <t>2026-Q1</t>
        </is>
      </c>
    </row>
    <row r="3067" ht="25.5" customHeight="1">
      <c r="A3067" t="inlineStr">
        <is>
          <t>PANPANSTUDIO【麻辣女教】韩系通勤女主同款西服套装中长款阔腿裤</t>
        </is>
      </c>
      <c r="B3067" t="inlineStr">
        <is>
          <t>recveNXG9taSyK.jpg</t>
        </is>
      </c>
      <c r="C3067" s="2" t="str">
        <f>=HYPERLINK("https://xhslink.com/m/vLnqASEDbo", "https://xhslink.com/m/vLnqASEDbo")</f>
        <v>https://xhslink.com/m/vLnqASEDbo</v>
      </c>
      <c r="D3067"/>
      <c r="E3067">
        <v>8895</v>
      </c>
      <c r="F3067">
        <v>369.99</v>
      </c>
      <c r="G3067"/>
      <c r="H3067">
        <v>100</v>
      </c>
      <c r="I3067" t="inlineStr">
        <is>
          <t>外套</t>
        </is>
      </c>
      <c r="J3067" t="inlineStr">
        <is>
          <t>0.01</t>
        </is>
      </c>
      <c r="K3067"/>
      <c r="L3067" t="inlineStr">
        <is>
          <t>PANPANSTUDIO的店</t>
        </is>
      </c>
      <c r="M3067">
        <v>11000</v>
      </c>
      <c r="N3067">
        <v>4.44</v>
      </c>
      <c r="O3067">
        <v>10000</v>
      </c>
      <c r="P3067" t="inlineStr">
        <is>
          <t>65dcb2afbe97c30001363330</t>
        </is>
      </c>
      <c r="Q3067"/>
      <c r="R3067" t="inlineStr">
        <is>
          <t>14周</t>
        </is>
      </c>
      <c r="S3067" t="inlineStr">
        <is>
          <t>0.81</t>
        </is>
      </c>
      <c r="T3067" t="inlineStr">
        <is>
          <t>服饰穿搭</t>
        </is>
      </c>
      <c r="U3067" t="inlineStr">
        <is>
          <t>女装</t>
        </is>
      </c>
      <c r="V3067" s="3">
        <v>46112.78107638889</v>
      </c>
      <c r="W3067" t="inlineStr">
        <is>
          <t>2026-Q1</t>
        </is>
      </c>
    </row>
    <row r="3068" ht="25.5" customHeight="1">
      <c r="A3068" t="inlineStr">
        <is>
          <t>BUWANJUST · 【埃斯特庄园】高定满分绵羊毛亲肤老钱感立领外套 B2188</t>
        </is>
      </c>
      <c r="B3068" t="inlineStr">
        <is>
          <t>recveNXG9tjMMc.jpg</t>
        </is>
      </c>
      <c r="C3068" s="2" t="str">
        <f>=HYPERLINK("https://xhslink.com/m/4caoV4ccOy8", "https://xhslink.com/m/4caoV4ccOy8")</f>
        <v>https://xhslink.com/m/4caoV4ccOy8</v>
      </c>
      <c r="D3068"/>
      <c r="E3068">
        <v>3592</v>
      </c>
      <c r="F3068">
        <v>368</v>
      </c>
      <c r="G3068"/>
      <c r="H3068">
        <v>100</v>
      </c>
      <c r="I3068" t="inlineStr">
        <is>
          <t>外套</t>
        </is>
      </c>
      <c r="J3068" t="inlineStr">
        <is>
          <t>0.03</t>
        </is>
      </c>
      <c r="K3068"/>
      <c r="L3068" t="inlineStr">
        <is>
          <t>不晚buwanjust的店</t>
        </is>
      </c>
      <c r="M3068">
        <v>409000</v>
      </c>
      <c r="N3068">
        <v>4.74</v>
      </c>
      <c r="O3068">
        <v>550000</v>
      </c>
      <c r="P3068" t="inlineStr">
        <is>
          <t>68ec4643f71ffd001503bb4c</t>
        </is>
      </c>
      <c r="Q3068"/>
      <c r="R3068" t="inlineStr">
        <is>
          <t>14周</t>
        </is>
      </c>
      <c r="S3068" t="inlineStr">
        <is>
          <t>0.01</t>
        </is>
      </c>
      <c r="T3068" t="inlineStr">
        <is>
          <t>服饰穿搭</t>
        </is>
      </c>
      <c r="U3068" t="inlineStr">
        <is>
          <t>女装</t>
        </is>
      </c>
      <c r="V3068" s="3">
        <v>46112.78107638889</v>
      </c>
      <c r="W3068" t="inlineStr">
        <is>
          <t>2026-Q1</t>
        </is>
      </c>
    </row>
    <row r="3069" ht="25.5" customHeight="1">
      <c r="A3069" t="inlineStr">
        <is>
          <t>人手一件 廓形黑色大皮衣</t>
        </is>
      </c>
      <c r="B3069" t="inlineStr">
        <is>
          <t>recveNXG9tIYni.jpg</t>
        </is>
      </c>
      <c r="C3069" s="2" t="str">
        <f>=HYPERLINK("https://xhslink.com/m/4Jn11ZnRvr7", "https://xhslink.com/m/4Jn11ZnRvr7")</f>
        <v>https://xhslink.com/m/4Jn11ZnRvr7</v>
      </c>
      <c r="D3069"/>
      <c r="E3069">
        <v>3140</v>
      </c>
      <c r="F3069">
        <v>329</v>
      </c>
      <c r="G3069">
        <v>279</v>
      </c>
      <c r="H3069">
        <v>100</v>
      </c>
      <c r="I3069" t="inlineStr">
        <is>
          <t>外套</t>
        </is>
      </c>
      <c r="J3069" t="inlineStr">
        <is>
          <t>0.03</t>
        </is>
      </c>
      <c r="K3069"/>
      <c r="L3069" t="inlineStr">
        <is>
          <t>我是杨十七穿搭的店</t>
        </is>
      </c>
      <c r="M3069">
        <v>433000</v>
      </c>
      <c r="N3069">
        <v>4.43</v>
      </c>
      <c r="O3069">
        <v>1644000</v>
      </c>
      <c r="P3069" t="inlineStr">
        <is>
          <t>65f5a436fcf75d00013dfce7</t>
        </is>
      </c>
      <c r="Q3069"/>
      <c r="R3069" t="inlineStr">
        <is>
          <t>14周</t>
        </is>
      </c>
      <c r="S3069" t="inlineStr">
        <is>
          <t>0.01</t>
        </is>
      </c>
      <c r="T3069" t="inlineStr">
        <is>
          <t>服饰穿搭</t>
        </is>
      </c>
      <c r="U3069" t="inlineStr">
        <is>
          <t>女装</t>
        </is>
      </c>
      <c r="V3069" s="3">
        <v>46112.78107638889</v>
      </c>
      <c r="W3069" t="inlineStr">
        <is>
          <t>2026-Q1</t>
        </is>
      </c>
    </row>
    <row r="3070" ht="25.5" customHeight="1">
      <c r="A3070" t="inlineStr">
        <is>
          <t>陈佳楠NNS Ac*e25秋季新款英伦风 设计感立领短款韩系风衣外套女</t>
        </is>
      </c>
      <c r="B3070" t="inlineStr">
        <is>
          <t>recveNXG9tmode.jpg</t>
        </is>
      </c>
      <c r="C3070" s="2" t="str">
        <f>=HYPERLINK("https://xhslink.com/m/2O28JYiS8NY", "https://xhslink.com/m/2O28JYiS8NY")</f>
        <v>https://xhslink.com/m/2O28JYiS8NY</v>
      </c>
      <c r="D3070"/>
      <c r="E3070">
        <v>464</v>
      </c>
      <c r="F3070">
        <v>375</v>
      </c>
      <c r="G3070">
        <v>189</v>
      </c>
      <c r="H3070">
        <v>100</v>
      </c>
      <c r="I3070" t="inlineStr">
        <is>
          <t>外套</t>
        </is>
      </c>
      <c r="J3070" t="inlineStr">
        <is>
          <t>0.22</t>
        </is>
      </c>
      <c r="K3070"/>
      <c r="L3070" t="inlineStr">
        <is>
          <t>猫猫猫.的店</t>
        </is>
      </c>
      <c r="M3070">
        <v>909</v>
      </c>
      <c r="N3070">
        <v>4.71</v>
      </c>
      <c r="O3070">
        <v>13000</v>
      </c>
      <c r="P3070" t="inlineStr">
        <is>
          <t>68f737b9ce94ee0001537595</t>
        </is>
      </c>
      <c r="Q3070"/>
      <c r="R3070" t="inlineStr">
        <is>
          <t>14周</t>
        </is>
      </c>
      <c r="S3070" t="inlineStr">
        <is>
          <t>0.51</t>
        </is>
      </c>
      <c r="T3070" t="inlineStr">
        <is>
          <t>服饰穿搭</t>
        </is>
      </c>
      <c r="U3070" t="inlineStr">
        <is>
          <t>女装</t>
        </is>
      </c>
      <c r="V3070" s="3">
        <v>46112.78107638889</v>
      </c>
      <c r="W3070" t="inlineStr">
        <is>
          <t>2026-Q1</t>
        </is>
      </c>
    </row>
    <row r="3071" ht="25.5" customHeight="1">
      <c r="A3071" t="inlineStr">
        <is>
          <t>美式复古运动休闲机车风立领宽松廓形皮衣街头水洗时髦皮衣夹克</t>
        </is>
      </c>
      <c r="B3071" t="inlineStr">
        <is>
          <t>recveNXG9twJhB.jpg</t>
        </is>
      </c>
      <c r="C3071" s="2" t="str">
        <f>=HYPERLINK("https://xhslink.com/m/8qQkV1JY7c0", "https://xhslink.com/m/8qQkV1JY7c0")</f>
        <v>https://xhslink.com/m/8qQkV1JY7c0</v>
      </c>
      <c r="D3071"/>
      <c r="E3071">
        <v>1630</v>
      </c>
      <c r="F3071">
        <v>289</v>
      </c>
      <c r="G3071"/>
      <c r="H3071">
        <v>100</v>
      </c>
      <c r="I3071" t="inlineStr">
        <is>
          <t>外套</t>
        </is>
      </c>
      <c r="J3071" t="inlineStr">
        <is>
          <t>0.06</t>
        </is>
      </c>
      <c r="K3071"/>
      <c r="L3071" t="inlineStr">
        <is>
          <t>QINGYI清壹的店</t>
        </is>
      </c>
      <c r="M3071">
        <v>49000</v>
      </c>
      <c r="N3071">
        <v>4.76</v>
      </c>
      <c r="O3071">
        <v>33000</v>
      </c>
      <c r="P3071" t="inlineStr">
        <is>
          <t>6704081ceb6ef20001512ce6</t>
        </is>
      </c>
      <c r="Q3071"/>
      <c r="R3071" t="inlineStr">
        <is>
          <t>14周</t>
        </is>
      </c>
      <c r="S3071" t="inlineStr">
        <is>
          <t>0.03</t>
        </is>
      </c>
      <c r="T3071" t="inlineStr">
        <is>
          <t>服饰穿搭</t>
        </is>
      </c>
      <c r="U3071" t="inlineStr">
        <is>
          <t>女装</t>
        </is>
      </c>
      <c r="V3071" s="3">
        <v>46112.78107638889</v>
      </c>
      <c r="W3071" t="inlineStr">
        <is>
          <t>2026-Q1</t>
        </is>
      </c>
    </row>
    <row r="3072" ht="25.5" customHeight="1">
      <c r="A3072" t="inlineStr">
        <is>
          <t>[椰丝yseesy]日系复古甜酷风工装飞行夹克女春季立领拉链宽松外套</t>
        </is>
      </c>
      <c r="B3072" t="inlineStr">
        <is>
          <t>recveNXG9tcVSF.jpg</t>
        </is>
      </c>
      <c r="C3072" s="2" t="str">
        <f>=HYPERLINK("https://xhslink.com/m/8w2bIXFpwGA", "https://xhslink.com/m/8w2bIXFpwGA")</f>
        <v>https://xhslink.com/m/8w2bIXFpwGA</v>
      </c>
      <c r="D3072"/>
      <c r="E3072">
        <v>627</v>
      </c>
      <c r="F3072">
        <v>289</v>
      </c>
      <c r="G3072"/>
      <c r="H3072">
        <v>100</v>
      </c>
      <c r="I3072" t="inlineStr">
        <is>
          <t>外套</t>
        </is>
      </c>
      <c r="J3072" t="inlineStr">
        <is>
          <t>0.16</t>
        </is>
      </c>
      <c r="K3072"/>
      <c r="L3072" t="inlineStr">
        <is>
          <t>椰丝yseesy的店</t>
        </is>
      </c>
      <c r="M3072">
        <v>14000</v>
      </c>
      <c r="N3072">
        <v>4.6</v>
      </c>
      <c r="O3072">
        <v>18000</v>
      </c>
      <c r="P3072" t="inlineStr">
        <is>
          <t>69b637a908e369000101c4cb</t>
        </is>
      </c>
      <c r="Q3072"/>
      <c r="R3072" t="inlineStr">
        <is>
          <t>14周</t>
        </is>
      </c>
      <c r="S3072" t="inlineStr">
        <is>
          <t>0.04</t>
        </is>
      </c>
      <c r="T3072" t="inlineStr">
        <is>
          <t>服饰穿搭</t>
        </is>
      </c>
      <c r="U3072" t="inlineStr">
        <is>
          <t>女装</t>
        </is>
      </c>
      <c r="V3072" s="3">
        <v>46112.78107638889</v>
      </c>
      <c r="W3072" t="inlineStr">
        <is>
          <t>2026-Q1</t>
        </is>
      </c>
    </row>
    <row r="3073" ht="25.5" customHeight="1">
      <c r="A3073" t="inlineStr">
        <is>
          <t>松家 · 2095S -高锁色丹宁风衣牛仔外套！高支棉重工结构牛仔上衣</t>
        </is>
      </c>
      <c r="B3073" t="inlineStr">
        <is>
          <t>recveNXG9tp6gZ.jpg</t>
        </is>
      </c>
      <c r="C3073" s="2" t="str">
        <f>=HYPERLINK("https://xhslink.com/m/6bqaStczYfc", "https://xhslink.com/m/6bqaStczYfc")</f>
        <v>https://xhslink.com/m/6bqaStczYfc</v>
      </c>
      <c r="D3073"/>
      <c r="E3073">
        <v>1345</v>
      </c>
      <c r="F3073">
        <v>599</v>
      </c>
      <c r="G3073"/>
      <c r="H3073">
        <v>100</v>
      </c>
      <c r="I3073" t="inlineStr">
        <is>
          <t>外套</t>
        </is>
      </c>
      <c r="J3073" t="inlineStr">
        <is>
          <t>0.07</t>
        </is>
      </c>
      <c r="K3073"/>
      <c r="L3073" t="inlineStr">
        <is>
          <t>松家SONG JIA旗舰店</t>
        </is>
      </c>
      <c r="M3073">
        <v>8271</v>
      </c>
      <c r="N3073">
        <v>4.69</v>
      </c>
      <c r="O3073">
        <v>266000</v>
      </c>
      <c r="P3073" t="inlineStr">
        <is>
          <t>64fae627ff45000001698f00</t>
        </is>
      </c>
      <c r="Q3073"/>
      <c r="R3073" t="inlineStr">
        <is>
          <t>14周</t>
        </is>
      </c>
      <c r="S3073" t="inlineStr">
        <is>
          <t>0.16</t>
        </is>
      </c>
      <c r="T3073" t="inlineStr">
        <is>
          <t>服饰穿搭</t>
        </is>
      </c>
      <c r="U3073" t="inlineStr">
        <is>
          <t>女装</t>
        </is>
      </c>
      <c r="V3073" s="3">
        <v>46112.78107638889</v>
      </c>
      <c r="W3073" t="inlineStr">
        <is>
          <t>2026-Q1</t>
        </is>
      </c>
    </row>
    <row r="3074" ht="25.5" customHeight="1">
      <c r="A3074" t="inlineStr">
        <is>
          <t>【七日轻食餐】七色糙米饭团开袋即食减低脂健身代餐粗粮健康速食</t>
        </is>
      </c>
      <c r="B3074" t="inlineStr">
        <is>
          <t>recveNXG9tFeSl.jpg</t>
        </is>
      </c>
      <c r="C3074" s="2" t="str">
        <f>=HYPERLINK("https://xhslink.com/m/4P3P9LM8n9N", "https://xhslink.com/m/4P3P9LM8n9N")</f>
        <v>https://xhslink.com/m/4P3P9LM8n9N</v>
      </c>
      <c r="D3074"/>
      <c r="E3074">
        <v>3226</v>
      </c>
      <c r="F3074">
        <v>29.9</v>
      </c>
      <c r="G3074">
        <v>19.9</v>
      </c>
      <c r="H3074">
        <v>100</v>
      </c>
      <c r="I3074" t="inlineStr">
        <is>
          <t>早餐</t>
        </is>
      </c>
      <c r="J3074" t="inlineStr">
        <is>
          <t>0.03</t>
        </is>
      </c>
      <c r="K3074"/>
      <c r="L3074" t="inlineStr">
        <is>
          <t>乐桃桃的店</t>
        </is>
      </c>
      <c r="M3074">
        <v>9094</v>
      </c>
      <c r="N3074">
        <v>4.49</v>
      </c>
      <c r="O3074">
        <v>80000</v>
      </c>
      <c r="P3074" t="inlineStr">
        <is>
          <t>6833e9a10d7e3d00014a5f3c</t>
        </is>
      </c>
      <c r="Q3074"/>
      <c r="R3074" t="inlineStr">
        <is>
          <t>14周</t>
        </is>
      </c>
      <c r="S3074" t="inlineStr">
        <is>
          <t>0.35</t>
        </is>
      </c>
      <c r="T3074" t="inlineStr">
        <is>
          <t>美食滋补</t>
        </is>
      </c>
      <c r="U3074" t="inlineStr">
        <is>
          <t>休闲零食</t>
        </is>
      </c>
      <c r="V3074" s="3">
        <v>46112.78107638889</v>
      </c>
      <c r="W3074" t="inlineStr">
        <is>
          <t>2026-Q1</t>
        </is>
      </c>
    </row>
    <row r="3075" ht="25.5" customHeight="1">
      <c r="A3075" t="inlineStr">
        <is>
          <t>东方甄选 · 去虾线冷冻青虾仁 南美对虾 独立包装</t>
        </is>
      </c>
      <c r="B3075" t="inlineStr">
        <is>
          <t>recveNXG9tBFYZ.jpg</t>
        </is>
      </c>
      <c r="C3075" s="2" t="str">
        <f>=HYPERLINK("https://xhslink.com/m/3mF3OcgjMdb", "https://xhslink.com/m/3mF3OcgjMdb")</f>
        <v>https://xhslink.com/m/3mF3OcgjMdb</v>
      </c>
      <c r="D3075"/>
      <c r="E3075">
        <v>81000</v>
      </c>
      <c r="F3075">
        <v>129</v>
      </c>
      <c r="G3075"/>
      <c r="H3075">
        <v>100</v>
      </c>
      <c r="I3075" t="inlineStr">
        <is>
          <t>健康餐</t>
        </is>
      </c>
      <c r="J3075" t="inlineStr">
        <is>
          <t>0.00</t>
        </is>
      </c>
      <c r="K3075"/>
      <c r="L3075" t="inlineStr">
        <is>
          <t>东方甄选旗舰店</t>
        </is>
      </c>
      <c r="M3075">
        <v>991000</v>
      </c>
      <c r="N3075">
        <v>4.72</v>
      </c>
      <c r="O3075">
        <v>1721000</v>
      </c>
      <c r="P3075" t="inlineStr">
        <is>
          <t>654df9b144a0ce000121f2c1</t>
        </is>
      </c>
      <c r="Q3075" t="inlineStr">
        <is>
          <t>🚫重复</t>
        </is>
      </c>
      <c r="R3075" t="inlineStr">
        <is>
          <t>14周</t>
        </is>
      </c>
      <c r="S3075" t="inlineStr">
        <is>
          <t>0.08</t>
        </is>
      </c>
      <c r="T3075" t="inlineStr">
        <is>
          <t>美食滋补</t>
        </is>
      </c>
      <c r="U3075" t="inlineStr">
        <is>
          <t>生鲜特产</t>
        </is>
      </c>
      <c r="V3075" s="3">
        <v>46112.78107638889</v>
      </c>
      <c r="W3075" t="inlineStr">
        <is>
          <t>2026-Q1</t>
        </is>
      </c>
    </row>
    <row r="3076" ht="25.5" customHeight="1">
      <c r="A3076" t="inlineStr">
        <is>
          <t>全麦司康饼干孕期手工健身减低期0无蔗糖粗粮饱腹代餐主食解馋零</t>
        </is>
      </c>
      <c r="B3076" t="inlineStr">
        <is>
          <t>recveNXG9tQzxr.jpg</t>
        </is>
      </c>
      <c r="C3076" s="2" t="str">
        <f>=HYPERLINK("https://xhslink.com/m/3GRmMZNkc4S", "https://xhslink.com/m/3GRmMZNkc4S")</f>
        <v>https://xhslink.com/m/3GRmMZNkc4S</v>
      </c>
      <c r="D3076"/>
      <c r="E3076">
        <v>29000</v>
      </c>
      <c r="F3076">
        <v>29.9</v>
      </c>
      <c r="G3076"/>
      <c r="H3076">
        <v>100</v>
      </c>
      <c r="I3076" t="inlineStr">
        <is>
          <t>健康餐</t>
        </is>
      </c>
      <c r="J3076" t="inlineStr">
        <is>
          <t>0.00</t>
        </is>
      </c>
      <c r="K3076" t="inlineStr">
        <is>
          <t>🔥低粉爆款</t>
        </is>
      </c>
      <c r="L3076" t="inlineStr">
        <is>
          <t>面包搭子的店</t>
        </is>
      </c>
      <c r="M3076">
        <v>2302</v>
      </c>
      <c r="N3076">
        <v>4.67</v>
      </c>
      <c r="O3076">
        <v>31000</v>
      </c>
      <c r="P3076" t="inlineStr">
        <is>
          <t>67b413d49759260001a3c202</t>
        </is>
      </c>
      <c r="Q3076"/>
      <c r="R3076" t="inlineStr">
        <is>
          <t>14周</t>
        </is>
      </c>
      <c r="S3076" t="inlineStr">
        <is>
          <t>12.60</t>
        </is>
      </c>
      <c r="T3076" t="inlineStr">
        <is>
          <t>美食滋补</t>
        </is>
      </c>
      <c r="U3076" t="inlineStr">
        <is>
          <t>休闲零食</t>
        </is>
      </c>
      <c r="V3076" s="3">
        <v>46112.78107638889</v>
      </c>
      <c r="W3076" t="inlineStr">
        <is>
          <t>2026-Q1</t>
        </is>
      </c>
    </row>
    <row r="3077" ht="25.5" customHeight="1">
      <c r="A3077" t="inlineStr">
        <is>
          <t>低脂全麦恰巴塔面包健身代餐0蔗糖面包健康粗粮早餐三明治</t>
        </is>
      </c>
      <c r="B3077" t="inlineStr">
        <is>
          <t>recveNXG9tPKwC.jpg</t>
        </is>
      </c>
      <c r="C3077" s="2" t="str">
        <f>=HYPERLINK("https://xhslink.com/m/4FqweUeKMg0", "https://xhslink.com/m/4FqweUeKMg0")</f>
        <v>https://xhslink.com/m/4FqweUeKMg0</v>
      </c>
      <c r="D3077"/>
      <c r="E3077">
        <v>27000</v>
      </c>
      <c r="F3077">
        <v>40.9</v>
      </c>
      <c r="G3077">
        <v>30.9</v>
      </c>
      <c r="H3077">
        <v>100</v>
      </c>
      <c r="I3077" t="inlineStr">
        <is>
          <t>健康餐</t>
        </is>
      </c>
      <c r="J3077" t="inlineStr">
        <is>
          <t>0.00</t>
        </is>
      </c>
      <c r="K3077" t="inlineStr">
        <is>
          <t>🔥低粉爆款</t>
        </is>
      </c>
      <c r="L3077" t="inlineStr">
        <is>
          <t>Green轻食店的店</t>
        </is>
      </c>
      <c r="M3077">
        <v>663</v>
      </c>
      <c r="N3077">
        <v>4.54</v>
      </c>
      <c r="O3077">
        <v>31000</v>
      </c>
      <c r="P3077" t="inlineStr">
        <is>
          <t>683291830d7e3d0001425d1b</t>
        </is>
      </c>
      <c r="Q3077" t="inlineStr">
        <is>
          <t>🚫重复</t>
        </is>
      </c>
      <c r="R3077" t="inlineStr">
        <is>
          <t>14周</t>
        </is>
      </c>
      <c r="S3077" t="inlineStr">
        <is>
          <t>40.72</t>
        </is>
      </c>
      <c r="T3077" t="inlineStr">
        <is>
          <t>美食滋补</t>
        </is>
      </c>
      <c r="U3077" t="inlineStr">
        <is>
          <t>休闲零食</t>
        </is>
      </c>
      <c r="V3077" s="3">
        <v>46112.78107638889</v>
      </c>
      <c r="W3077" t="inlineStr">
        <is>
          <t>2026-Q1</t>
        </is>
      </c>
    </row>
    <row r="3078" ht="25.5" customHeight="1">
      <c r="A3078" t="inlineStr">
        <is>
          <t>minjiena加绒小兔印花 韩系可爱卫衣卫裤套装</t>
        </is>
      </c>
      <c r="B3078" t="inlineStr">
        <is>
          <t>recveNXG9tECkY.jpg</t>
        </is>
      </c>
      <c r="C3078" s="2" t="str">
        <f>=HYPERLINK("https://xhslink.com/m/n69jaJVZXj", "https://xhslink.com/m/n69jaJVZXj")</f>
        <v>https://xhslink.com/m/n69jaJVZXj</v>
      </c>
      <c r="D3078"/>
      <c r="E3078">
        <v>4452</v>
      </c>
      <c r="F3078">
        <v>138</v>
      </c>
      <c r="G3078"/>
      <c r="H3078">
        <v>100</v>
      </c>
      <c r="I3078" t="inlineStr">
        <is>
          <t>卫衣</t>
        </is>
      </c>
      <c r="J3078" t="inlineStr">
        <is>
          <t>0.02</t>
        </is>
      </c>
      <c r="K3078"/>
      <c r="L3078" t="inlineStr">
        <is>
          <t>叫我阿may的店</t>
        </is>
      </c>
      <c r="M3078">
        <v>38000</v>
      </c>
      <c r="N3078">
        <v>4.59</v>
      </c>
      <c r="O3078">
        <v>72000</v>
      </c>
      <c r="P3078" t="inlineStr">
        <is>
          <t>692d6e7095624300018dc66e</t>
        </is>
      </c>
      <c r="Q3078"/>
      <c r="R3078" t="inlineStr">
        <is>
          <t>14周</t>
        </is>
      </c>
      <c r="S3078" t="inlineStr">
        <is>
          <t>0.12</t>
        </is>
      </c>
      <c r="T3078" t="inlineStr">
        <is>
          <t>服饰穿搭</t>
        </is>
      </c>
      <c r="U3078" t="inlineStr">
        <is>
          <t>女装</t>
        </is>
      </c>
      <c r="V3078" s="3">
        <v>46112.78107638889</v>
      </c>
      <c r="W3078" t="inlineStr">
        <is>
          <t>2026-Q1</t>
        </is>
      </c>
    </row>
    <row r="3079" ht="25.5" customHeight="1">
      <c r="A3079" t="inlineStr">
        <is>
          <t>吉福屋·复古高级感圆领纯棉针织卫衣秋季新款宽松显气质百搭上衣</t>
        </is>
      </c>
      <c r="B3079" t="inlineStr">
        <is>
          <t>recveNXG9tYuLY.jpg</t>
        </is>
      </c>
      <c r="C3079" s="2" t="str">
        <f>=HYPERLINK("https://xhslink.com/m/2tMswepFjbQ", "https://xhslink.com/m/2tMswepFjbQ")</f>
        <v>https://xhslink.com/m/2tMswepFjbQ</v>
      </c>
      <c r="D3079"/>
      <c r="E3079">
        <v>7088</v>
      </c>
      <c r="F3079">
        <v>352</v>
      </c>
      <c r="G3079">
        <v>299.2</v>
      </c>
      <c r="H3079">
        <v>100</v>
      </c>
      <c r="I3079" t="inlineStr">
        <is>
          <t>卫衣</t>
        </is>
      </c>
      <c r="J3079" t="inlineStr">
        <is>
          <t>0.01</t>
        </is>
      </c>
      <c r="K3079"/>
      <c r="L3079" t="inlineStr">
        <is>
          <t>吉福屋的店</t>
        </is>
      </c>
      <c r="M3079">
        <v>14000</v>
      </c>
      <c r="N3079">
        <v>4.75</v>
      </c>
      <c r="O3079">
        <v>29000</v>
      </c>
      <c r="P3079" t="inlineStr">
        <is>
          <t>68ccc793c33f61000175c4a1</t>
        </is>
      </c>
      <c r="Q3079"/>
      <c r="R3079" t="inlineStr">
        <is>
          <t>14周</t>
        </is>
      </c>
      <c r="S3079" t="inlineStr">
        <is>
          <t>0.51</t>
        </is>
      </c>
      <c r="T3079" t="inlineStr">
        <is>
          <t>服饰穿搭</t>
        </is>
      </c>
      <c r="U3079" t="inlineStr">
        <is>
          <t>女装</t>
        </is>
      </c>
      <c r="V3079" s="3">
        <v>46112.78107638889</v>
      </c>
      <c r="W3079" t="inlineStr">
        <is>
          <t>2026-Q1</t>
        </is>
      </c>
    </row>
    <row r="3080" ht="25.5" customHeight="1">
      <c r="A3080" t="inlineStr">
        <is>
          <t>轻奢平替 秋冬户外运动纯色休闲半拉链立领卫衣华夫格套头打底衫</t>
        </is>
      </c>
      <c r="B3080" t="inlineStr">
        <is>
          <t>recveNXG9tgDX3.jpg</t>
        </is>
      </c>
      <c r="C3080" s="2" t="str">
        <f>=HYPERLINK("https://xhslink.com/m/7op4FfTImZu", "https://xhslink.com/m/7op4FfTImZu")</f>
        <v>https://xhslink.com/m/7op4FfTImZu</v>
      </c>
      <c r="D3080"/>
      <c r="E3080">
        <v>3527</v>
      </c>
      <c r="F3080">
        <v>69</v>
      </c>
      <c r="G3080"/>
      <c r="H3080">
        <v>100</v>
      </c>
      <c r="I3080" t="inlineStr">
        <is>
          <t>卫衣</t>
        </is>
      </c>
      <c r="J3080" t="inlineStr">
        <is>
          <t>0.03</t>
        </is>
      </c>
      <c r="K3080"/>
      <c r="L3080" t="inlineStr">
        <is>
          <t>阿呜穿搭的店</t>
        </is>
      </c>
      <c r="M3080">
        <v>9654</v>
      </c>
      <c r="N3080">
        <v>4.48</v>
      </c>
      <c r="O3080">
        <v>38000</v>
      </c>
      <c r="P3080" t="inlineStr">
        <is>
          <t>696866335c204c0001779fb9</t>
        </is>
      </c>
      <c r="Q3080" t="inlineStr">
        <is>
          <t>🚫重复</t>
        </is>
      </c>
      <c r="R3080" t="inlineStr">
        <is>
          <t>14周</t>
        </is>
      </c>
      <c r="S3080" t="inlineStr">
        <is>
          <t>0.37</t>
        </is>
      </c>
      <c r="T3080" t="inlineStr">
        <is>
          <t>服饰穿搭</t>
        </is>
      </c>
      <c r="U3080" t="inlineStr">
        <is>
          <t>女装</t>
        </is>
      </c>
      <c r="V3080" s="3">
        <v>46112.78107638889</v>
      </c>
      <c r="W3080" t="inlineStr">
        <is>
          <t>2026-Q1</t>
        </is>
      </c>
    </row>
    <row r="3081" ht="25.5" customHeight="1">
      <c r="A3081" t="inlineStr">
        <is>
          <t>酒姨Juuye香槟手工星星编织托特包高级大容量通勤手提水桶单肩包</t>
        </is>
      </c>
      <c r="B3081" t="inlineStr">
        <is>
          <t>recveNXG9tn8qg.jpg</t>
        </is>
      </c>
      <c r="C3081" s="2" t="str">
        <f>=HYPERLINK("https://xhslink.com/m/3kEWXZrVldl", "https://xhslink.com/m/3kEWXZrVldl")</f>
        <v>https://xhslink.com/m/3kEWXZrVldl</v>
      </c>
      <c r="D3081"/>
      <c r="E3081">
        <v>1914</v>
      </c>
      <c r="F3081">
        <v>149</v>
      </c>
      <c r="G3081">
        <v>119</v>
      </c>
      <c r="H3081">
        <v>100</v>
      </c>
      <c r="I3081" t="inlineStr">
        <is>
          <t>包包</t>
        </is>
      </c>
      <c r="J3081" t="inlineStr">
        <is>
          <t>0.05</t>
        </is>
      </c>
      <c r="K3081" t="inlineStr">
        <is>
          <t>🔥低粉爆款</t>
        </is>
      </c>
      <c r="L3081" t="inlineStr">
        <is>
          <t>酒姨Juuye的店</t>
        </is>
      </c>
      <c r="M3081">
        <v>439</v>
      </c>
      <c r="N3081">
        <v>4.47</v>
      </c>
      <c r="O3081">
        <v>2487</v>
      </c>
      <c r="P3081" t="inlineStr">
        <is>
          <t>683990788a6cef0001c1cac5</t>
        </is>
      </c>
      <c r="Q3081" t="inlineStr">
        <is>
          <t>🚫重复</t>
        </is>
      </c>
      <c r="R3081" t="inlineStr">
        <is>
          <t>14周</t>
        </is>
      </c>
      <c r="S3081" t="inlineStr">
        <is>
          <t>4.36</t>
        </is>
      </c>
      <c r="T3081" t="inlineStr">
        <is>
          <t>服饰穿搭</t>
        </is>
      </c>
      <c r="U3081" t="inlineStr">
        <is>
          <t>鞋靴箱包</t>
        </is>
      </c>
      <c r="V3081" s="3">
        <v>46112.78107638889</v>
      </c>
      <c r="W3081" t="inlineStr">
        <is>
          <t>2026-Q1</t>
        </is>
      </c>
    </row>
    <row r="3082" ht="25.5" customHeight="1">
      <c r="A3082" t="inlineStr">
        <is>
          <t>新款小众通勤菜篮子托特包包</t>
        </is>
      </c>
      <c r="B3082" t="inlineStr">
        <is>
          <t>recveNXG9tfhoc.jpg</t>
        </is>
      </c>
      <c r="C3082" s="2" t="str">
        <f>=HYPERLINK("https://xhslink.com/m/69oLICaHwT1", "https://xhslink.com/m/69oLICaHwT1")</f>
        <v>https://xhslink.com/m/69oLICaHwT1</v>
      </c>
      <c r="D3082"/>
      <c r="E3082">
        <v>19000</v>
      </c>
      <c r="F3082">
        <v>149</v>
      </c>
      <c r="G3082">
        <v>134.1</v>
      </c>
      <c r="H3082">
        <v>100</v>
      </c>
      <c r="I3082" t="inlineStr">
        <is>
          <t>包包</t>
        </is>
      </c>
      <c r="J3082" t="inlineStr">
        <is>
          <t>0.01</t>
        </is>
      </c>
      <c r="K3082"/>
      <c r="L3082" t="inlineStr">
        <is>
          <t>爱包包的Miss chen的店</t>
        </is>
      </c>
      <c r="M3082">
        <v>482000</v>
      </c>
      <c r="N3082">
        <v>4.67</v>
      </c>
      <c r="O3082">
        <v>489000</v>
      </c>
      <c r="P3082" t="inlineStr">
        <is>
          <t>6737fa9a5ce03300017f02fb</t>
        </is>
      </c>
      <c r="Q3082"/>
      <c r="R3082" t="inlineStr">
        <is>
          <t>14周</t>
        </is>
      </c>
      <c r="S3082" t="inlineStr">
        <is>
          <t>0.04</t>
        </is>
      </c>
      <c r="T3082" t="inlineStr">
        <is>
          <t>服饰穿搭</t>
        </is>
      </c>
      <c r="U3082" t="inlineStr">
        <is>
          <t>鞋靴箱包</t>
        </is>
      </c>
      <c r="V3082" s="3">
        <v>46112.78107638889</v>
      </c>
      <c r="W3082" t="inlineStr">
        <is>
          <t>2026-Q1</t>
        </is>
      </c>
    </row>
    <row r="3083" ht="25.5" customHeight="1">
      <c r="A3083" t="inlineStr">
        <is>
          <t>ECODAY · 原创设计春夏大号麂皮编织包托特包女通勤单肩斜挎包焦糖色出游</t>
        </is>
      </c>
      <c r="B3083" t="inlineStr">
        <is>
          <t>recveNXG9tSrnp.jpg</t>
        </is>
      </c>
      <c r="C3083" s="2" t="str">
        <f>=HYPERLINK("https://xhslink.com/m/7NmGVn8laXJ", "https://xhslink.com/m/7NmGVn8laXJ")</f>
        <v>https://xhslink.com/m/7NmGVn8laXJ</v>
      </c>
      <c r="D3083"/>
      <c r="E3083">
        <v>23000</v>
      </c>
      <c r="F3083">
        <v>439</v>
      </c>
      <c r="G3083">
        <v>354</v>
      </c>
      <c r="H3083">
        <v>100</v>
      </c>
      <c r="I3083" t="inlineStr">
        <is>
          <t>包包</t>
        </is>
      </c>
      <c r="J3083" t="inlineStr">
        <is>
          <t>0.00</t>
        </is>
      </c>
      <c r="K3083"/>
      <c r="L3083" t="inlineStr">
        <is>
          <t>ECODAY旗舰店</t>
        </is>
      </c>
      <c r="M3083">
        <v>108000</v>
      </c>
      <c r="N3083">
        <v>4.49</v>
      </c>
      <c r="O3083">
        <v>420000</v>
      </c>
      <c r="P3083" t="inlineStr">
        <is>
          <t>689f03ef8ff8a70001d9f6cb</t>
        </is>
      </c>
      <c r="Q3083"/>
      <c r="R3083" t="inlineStr">
        <is>
          <t>14周</t>
        </is>
      </c>
      <c r="S3083" t="inlineStr">
        <is>
          <t>0.21</t>
        </is>
      </c>
      <c r="T3083" t="inlineStr">
        <is>
          <t>服饰穿搭</t>
        </is>
      </c>
      <c r="U3083" t="inlineStr">
        <is>
          <t>鞋靴箱包</t>
        </is>
      </c>
      <c r="V3083" s="3">
        <v>46112.78107638889</v>
      </c>
      <c r="W3083" t="inlineStr">
        <is>
          <t>2026-Q1</t>
        </is>
      </c>
    </row>
    <row r="3084" ht="25.5" customHeight="1">
      <c r="A3084" t="inlineStr">
        <is>
          <t>韩国新款单肩斜挎包PU皮长肩带大容量托特包女手提通勤</t>
        </is>
      </c>
      <c r="B3084" t="inlineStr">
        <is>
          <t>recveNXG9tyF6q.jpg</t>
        </is>
      </c>
      <c r="C3084" s="2" t="str">
        <f>=HYPERLINK("https://xhslink.com/m/6vcFblwGkMc", "https://xhslink.com/m/6vcFblwGkMc")</f>
        <v>https://xhslink.com/m/6vcFblwGkMc</v>
      </c>
      <c r="D3084"/>
      <c r="E3084">
        <v>3478</v>
      </c>
      <c r="F3084">
        <v>189</v>
      </c>
      <c r="G3084">
        <v>149</v>
      </c>
      <c r="H3084">
        <v>100</v>
      </c>
      <c r="I3084" t="inlineStr">
        <is>
          <t>包包</t>
        </is>
      </c>
      <c r="J3084" t="inlineStr">
        <is>
          <t>0.03</t>
        </is>
      </c>
      <c r="K3084"/>
      <c r="L3084" t="inlineStr">
        <is>
          <t>小韩妮子的店</t>
        </is>
      </c>
      <c r="M3084">
        <v>12000</v>
      </c>
      <c r="N3084">
        <v>4.66</v>
      </c>
      <c r="O3084">
        <v>32000</v>
      </c>
      <c r="P3084" t="inlineStr">
        <is>
          <t>68cf6760c72840000116ea28</t>
        </is>
      </c>
      <c r="Q3084" t="inlineStr">
        <is>
          <t>🚫重复</t>
        </is>
      </c>
      <c r="R3084" t="inlineStr">
        <is>
          <t>14周</t>
        </is>
      </c>
      <c r="S3084" t="inlineStr">
        <is>
          <t>0.29</t>
        </is>
      </c>
      <c r="T3084" t="inlineStr">
        <is>
          <t>服饰穿搭</t>
        </is>
      </c>
      <c r="U3084" t="inlineStr">
        <is>
          <t>鞋靴箱包</t>
        </is>
      </c>
      <c r="V3084" s="3">
        <v>46112.78107638889</v>
      </c>
      <c r="W3084" t="inlineStr">
        <is>
          <t>2026-Q1</t>
        </is>
      </c>
    </row>
    <row r="3085" ht="25.5" customHeight="1">
      <c r="A3085" t="inlineStr">
        <is>
          <t>独白 · 【孙乐言同款】可颂系列双肩包法式高级背包上学通勤女包D5545</t>
        </is>
      </c>
      <c r="B3085" t="inlineStr">
        <is>
          <t>recveNXG9tBiP1.jpg</t>
        </is>
      </c>
      <c r="C3085" s="2" t="str">
        <f>=HYPERLINK("https://xhslink.com/m/5XGxjsd4nU5", "https://xhslink.com/m/5XGxjsd4nU5")</f>
        <v>https://xhslink.com/m/5XGxjsd4nU5</v>
      </c>
      <c r="D3085"/>
      <c r="E3085">
        <v>4707</v>
      </c>
      <c r="F3085">
        <v>269</v>
      </c>
      <c r="G3085"/>
      <c r="H3085">
        <v>100</v>
      </c>
      <c r="I3085" t="inlineStr">
        <is>
          <t>包包</t>
        </is>
      </c>
      <c r="J3085" t="inlineStr">
        <is>
          <t>0.02</t>
        </is>
      </c>
      <c r="K3085"/>
      <c r="L3085" t="inlineStr">
        <is>
          <t>独白monolog旗舰店</t>
        </is>
      </c>
      <c r="M3085">
        <v>8404</v>
      </c>
      <c r="N3085">
        <v>4.75</v>
      </c>
      <c r="O3085">
        <v>18000</v>
      </c>
      <c r="P3085" t="inlineStr">
        <is>
          <t>689eddd35251bf0001232fca</t>
        </is>
      </c>
      <c r="Q3085"/>
      <c r="R3085" t="inlineStr">
        <is>
          <t>14周</t>
        </is>
      </c>
      <c r="S3085" t="inlineStr">
        <is>
          <t>0.56</t>
        </is>
      </c>
      <c r="T3085" t="inlineStr">
        <is>
          <t>服饰穿搭</t>
        </is>
      </c>
      <c r="U3085" t="inlineStr">
        <is>
          <t>鞋靴箱包</t>
        </is>
      </c>
      <c r="V3085" s="3">
        <v>46112.78107638889</v>
      </c>
      <c r="W3085" t="inlineStr">
        <is>
          <t>2026-Q1</t>
        </is>
      </c>
    </row>
    <row r="3086" ht="25.5" customHeight="1">
      <c r="A3086" t="inlineStr">
        <is>
          <t>小众设计百搭2025新款日常百搭通勤大容量托特包简约女大学生上课</t>
        </is>
      </c>
      <c r="B3086" t="inlineStr">
        <is>
          <t>recveNXG9tXPbJ.jpg</t>
        </is>
      </c>
      <c r="C3086" s="2" t="str">
        <f>=HYPERLINK("https://xhslink.com/m/74ua1plAQKw", "https://xhslink.com/m/74ua1plAQKw")</f>
        <v>https://xhslink.com/m/74ua1plAQKw</v>
      </c>
      <c r="D3086"/>
      <c r="E3086">
        <v>78000</v>
      </c>
      <c r="F3086">
        <v>49.9</v>
      </c>
      <c r="G3086">
        <v>39.9</v>
      </c>
      <c r="H3086">
        <v>100</v>
      </c>
      <c r="I3086" t="inlineStr">
        <is>
          <t>包包</t>
        </is>
      </c>
      <c r="J3086" t="inlineStr">
        <is>
          <t>0.00</t>
        </is>
      </c>
      <c r="K3086"/>
      <c r="L3086" t="inlineStr">
        <is>
          <t>这个包好看嘛的店</t>
        </is>
      </c>
      <c r="M3086">
        <v>45000</v>
      </c>
      <c r="N3086">
        <v>4.57</v>
      </c>
      <c r="O3086">
        <v>440000</v>
      </c>
      <c r="P3086" t="inlineStr">
        <is>
          <t>6544d7b2b870570001de474e</t>
        </is>
      </c>
      <c r="Q3086"/>
      <c r="R3086" t="inlineStr">
        <is>
          <t>14周</t>
        </is>
      </c>
      <c r="S3086" t="inlineStr">
        <is>
          <t>1.73</t>
        </is>
      </c>
      <c r="T3086" t="inlineStr">
        <is>
          <t>服饰穿搭</t>
        </is>
      </c>
      <c r="U3086" t="inlineStr">
        <is>
          <t>鞋靴箱包</t>
        </is>
      </c>
      <c r="V3086" s="3">
        <v>46112.78107638889</v>
      </c>
      <c r="W3086" t="inlineStr">
        <is>
          <t>2026-Q1</t>
        </is>
      </c>
    </row>
    <row r="3087" ht="25.5" customHeight="1">
      <c r="A3087" t="inlineStr">
        <is>
          <t>Ranusslism · 小众设计复古波士顿保龄球包通勤百搭大容量单肩腋下包女包手提包</t>
        </is>
      </c>
      <c r="B3087" t="inlineStr">
        <is>
          <t>recveNXG9t1uuS.jpg</t>
        </is>
      </c>
      <c r="C3087" s="2" t="str">
        <f>=HYPERLINK("https://xhslink.com/m/6Y1MqdsvRh3", "https://xhslink.com/m/6Y1MqdsvRh3")</f>
        <v>https://xhslink.com/m/6Y1MqdsvRh3</v>
      </c>
      <c r="D3087"/>
      <c r="E3087">
        <v>992</v>
      </c>
      <c r="F3087">
        <v>299</v>
      </c>
      <c r="G3087">
        <v>158</v>
      </c>
      <c r="H3087">
        <v>100</v>
      </c>
      <c r="I3087" t="inlineStr">
        <is>
          <t>包包</t>
        </is>
      </c>
      <c r="J3087" t="inlineStr">
        <is>
          <t>0.10</t>
        </is>
      </c>
      <c r="K3087"/>
      <c r="L3087" t="inlineStr">
        <is>
          <t>RANUSSLISM的店</t>
        </is>
      </c>
      <c r="M3087">
        <v>75000</v>
      </c>
      <c r="N3087">
        <v>4.46</v>
      </c>
      <c r="O3087">
        <v>38000</v>
      </c>
      <c r="P3087" t="inlineStr">
        <is>
          <t>6981d9b4880da20001fc79a0</t>
        </is>
      </c>
      <c r="Q3087"/>
      <c r="R3087" t="inlineStr">
        <is>
          <t>14周</t>
        </is>
      </c>
      <c r="S3087" t="inlineStr">
        <is>
          <t>0.01</t>
        </is>
      </c>
      <c r="T3087" t="inlineStr">
        <is>
          <t>服饰穿搭</t>
        </is>
      </c>
      <c r="U3087" t="inlineStr">
        <is>
          <t>鞋靴箱包</t>
        </is>
      </c>
      <c r="V3087" s="3">
        <v>46112.78107638889</v>
      </c>
      <c r="W3087" t="inlineStr">
        <is>
          <t>2026-Q1</t>
        </is>
      </c>
    </row>
    <row r="3088" ht="25.5" customHeight="1">
      <c r="A3088" t="inlineStr">
        <is>
          <t>【一包三背】春夏新款复古托特包休闲通勤斜挎包包单肩大容量背包</t>
        </is>
      </c>
      <c r="B3088" t="inlineStr">
        <is>
          <t>recveNXG9tt3ZK.jpg</t>
        </is>
      </c>
      <c r="C3088" s="2" t="str">
        <f>=HYPERLINK("https://xhslink.com/m/8XKGCHyaROE", "https://xhslink.com/m/8XKGCHyaROE")</f>
        <v>https://xhslink.com/m/8XKGCHyaROE</v>
      </c>
      <c r="D3088"/>
      <c r="E3088">
        <v>13000</v>
      </c>
      <c r="F3088">
        <v>79.8</v>
      </c>
      <c r="G3088">
        <v>59.8</v>
      </c>
      <c r="H3088">
        <v>100</v>
      </c>
      <c r="I3088" t="inlineStr">
        <is>
          <t>包包</t>
        </is>
      </c>
      <c r="J3088" t="inlineStr">
        <is>
          <t>0.01</t>
        </is>
      </c>
      <c r="K3088" t="inlineStr">
        <is>
          <t>🔥低粉爆款</t>
        </is>
      </c>
      <c r="L3088" t="inlineStr">
        <is>
          <t>热带鱼籽酱的店</t>
        </is>
      </c>
      <c r="M3088">
        <v>1218</v>
      </c>
      <c r="N3088">
        <v>4.54</v>
      </c>
      <c r="O3088">
        <v>14000</v>
      </c>
      <c r="P3088" t="inlineStr">
        <is>
          <t>6721d1f14d5811000103d604</t>
        </is>
      </c>
      <c r="Q3088"/>
      <c r="R3088" t="inlineStr">
        <is>
          <t>14周</t>
        </is>
      </c>
      <c r="S3088" t="inlineStr">
        <is>
          <t>10.67</t>
        </is>
      </c>
      <c r="T3088" t="inlineStr">
        <is>
          <t>服饰穿搭</t>
        </is>
      </c>
      <c r="U3088" t="inlineStr">
        <is>
          <t>鞋靴箱包</t>
        </is>
      </c>
      <c r="V3088" s="3">
        <v>46112.78107638889</v>
      </c>
      <c r="W3088" t="inlineStr">
        <is>
          <t>2026-Q1</t>
        </is>
      </c>
    </row>
    <row r="3089" ht="25.5" customHeight="1">
      <c r="A3089" t="inlineStr">
        <is>
          <t>tpe微瑕防滑瑜伽垫隔音减震健身跳操加宽加厚耐用初学入门跳绳垫</t>
        </is>
      </c>
      <c r="B3089" t="inlineStr">
        <is>
          <t>recveNXG9tdKEK.jpg</t>
        </is>
      </c>
      <c r="C3089" s="2" t="str">
        <f>=HYPERLINK("https://xhslink.com/m/1VlqXDEonw", "https://xhslink.com/m/1VlqXDEonw")</f>
        <v>https://xhslink.com/m/1VlqXDEonw</v>
      </c>
      <c r="D3089"/>
      <c r="E3089">
        <v>65000</v>
      </c>
      <c r="F3089">
        <v>49</v>
      </c>
      <c r="G3089">
        <v>36.9</v>
      </c>
      <c r="H3089">
        <v>100</v>
      </c>
      <c r="I3089" t="inlineStr">
        <is>
          <t>瑜伽</t>
        </is>
      </c>
      <c r="J3089" t="inlineStr">
        <is>
          <t>0.00</t>
        </is>
      </c>
      <c r="K3089" t="inlineStr">
        <is>
          <t>🔥低粉爆款</t>
        </is>
      </c>
      <c r="L3089" t="inlineStr">
        <is>
          <t>TPE瑜伽垫工厂店的店</t>
        </is>
      </c>
      <c r="M3089">
        <v>2655</v>
      </c>
      <c r="N3089">
        <v>4.71</v>
      </c>
      <c r="O3089">
        <v>70000</v>
      </c>
      <c r="P3089" t="inlineStr">
        <is>
          <t>655b19427e966a00010644bb</t>
        </is>
      </c>
      <c r="Q3089"/>
      <c r="R3089" t="inlineStr">
        <is>
          <t>14周</t>
        </is>
      </c>
      <c r="S3089" t="inlineStr">
        <is>
          <t>24.48</t>
        </is>
      </c>
      <c r="T3089" t="inlineStr">
        <is>
          <t>运动潮玩</t>
        </is>
      </c>
      <c r="U3089" t="inlineStr">
        <is>
          <t>运动户外装备</t>
        </is>
      </c>
      <c r="V3089" s="3">
        <v>46112.78107638889</v>
      </c>
      <c r="W3089" t="inlineStr">
        <is>
          <t>2026-Q1</t>
        </is>
      </c>
    </row>
    <row r="3090" ht="25.5" customHeight="1">
      <c r="A3090" t="inlineStr">
        <is>
          <t>23宽松透气直筒垂感运动裤女高腰显瘦普拉提跑步训练瑜伽健身长裤</t>
        </is>
      </c>
      <c r="B3090" t="inlineStr">
        <is>
          <t>recveNXG9t1qGG.jpg</t>
        </is>
      </c>
      <c r="C3090" s="2" t="str">
        <f>=HYPERLINK("https://xhslink.com/m/2PlIzPulpIg", "https://xhslink.com/m/2PlIzPulpIg")</f>
        <v>https://xhslink.com/m/2PlIzPulpIg</v>
      </c>
      <c r="D3090"/>
      <c r="E3090">
        <v>19000</v>
      </c>
      <c r="F3090">
        <v>59.99</v>
      </c>
      <c r="G3090"/>
      <c r="H3090">
        <v>100</v>
      </c>
      <c r="I3090" t="inlineStr">
        <is>
          <t>瑜伽</t>
        </is>
      </c>
      <c r="J3090" t="inlineStr">
        <is>
          <t>0.01</t>
        </is>
      </c>
      <c r="K3090"/>
      <c r="L3090" t="inlineStr">
        <is>
          <t>瑜伽少女Yoga的店</t>
        </is>
      </c>
      <c r="M3090">
        <v>10000</v>
      </c>
      <c r="N3090">
        <v>4.72</v>
      </c>
      <c r="O3090">
        <v>244000</v>
      </c>
      <c r="P3090" t="inlineStr">
        <is>
          <t>68bce8b38f53130001b191b9</t>
        </is>
      </c>
      <c r="Q3090" t="inlineStr">
        <is>
          <t>🚫重复</t>
        </is>
      </c>
      <c r="R3090" t="inlineStr">
        <is>
          <t>14周</t>
        </is>
      </c>
      <c r="S3090" t="inlineStr">
        <is>
          <t>1.90</t>
        </is>
      </c>
      <c r="T3090" t="inlineStr">
        <is>
          <t>运动潮玩</t>
        </is>
      </c>
      <c r="U3090" t="inlineStr">
        <is>
          <t>运动户外装备</t>
        </is>
      </c>
      <c r="V3090" s="3">
        <v>46112.78107638889</v>
      </c>
      <c r="W3090" t="inlineStr">
        <is>
          <t>2026-Q1</t>
        </is>
      </c>
    </row>
    <row r="3091" ht="25.5" customHeight="1">
      <c r="A3091" t="inlineStr">
        <is>
          <t>瑜伽裤女轻薄高弹高腰提臀蜜桃臀裸感紧身运动健身裤瑜伽长裤</t>
        </is>
      </c>
      <c r="B3091" t="inlineStr">
        <is>
          <t>recveNXG9tMTkF.jpg</t>
        </is>
      </c>
      <c r="C3091" s="2" t="str">
        <f>=HYPERLINK("https://xhslink.com/m/65LQQ6z2vr2", "https://xhslink.com/m/65LQQ6z2vr2")</f>
        <v>https://xhslink.com/m/65LQQ6z2vr2</v>
      </c>
      <c r="D3091"/>
      <c r="E3091">
        <v>4307</v>
      </c>
      <c r="F3091">
        <v>87</v>
      </c>
      <c r="G3091">
        <v>61.6</v>
      </c>
      <c r="H3091">
        <v>100</v>
      </c>
      <c r="I3091" t="inlineStr">
        <is>
          <t>瑜伽</t>
        </is>
      </c>
      <c r="J3091" t="inlineStr">
        <is>
          <t>0.02</t>
        </is>
      </c>
      <c r="K3091"/>
      <c r="L3091" t="inlineStr">
        <is>
          <t>漫跑爱丽丝的店</t>
        </is>
      </c>
      <c r="M3091">
        <v>2514</v>
      </c>
      <c r="N3091">
        <v>4.6</v>
      </c>
      <c r="O3091">
        <v>16000</v>
      </c>
      <c r="P3091" t="inlineStr">
        <is>
          <t>69b6b24532508300017e1794</t>
        </is>
      </c>
      <c r="Q3091" t="inlineStr">
        <is>
          <t>🚫重复</t>
        </is>
      </c>
      <c r="R3091" t="inlineStr">
        <is>
          <t>14周</t>
        </is>
      </c>
      <c r="S3091" t="inlineStr">
        <is>
          <t>1.71</t>
        </is>
      </c>
      <c r="T3091" t="inlineStr">
        <is>
          <t>运动潮玩</t>
        </is>
      </c>
      <c r="U3091" t="inlineStr">
        <is>
          <t>运动户外装备</t>
        </is>
      </c>
      <c r="V3091" s="3">
        <v>46112.78107638889</v>
      </c>
      <c r="W3091" t="inlineStr">
        <is>
          <t>2026-Q1</t>
        </is>
      </c>
    </row>
    <row r="3092" ht="25.5" customHeight="1">
      <c r="A3092" t="inlineStr">
        <is>
          <t>two piece studio · Everywhere背心式抹胸内衣无钢圈内衣女抗菌速干内衣</t>
        </is>
      </c>
      <c r="B3092" t="inlineStr">
        <is>
          <t>recveNXG9toXBc.jpg</t>
        </is>
      </c>
      <c r="C3092" s="2" t="str">
        <f>=HYPERLINK("https://xhslink.com/m/6pTPcTDW2QH", "https://xhslink.com/m/6pTPcTDW2QH")</f>
        <v>https://xhslink.com/m/6pTPcTDW2QH</v>
      </c>
      <c r="D3092"/>
      <c r="E3092">
        <v>1567</v>
      </c>
      <c r="F3092">
        <v>79</v>
      </c>
      <c r="G3092"/>
      <c r="H3092">
        <v>100</v>
      </c>
      <c r="I3092" t="inlineStr">
        <is>
          <t>运动内衣</t>
        </is>
      </c>
      <c r="J3092" t="inlineStr">
        <is>
          <t>0.06</t>
        </is>
      </c>
      <c r="K3092"/>
      <c r="L3092" t="inlineStr">
        <is>
          <t>TWOPIECE旗舰店</t>
        </is>
      </c>
      <c r="M3092">
        <v>17000</v>
      </c>
      <c r="N3092">
        <v>4.33</v>
      </c>
      <c r="O3092">
        <v>55000</v>
      </c>
      <c r="P3092" t="inlineStr">
        <is>
          <t>63411cc6ce539a000153cede</t>
        </is>
      </c>
      <c r="Q3092" t="inlineStr">
        <is>
          <t>🚫重复</t>
        </is>
      </c>
      <c r="R3092" t="inlineStr">
        <is>
          <t>14周</t>
        </is>
      </c>
      <c r="S3092" t="inlineStr">
        <is>
          <t>0.09</t>
        </is>
      </c>
      <c r="T3092" t="inlineStr">
        <is>
          <t>服饰穿搭</t>
        </is>
      </c>
      <c r="U3092" t="inlineStr">
        <is>
          <t>女装</t>
        </is>
      </c>
      <c r="V3092" s="3">
        <v>46112.78107638889</v>
      </c>
      <c r="W3092" t="inlineStr">
        <is>
          <t>2026-Q1</t>
        </is>
      </c>
    </row>
    <row r="3093" ht="25.5" customHeight="1">
      <c r="A3093" t="inlineStr">
        <is>
          <t>工装裤女美式复古百搭阔腿裤夏季新款垂感宽松显瘦休闲运动裤</t>
        </is>
      </c>
      <c r="B3093" t="inlineStr">
        <is>
          <t>recveNXG9teAH1.jpg</t>
        </is>
      </c>
      <c r="C3093" s="2" t="str">
        <f>=HYPERLINK("https://xhslink.com/m/1I5hIvBgQdy", "https://xhslink.com/m/1I5hIvBgQdy")</f>
        <v>https://xhslink.com/m/1I5hIvBgQdy</v>
      </c>
      <c r="D3093"/>
      <c r="E3093">
        <v>94000</v>
      </c>
      <c r="F3093">
        <v>79.9</v>
      </c>
      <c r="G3093"/>
      <c r="H3093">
        <v>100</v>
      </c>
      <c r="I3093" t="inlineStr">
        <is>
          <t>儿童运动裤</t>
        </is>
      </c>
      <c r="J3093" t="inlineStr">
        <is>
          <t>0.00</t>
        </is>
      </c>
      <c r="K3093" t="inlineStr">
        <is>
          <t>🔥低粉爆款</t>
        </is>
      </c>
      <c r="L3093" t="inlineStr">
        <is>
          <t>猫猫不耶的店</t>
        </is>
      </c>
      <c r="M3093">
        <v>22000</v>
      </c>
      <c r="N3093">
        <v>4.37</v>
      </c>
      <c r="O3093">
        <v>390000</v>
      </c>
      <c r="P3093" t="inlineStr">
        <is>
          <t>66598b4b1fd02f000152f4c1</t>
        </is>
      </c>
      <c r="Q3093" t="inlineStr">
        <is>
          <t>🚫重复</t>
        </is>
      </c>
      <c r="R3093" t="inlineStr">
        <is>
          <t>14周</t>
        </is>
      </c>
      <c r="S3093" t="inlineStr">
        <is>
          <t>4.27</t>
        </is>
      </c>
      <c r="T3093" t="inlineStr">
        <is>
          <t>服饰穿搭</t>
        </is>
      </c>
      <c r="U3093" t="inlineStr">
        <is>
          <t>女装</t>
        </is>
      </c>
      <c r="V3093" s="3">
        <v>46112.78107638889</v>
      </c>
      <c r="W3093" t="inlineStr">
        <is>
          <t>2026-Q1</t>
        </is>
      </c>
    </row>
    <row r="3094" ht="25.5" customHeight="1">
      <c r="A3094" t="inlineStr">
        <is>
          <t>直筒运动卫裤女春季2026新款高腰宽松女装窄版阔腿裤显瘦休闲裤子</t>
        </is>
      </c>
      <c r="B3094" t="inlineStr">
        <is>
          <t>recveNXG9tc6Oi.jpg</t>
        </is>
      </c>
      <c r="C3094" s="2" t="str">
        <f>=HYPERLINK("https://xhslink.com/m/29XK1Sk6JMk", "https://xhslink.com/m/29XK1Sk6JMk")</f>
        <v>https://xhslink.com/m/29XK1Sk6JMk</v>
      </c>
      <c r="D3094"/>
      <c r="E3094">
        <v>87000</v>
      </c>
      <c r="F3094">
        <v>114.2</v>
      </c>
      <c r="G3094">
        <v>79.9</v>
      </c>
      <c r="H3094">
        <v>100</v>
      </c>
      <c r="I3094" t="inlineStr">
        <is>
          <t>儿童运动裤</t>
        </is>
      </c>
      <c r="J3094" t="inlineStr">
        <is>
          <t>0.00</t>
        </is>
      </c>
      <c r="K3094"/>
      <c r="L3094" t="inlineStr">
        <is>
          <t>小薯崽的店</t>
        </is>
      </c>
      <c r="M3094">
        <v>43000</v>
      </c>
      <c r="N3094">
        <v>4.57</v>
      </c>
      <c r="O3094">
        <v>339000</v>
      </c>
      <c r="P3094" t="inlineStr">
        <is>
          <t>66248a9919679e0001851164</t>
        </is>
      </c>
      <c r="Q3094" t="inlineStr">
        <is>
          <t>🚫重复</t>
        </is>
      </c>
      <c r="R3094" t="inlineStr">
        <is>
          <t>14周</t>
        </is>
      </c>
      <c r="S3094" t="inlineStr">
        <is>
          <t>2.02</t>
        </is>
      </c>
      <c r="T3094" t="inlineStr">
        <is>
          <t>服饰穿搭</t>
        </is>
      </c>
      <c r="U3094" t="inlineStr">
        <is>
          <t>女装</t>
        </is>
      </c>
      <c r="V3094" s="3">
        <v>46112.78107638889</v>
      </c>
      <c r="W3094" t="inlineStr">
        <is>
          <t>2026-Q1</t>
        </is>
      </c>
    </row>
    <row r="3095" ht="25.5" customHeight="1">
      <c r="A3095" t="inlineStr">
        <is>
          <t>软萌兔子毛绒公仔可爱玩偶钥匙扣挂饰包包挂件女生礼物推荐胡萝卜</t>
        </is>
      </c>
      <c r="B3095" t="inlineStr">
        <is>
          <t>recveNXG9tIF9B.jpg</t>
        </is>
      </c>
      <c r="C3095" s="2" t="str">
        <f>=HYPERLINK("https://xhslink.com/m/3FQEFFD7sfr", "https://xhslink.com/m/3FQEFFD7sfr")</f>
        <v>https://xhslink.com/m/3FQEFFD7sfr</v>
      </c>
      <c r="D3095"/>
      <c r="E3095">
        <v>54000</v>
      </c>
      <c r="F3095">
        <v>75</v>
      </c>
      <c r="G3095">
        <v>29.9</v>
      </c>
      <c r="H3095">
        <v>100</v>
      </c>
      <c r="I3095" t="inlineStr">
        <is>
          <t>玩偶</t>
        </is>
      </c>
      <c r="J3095" t="inlineStr">
        <is>
          <t>0.00</t>
        </is>
      </c>
      <c r="K3095" t="inlineStr">
        <is>
          <t>🔥低粉爆款</t>
        </is>
      </c>
      <c r="L3095" t="inlineStr">
        <is>
          <t>nice聚优阁的店</t>
        </is>
      </c>
      <c r="M3095">
        <v>17000</v>
      </c>
      <c r="N3095">
        <v>4.6</v>
      </c>
      <c r="O3095">
        <v>345000</v>
      </c>
      <c r="P3095" t="inlineStr">
        <is>
          <t>67b071bf132d2d0015dea201</t>
        </is>
      </c>
      <c r="Q3095" t="inlineStr">
        <is>
          <t>🚫重复</t>
        </is>
      </c>
      <c r="R3095" t="inlineStr">
        <is>
          <t>14周</t>
        </is>
      </c>
      <c r="S3095" t="inlineStr">
        <is>
          <t>3.18</t>
        </is>
      </c>
      <c r="T3095" t="inlineStr">
        <is>
          <t>服饰穿搭</t>
        </is>
      </c>
      <c r="U3095" t="inlineStr">
        <is>
          <t>鞋靴箱包</t>
        </is>
      </c>
      <c r="V3095" s="3">
        <v>46112.78107638889</v>
      </c>
      <c r="W3095" t="inlineStr">
        <is>
          <t>2026-Q1</t>
        </is>
      </c>
    </row>
    <row r="3096" ht="25.5" customHeight="1">
      <c r="A3096" t="inlineStr">
        <is>
          <t>一号农场 · 田园风情专属4袋混合沙拉蔬菜开袋即食新鲜脆嫩解腻轻食懒人代餐</t>
        </is>
      </c>
      <c r="B3096" t="inlineStr">
        <is>
          <t>recveNXG9tHIaL.jpg</t>
        </is>
      </c>
      <c r="C3096" s="2" t="str">
        <f>=HYPERLINK("https://xhslink.com/m/7QGBJlFuaBk", "https://xhslink.com/m/7QGBJlFuaBk")</f>
        <v>https://xhslink.com/m/7QGBJlFuaBk</v>
      </c>
      <c r="D3096"/>
      <c r="E3096">
        <v>4174</v>
      </c>
      <c r="F3096">
        <v>35.18</v>
      </c>
      <c r="G3096">
        <v>29.9</v>
      </c>
      <c r="H3096">
        <v>100</v>
      </c>
      <c r="I3096" t="inlineStr">
        <is>
          <t>减肥食物</t>
        </is>
      </c>
      <c r="J3096" t="inlineStr">
        <is>
          <t>0.02</t>
        </is>
      </c>
      <c r="K3096"/>
      <c r="L3096" t="inlineStr">
        <is>
          <t>一号农场旗舰店</t>
        </is>
      </c>
      <c r="M3096">
        <v>270000</v>
      </c>
      <c r="N3096">
        <v>4.63</v>
      </c>
      <c r="O3096">
        <v>221000</v>
      </c>
      <c r="P3096" t="inlineStr">
        <is>
          <t>67ac30c80f41740001ac7f66</t>
        </is>
      </c>
      <c r="Q3096" t="inlineStr">
        <is>
          <t>🚫重复</t>
        </is>
      </c>
      <c r="R3096" t="inlineStr">
        <is>
          <t>14周</t>
        </is>
      </c>
      <c r="S3096" t="inlineStr">
        <is>
          <t>0.02</t>
        </is>
      </c>
      <c r="T3096" t="inlineStr">
        <is>
          <t>美食滋补</t>
        </is>
      </c>
      <c r="U3096" t="inlineStr">
        <is>
          <t>休闲零食</t>
        </is>
      </c>
      <c r="V3096" s="3">
        <v>46112.78107638889</v>
      </c>
      <c r="W3096" t="inlineStr">
        <is>
          <t>2026-Q1</t>
        </is>
      </c>
    </row>
    <row r="3097" ht="25.5" customHeight="1">
      <c r="A3097" t="inlineStr">
        <is>
          <t>一号农场 · 粗粮烤蔬早餐加热即食轻食餐主食清淡饮食优碳水五谷丰登微波速食</t>
        </is>
      </c>
      <c r="B3097" t="inlineStr">
        <is>
          <t>recveNXG9tBT8q.jpg</t>
        </is>
      </c>
      <c r="C3097" s="2" t="str">
        <f>=HYPERLINK("https://xhslink.com/m/8TIeGbJL964", "https://xhslink.com/m/8TIeGbJL964")</f>
        <v>https://xhslink.com/m/8TIeGbJL964</v>
      </c>
      <c r="D3097"/>
      <c r="E3097">
        <v>21000</v>
      </c>
      <c r="F3097">
        <v>52.83</v>
      </c>
      <c r="G3097">
        <v>44.9</v>
      </c>
      <c r="H3097">
        <v>100</v>
      </c>
      <c r="I3097" t="inlineStr">
        <is>
          <t>减肥食物</t>
        </is>
      </c>
      <c r="J3097" t="inlineStr">
        <is>
          <t>0.00</t>
        </is>
      </c>
      <c r="K3097"/>
      <c r="L3097" t="inlineStr">
        <is>
          <t>一号农场旗舰店</t>
        </is>
      </c>
      <c r="M3097">
        <v>270000</v>
      </c>
      <c r="N3097">
        <v>4.63</v>
      </c>
      <c r="O3097">
        <v>221000</v>
      </c>
      <c r="P3097" t="inlineStr">
        <is>
          <t>68ac02545ce8aa000171f1c7</t>
        </is>
      </c>
      <c r="Q3097" t="inlineStr">
        <is>
          <t>🚫重复</t>
        </is>
      </c>
      <c r="R3097" t="inlineStr">
        <is>
          <t>14周</t>
        </is>
      </c>
      <c r="S3097" t="inlineStr">
        <is>
          <t>0.08</t>
        </is>
      </c>
      <c r="T3097" t="inlineStr">
        <is>
          <t>美食滋补</t>
        </is>
      </c>
      <c r="U3097" t="inlineStr">
        <is>
          <t>休闲零食</t>
        </is>
      </c>
      <c r="V3097" s="3">
        <v>46112.78107638889</v>
      </c>
      <c r="W3097" t="inlineStr">
        <is>
          <t>2026-Q1</t>
        </is>
      </c>
    </row>
    <row r="3098" ht="25.5" customHeight="1">
      <c r="A3098" t="inlineStr">
        <is>
          <t>薄脆鸡肉片鸡肉干0防腐色素鸡胸肉脆片健身追剧解馋减脂期小零食</t>
        </is>
      </c>
      <c r="B3098" t="inlineStr">
        <is>
          <t>recveNXG9t3Pxw.jpg</t>
        </is>
      </c>
      <c r="C3098" s="2" t="str">
        <f>=HYPERLINK("https://xhslink.com/m/6X5ftIAQ4pZ", "https://xhslink.com/m/6X5ftIAQ4pZ")</f>
        <v>https://xhslink.com/m/6X5ftIAQ4pZ</v>
      </c>
      <c r="D3098"/>
      <c r="E3098">
        <v>25000</v>
      </c>
      <c r="F3098">
        <v>29.9</v>
      </c>
      <c r="G3098">
        <v>18.9</v>
      </c>
      <c r="H3098">
        <v>100</v>
      </c>
      <c r="I3098" t="inlineStr">
        <is>
          <t>减肥食物</t>
        </is>
      </c>
      <c r="J3098" t="inlineStr">
        <is>
          <t>0.00</t>
        </is>
      </c>
      <c r="K3098" t="inlineStr">
        <is>
          <t>🔥低粉爆款</t>
        </is>
      </c>
      <c r="L3098" t="inlineStr">
        <is>
          <t>阿赞哥食品工厂的店</t>
        </is>
      </c>
      <c r="M3098">
        <v>1954</v>
      </c>
      <c r="N3098">
        <v>4.41</v>
      </c>
      <c r="O3098">
        <v>45000</v>
      </c>
      <c r="P3098" t="inlineStr">
        <is>
          <t>67e100279800e50001be4520</t>
        </is>
      </c>
      <c r="Q3098" t="inlineStr">
        <is>
          <t>🚫重复</t>
        </is>
      </c>
      <c r="R3098" t="inlineStr">
        <is>
          <t>14周</t>
        </is>
      </c>
      <c r="S3098" t="inlineStr">
        <is>
          <t>12.79</t>
        </is>
      </c>
      <c r="T3098" t="inlineStr">
        <is>
          <t>美食滋补</t>
        </is>
      </c>
      <c r="U3098" t="inlineStr">
        <is>
          <t>休闲零食</t>
        </is>
      </c>
      <c r="V3098" s="3">
        <v>46112.78107638889</v>
      </c>
      <c r="W3098" t="inlineStr">
        <is>
          <t>2026-Q1</t>
        </is>
      </c>
    </row>
    <row r="3099" ht="25.5" customHeight="1">
      <c r="A3099" t="inlineStr">
        <is>
          <t>一号农场 · 羽衣甘蓝彩虹什蔬混合沙拉菜新鲜脆嫩即食免洗漂亮饭健身轻食代餐</t>
        </is>
      </c>
      <c r="B3099" t="inlineStr">
        <is>
          <t>recveNXG9tMufm.jpg</t>
        </is>
      </c>
      <c r="C3099" s="2" t="str">
        <f>=HYPERLINK("https://xhslink.com/m/3tuAsq7NI7x", "https://xhslink.com/m/3tuAsq7NI7x")</f>
        <v>https://xhslink.com/m/3tuAsq7NI7x</v>
      </c>
      <c r="D3099"/>
      <c r="E3099">
        <v>21000</v>
      </c>
      <c r="F3099">
        <v>31.65</v>
      </c>
      <c r="G3099">
        <v>24.9</v>
      </c>
      <c r="H3099">
        <v>100</v>
      </c>
      <c r="I3099" t="inlineStr">
        <is>
          <t>减肥食物</t>
        </is>
      </c>
      <c r="J3099" t="inlineStr">
        <is>
          <t>0.00</t>
        </is>
      </c>
      <c r="K3099"/>
      <c r="L3099" t="inlineStr">
        <is>
          <t>一号农场旗舰店</t>
        </is>
      </c>
      <c r="M3099">
        <v>270000</v>
      </c>
      <c r="N3099">
        <v>4.63</v>
      </c>
      <c r="O3099">
        <v>221000</v>
      </c>
      <c r="P3099" t="inlineStr">
        <is>
          <t>68a40ae466d44d000127eaf7</t>
        </is>
      </c>
      <c r="Q3099" t="inlineStr">
        <is>
          <t>🚫重复</t>
        </is>
      </c>
      <c r="R3099" t="inlineStr">
        <is>
          <t>14周</t>
        </is>
      </c>
      <c r="S3099" t="inlineStr">
        <is>
          <t>0.08</t>
        </is>
      </c>
      <c r="T3099" t="inlineStr">
        <is>
          <t>美食滋补</t>
        </is>
      </c>
      <c r="U3099" t="inlineStr">
        <is>
          <t>休闲零食</t>
        </is>
      </c>
      <c r="V3099" s="3">
        <v>46112.78107638889</v>
      </c>
      <c r="W3099" t="inlineStr">
        <is>
          <t>2026-Q1</t>
        </is>
      </c>
    </row>
    <row r="3100" ht="25.5" customHeight="1">
      <c r="A3100" t="inlineStr">
        <is>
          <t>【每日仅100单】手作英式司康饼 代糖低卡饱腹早餐孕期零食代餐</t>
        </is>
      </c>
      <c r="B3100" t="inlineStr">
        <is>
          <t>recveNXG9tPiiW.jpg</t>
        </is>
      </c>
      <c r="C3100" s="2" t="str">
        <f>=HYPERLINK("https://xhslink.com/m/APoZeTqyKmP", "https://xhslink.com/m/APoZeTqyKmP")</f>
        <v>https://xhslink.com/m/APoZeTqyKmP</v>
      </c>
      <c r="D3100"/>
      <c r="E3100">
        <v>11000</v>
      </c>
      <c r="F3100">
        <v>28.8</v>
      </c>
      <c r="G3100"/>
      <c r="H3100">
        <v>100</v>
      </c>
      <c r="I3100" t="inlineStr">
        <is>
          <t>减肥食物</t>
        </is>
      </c>
      <c r="J3100" t="inlineStr">
        <is>
          <t>0.01</t>
        </is>
      </c>
      <c r="K3100"/>
      <c r="L3100" t="inlineStr">
        <is>
          <t>福满多手作面包的店</t>
        </is>
      </c>
      <c r="M3100">
        <v>5607</v>
      </c>
      <c r="N3100">
        <v>4.44</v>
      </c>
      <c r="O3100">
        <v>71000</v>
      </c>
      <c r="P3100" t="inlineStr">
        <is>
          <t>6944f3744423c300019522ba</t>
        </is>
      </c>
      <c r="Q3100" t="inlineStr">
        <is>
          <t>🚫重复</t>
        </is>
      </c>
      <c r="R3100" t="inlineStr">
        <is>
          <t>14周</t>
        </is>
      </c>
      <c r="S3100" t="inlineStr">
        <is>
          <t>1.96</t>
        </is>
      </c>
      <c r="T3100" t="inlineStr">
        <is>
          <t>美食滋补</t>
        </is>
      </c>
      <c r="U3100" t="inlineStr">
        <is>
          <t>休闲零食</t>
        </is>
      </c>
      <c r="V3100" s="3">
        <v>46112.78107638889</v>
      </c>
      <c r="W3100" t="inlineStr">
        <is>
          <t>2026-Q1</t>
        </is>
      </c>
    </row>
    <row r="3101" ht="25.5" customHeight="1">
      <c r="A3101" t="inlineStr">
        <is>
          <t>田野有时苹果脆片零食非油炸酸甜酥脆低脂健康休闲零食30g</t>
        </is>
      </c>
      <c r="B3101" t="inlineStr">
        <is>
          <t>recveNXG9tl4wg.jpg</t>
        </is>
      </c>
      <c r="C3101" s="2" t="str">
        <f>=HYPERLINK("https://xhslink.com/m/4wfUViZToTY", "https://xhslink.com/m/4wfUViZToTY")</f>
        <v>https://xhslink.com/m/4wfUViZToTY</v>
      </c>
      <c r="D3101"/>
      <c r="E3101">
        <v>78000</v>
      </c>
      <c r="F3101">
        <v>22.9</v>
      </c>
      <c r="G3101">
        <v>19.9</v>
      </c>
      <c r="H3101">
        <v>100</v>
      </c>
      <c r="I3101" t="inlineStr">
        <is>
          <t>减肥食物</t>
        </is>
      </c>
      <c r="J3101" t="inlineStr">
        <is>
          <t>0.00</t>
        </is>
      </c>
      <c r="K3101" t="inlineStr">
        <is>
          <t>🔥低粉爆款</t>
        </is>
      </c>
      <c r="L3101" t="inlineStr">
        <is>
          <t>田野有时的店</t>
        </is>
      </c>
      <c r="M3101">
        <v>2071</v>
      </c>
      <c r="N3101">
        <v>4.61</v>
      </c>
      <c r="O3101">
        <v>92000</v>
      </c>
      <c r="P3101" t="inlineStr">
        <is>
          <t>6892b284b6005400012d32c7</t>
        </is>
      </c>
      <c r="Q3101" t="inlineStr">
        <is>
          <t>🚫重复</t>
        </is>
      </c>
      <c r="R3101" t="inlineStr">
        <is>
          <t>14周</t>
        </is>
      </c>
      <c r="S3101" t="inlineStr">
        <is>
          <t>37.66</t>
        </is>
      </c>
      <c r="T3101" t="inlineStr">
        <is>
          <t>美食滋补</t>
        </is>
      </c>
      <c r="U3101" t="inlineStr">
        <is>
          <t>休闲零食</t>
        </is>
      </c>
      <c r="V3101" s="3">
        <v>46112.78107638889</v>
      </c>
      <c r="W3101" t="inlineStr">
        <is>
          <t>2026-Q1</t>
        </is>
      </c>
    </row>
    <row r="3102" ht="25.5" customHeight="1">
      <c r="A3102" t="inlineStr">
        <is>
          <t>唐氏蜀山故事 · 【荞麦酸辣粉】高饱腹非油炸0脂肪荞麦粉丝减脂期香辣速食酸爽</t>
        </is>
      </c>
      <c r="B3102" t="inlineStr">
        <is>
          <t>recveNXG9tF5fw.jpg</t>
        </is>
      </c>
      <c r="C3102" s="2" t="str">
        <f>=HYPERLINK("https://xhslink.com/m/8ZXFXSnvkQr", "https://xhslink.com/m/8ZXFXSnvkQr")</f>
        <v>https://xhslink.com/m/8ZXFXSnvkQr</v>
      </c>
      <c r="D3102"/>
      <c r="E3102">
        <v>79000</v>
      </c>
      <c r="F3102">
        <v>19.9</v>
      </c>
      <c r="G3102"/>
      <c r="H3102">
        <v>100</v>
      </c>
      <c r="I3102" t="inlineStr">
        <is>
          <t>减脂主食</t>
        </is>
      </c>
      <c r="J3102" t="inlineStr">
        <is>
          <t>0.00</t>
        </is>
      </c>
      <c r="K3102" t="inlineStr">
        <is>
          <t>🔥低粉爆款</t>
        </is>
      </c>
      <c r="L3102" t="inlineStr">
        <is>
          <t>蜀山故事旗舰店</t>
        </is>
      </c>
      <c r="M3102">
        <v>6842</v>
      </c>
      <c r="N3102">
        <v>4.52</v>
      </c>
      <c r="O3102">
        <v>92000</v>
      </c>
      <c r="P3102" t="inlineStr">
        <is>
          <t>643f91bb3fd83e0001272248</t>
        </is>
      </c>
      <c r="Q3102"/>
      <c r="R3102" t="inlineStr">
        <is>
          <t>14周</t>
        </is>
      </c>
      <c r="S3102" t="inlineStr">
        <is>
          <t>11.55</t>
        </is>
      </c>
      <c r="T3102" t="inlineStr">
        <is>
          <t>美食滋补</t>
        </is>
      </c>
      <c r="U3102" t="inlineStr">
        <is>
          <t>休闲零食</t>
        </is>
      </c>
      <c r="V3102" s="3">
        <v>46112.78107638889</v>
      </c>
      <c r="W3102" t="inlineStr">
        <is>
          <t>2026-Q1</t>
        </is>
      </c>
    </row>
    <row r="3103" ht="25.5" customHeight="1">
      <c r="A3103" t="inlineStr">
        <is>
          <t>盒界 · 净燃兽即食牛肉齐鲁号健身速食主食代餐轻食饱腹牛肉</t>
        </is>
      </c>
      <c r="B3103" t="inlineStr">
        <is>
          <t>recveNXG9tU1m0.jpg</t>
        </is>
      </c>
      <c r="C3103" s="2" t="str">
        <f>=HYPERLINK("https://xhslink.com/m/9NhAVsMBhmW", "https://xhslink.com/m/9NhAVsMBhmW")</f>
        <v>https://xhslink.com/m/9NhAVsMBhmW</v>
      </c>
      <c r="D3103"/>
      <c r="E3103">
        <v>47000</v>
      </c>
      <c r="F3103">
        <v>82</v>
      </c>
      <c r="G3103">
        <v>59</v>
      </c>
      <c r="H3103">
        <v>100</v>
      </c>
      <c r="I3103" t="inlineStr">
        <is>
          <t>减脂主食</t>
        </is>
      </c>
      <c r="J3103" t="inlineStr">
        <is>
          <t>0.00</t>
        </is>
      </c>
      <c r="K3103"/>
      <c r="L3103" t="inlineStr">
        <is>
          <t>盒界生鲜旗舰店</t>
        </is>
      </c>
      <c r="M3103">
        <v>70000</v>
      </c>
      <c r="N3103">
        <v>4.55</v>
      </c>
      <c r="O3103">
        <v>376000</v>
      </c>
      <c r="P3103" t="inlineStr">
        <is>
          <t>675c04d2ada6590001935d69</t>
        </is>
      </c>
      <c r="Q3103" t="inlineStr">
        <is>
          <t>🚫重复</t>
        </is>
      </c>
      <c r="R3103" t="inlineStr">
        <is>
          <t>14周</t>
        </is>
      </c>
      <c r="S3103" t="inlineStr">
        <is>
          <t>0.67</t>
        </is>
      </c>
      <c r="T3103" t="inlineStr">
        <is>
          <t>美食滋补</t>
        </is>
      </c>
      <c r="U3103" t="inlineStr">
        <is>
          <t>休闲零食</t>
        </is>
      </c>
      <c r="V3103" s="3">
        <v>46112.78107638889</v>
      </c>
      <c r="W3103" t="inlineStr">
        <is>
          <t>2026-Q1</t>
        </is>
      </c>
    </row>
    <row r="3104" ht="25.5" customHeight="1">
      <c r="A3104" t="inlineStr">
        <is>
          <t>爱杂杂 · 黑麦荞麦面0脂肪挂面黑全麦粗粮饱腹代餐杂粮主食半干面独立包装</t>
        </is>
      </c>
      <c r="B3104" t="inlineStr">
        <is>
          <t>recveNXG9tA1K5.jpg</t>
        </is>
      </c>
      <c r="C3104" s="2" t="str">
        <f>=HYPERLINK("https://xhslink.com/m/1AMTh8umVR2", "https://xhslink.com/m/1AMTh8umVR2")</f>
        <v>https://xhslink.com/m/1AMTh8umVR2</v>
      </c>
      <c r="D3104"/>
      <c r="E3104">
        <v>26000</v>
      </c>
      <c r="F3104">
        <v>11.9</v>
      </c>
      <c r="G3104"/>
      <c r="H3104">
        <v>100</v>
      </c>
      <c r="I3104" t="inlineStr">
        <is>
          <t>减脂主食</t>
        </is>
      </c>
      <c r="J3104" t="inlineStr">
        <is>
          <t>0.00</t>
        </is>
      </c>
      <c r="K3104" t="inlineStr">
        <is>
          <t>🔥低粉爆款</t>
        </is>
      </c>
      <c r="L3104" t="inlineStr">
        <is>
          <t>爱杂杂旗舰店</t>
        </is>
      </c>
      <c r="M3104">
        <v>3780</v>
      </c>
      <c r="N3104">
        <v>4.65</v>
      </c>
      <c r="O3104">
        <v>43000</v>
      </c>
      <c r="P3104" t="inlineStr">
        <is>
          <t>674fd442317fb1000136141c</t>
        </is>
      </c>
      <c r="Q3104"/>
      <c r="R3104" t="inlineStr">
        <is>
          <t>14周</t>
        </is>
      </c>
      <c r="S3104" t="inlineStr">
        <is>
          <t>6.88</t>
        </is>
      </c>
      <c r="T3104" t="inlineStr">
        <is>
          <t>美食滋补</t>
        </is>
      </c>
      <c r="U3104" t="inlineStr">
        <is>
          <t>休闲零食</t>
        </is>
      </c>
      <c r="V3104" s="3">
        <v>46112.78107638889</v>
      </c>
      <c r="W3104" t="inlineStr">
        <is>
          <t>2026-Q1</t>
        </is>
      </c>
    </row>
    <row r="3105" ht="25.5" customHeight="1">
      <c r="A3105" t="inlineStr">
        <is>
          <t>【常温可囤贝果面包】早八大学生早餐推荐代餐全麦无蔗糖夹低心卡</t>
        </is>
      </c>
      <c r="B3105" t="inlineStr">
        <is>
          <t>recveNXG9tvSC0.jpg</t>
        </is>
      </c>
      <c r="C3105" s="2" t="str">
        <f>=HYPERLINK("https://xhslink.com/m/T4TJJEke8U", "https://xhslink.com/m/T4TJJEke8U")</f>
        <v>https://xhslink.com/m/T4TJJEke8U</v>
      </c>
      <c r="D3105"/>
      <c r="E3105">
        <v>156000</v>
      </c>
      <c r="F3105">
        <v>38.8</v>
      </c>
      <c r="G3105">
        <v>18.8</v>
      </c>
      <c r="H3105">
        <v>100</v>
      </c>
      <c r="I3105" t="inlineStr">
        <is>
          <t>减脂主食</t>
        </is>
      </c>
      <c r="J3105" t="inlineStr">
        <is>
          <t>0.00</t>
        </is>
      </c>
      <c r="K3105" t="inlineStr">
        <is>
          <t>🔥低粉爆款</t>
        </is>
      </c>
      <c r="L3105" t="inlineStr">
        <is>
          <t>糖隐烘焙坊的店</t>
        </is>
      </c>
      <c r="M3105">
        <v>17000</v>
      </c>
      <c r="N3105">
        <v>4.59</v>
      </c>
      <c r="O3105">
        <v>189000</v>
      </c>
      <c r="P3105" t="inlineStr">
        <is>
          <t>6713280d758fa40001ae2b07</t>
        </is>
      </c>
      <c r="Q3105" t="inlineStr">
        <is>
          <t>🚫重复</t>
        </is>
      </c>
      <c r="R3105" t="inlineStr">
        <is>
          <t>14周</t>
        </is>
      </c>
      <c r="S3105" t="inlineStr">
        <is>
          <t>9.18</t>
        </is>
      </c>
      <c r="T3105" t="inlineStr">
        <is>
          <t>美食滋补</t>
        </is>
      </c>
      <c r="U3105" t="inlineStr">
        <is>
          <t>休闲零食</t>
        </is>
      </c>
      <c r="V3105" s="3">
        <v>46112.78107638889</v>
      </c>
      <c r="W3105" t="inlineStr">
        <is>
          <t>2026-Q1</t>
        </is>
      </c>
    </row>
    <row r="3106" ht="25.5" customHeight="1">
      <c r="A3106" t="inlineStr">
        <is>
          <t>低脂全麦恰巴塔面包健身代餐0蔗糖面包健康粗粮早餐三明治</t>
        </is>
      </c>
      <c r="B3106" t="inlineStr">
        <is>
          <t>recveNXG9tP6eH.jpg</t>
        </is>
      </c>
      <c r="C3106" s="2" t="str">
        <f>=HYPERLINK("https://xhslink.com/m/AgSqaSyOhBG", "https://xhslink.com/m/AgSqaSyOhBG")</f>
        <v>https://xhslink.com/m/AgSqaSyOhBG</v>
      </c>
      <c r="D3106"/>
      <c r="E3106">
        <v>28000</v>
      </c>
      <c r="F3106">
        <v>26.9</v>
      </c>
      <c r="G3106">
        <v>16.9</v>
      </c>
      <c r="H3106">
        <v>100</v>
      </c>
      <c r="I3106" t="inlineStr">
        <is>
          <t>减脂主食</t>
        </is>
      </c>
      <c r="J3106" t="inlineStr">
        <is>
          <t>0.00</t>
        </is>
      </c>
      <c r="K3106" t="inlineStr">
        <is>
          <t>🔥低粉爆款</t>
        </is>
      </c>
      <c r="L3106" t="inlineStr">
        <is>
          <t>Green轻食店的店</t>
        </is>
      </c>
      <c r="M3106">
        <v>663</v>
      </c>
      <c r="N3106">
        <v>4.54</v>
      </c>
      <c r="O3106">
        <v>31000</v>
      </c>
      <c r="P3106" t="inlineStr">
        <is>
          <t>683291830d7e3d0001425d15</t>
        </is>
      </c>
      <c r="Q3106" t="inlineStr">
        <is>
          <t>🚫重复</t>
        </is>
      </c>
      <c r="R3106" t="inlineStr">
        <is>
          <t>14周</t>
        </is>
      </c>
      <c r="S3106" t="inlineStr">
        <is>
          <t>42.23</t>
        </is>
      </c>
      <c r="T3106" t="inlineStr">
        <is>
          <t>美食滋补</t>
        </is>
      </c>
      <c r="U3106" t="inlineStr">
        <is>
          <t>休闲零食</t>
        </is>
      </c>
      <c r="V3106" s="3">
        <v>46112.78107638889</v>
      </c>
      <c r="W3106" t="inlineStr">
        <is>
          <t>2026-Q1</t>
        </is>
      </c>
    </row>
    <row r="3107" ht="25.5" customHeight="1">
      <c r="A3107" t="inlineStr">
        <is>
          <t>Poohuhu 卡通面包｜低卡少油少糖无添加手作面包 健康早餐代餐</t>
        </is>
      </c>
      <c r="B3107" t="inlineStr">
        <is>
          <t>recveNXG9tovjx.jpg</t>
        </is>
      </c>
      <c r="C3107" s="2" t="str">
        <f>=HYPERLINK("https://xhslink.com/m/9DJN9XfxrB8", "https://xhslink.com/m/9DJN9XfxrB8")</f>
        <v>https://xhslink.com/m/9DJN9XfxrB8</v>
      </c>
      <c r="D3107"/>
      <c r="E3107">
        <v>20000</v>
      </c>
      <c r="F3107">
        <v>12</v>
      </c>
      <c r="G3107">
        <v>9</v>
      </c>
      <c r="H3107">
        <v>100</v>
      </c>
      <c r="I3107" t="inlineStr">
        <is>
          <t>减脂主食</t>
        </is>
      </c>
      <c r="J3107" t="inlineStr">
        <is>
          <t>0.01</t>
        </is>
      </c>
      <c r="K3107"/>
      <c r="L3107" t="inlineStr">
        <is>
          <t>Poohuhu的店</t>
        </is>
      </c>
      <c r="M3107">
        <v>233000</v>
      </c>
      <c r="N3107">
        <v>4.16</v>
      </c>
      <c r="O3107">
        <v>94000</v>
      </c>
      <c r="P3107" t="inlineStr">
        <is>
          <t>6638ded16585230001668404</t>
        </is>
      </c>
      <c r="Q3107"/>
      <c r="R3107" t="inlineStr">
        <is>
          <t>14周</t>
        </is>
      </c>
      <c r="S3107" t="inlineStr">
        <is>
          <t>0.09</t>
        </is>
      </c>
      <c r="T3107" t="inlineStr">
        <is>
          <t>美食滋补</t>
        </is>
      </c>
      <c r="U3107" t="inlineStr">
        <is>
          <t>休闲零食</t>
        </is>
      </c>
      <c r="V3107" s="3">
        <v>46112.78107638889</v>
      </c>
      <c r="W3107" t="inlineStr">
        <is>
          <t>2026-Q1</t>
        </is>
      </c>
    </row>
    <row r="3108" ht="25.5" customHeight="1">
      <c r="A3108" t="inlineStr">
        <is>
          <t>时光素颜 · 皂时光麦子何首乌侧柏叶洗头饼洗发皂纯无硅油手工天然皂角氨基酸</t>
        </is>
      </c>
      <c r="B3108" t="inlineStr">
        <is>
          <t>recveTJW5PJ8oD.jpg</t>
        </is>
      </c>
      <c r="C3108" s="2" t="str">
        <f>=HYPERLINK("https://xhslink.com/m/7b3bIQafr7", "https://xhslink.com/m/7b3bIQafr7")</f>
        <v>https://xhslink.com/m/7b3bIQafr7</v>
      </c>
      <c r="D3108"/>
      <c r="E3108">
        <v>207000</v>
      </c>
      <c r="F3108">
        <v>69</v>
      </c>
      <c r="G3108"/>
      <c r="H3108">
        <v>100</v>
      </c>
      <c r="I3108" t="inlineStr">
        <is>
          <t>洗头皂</t>
        </is>
      </c>
      <c r="J3108" t="inlineStr">
        <is>
          <t>0.00</t>
        </is>
      </c>
      <c r="K3108"/>
      <c r="L3108" t="inlineStr">
        <is>
          <t>皂时光的店</t>
        </is>
      </c>
      <c r="M3108">
        <v>169000</v>
      </c>
      <c r="N3108">
        <v>4.66</v>
      </c>
      <c r="O3108">
        <v>493000</v>
      </c>
      <c r="P3108" t="inlineStr">
        <is>
          <t>65f051dcebd7dc0001572ac6</t>
        </is>
      </c>
      <c r="Q3108"/>
      <c r="R3108" t="inlineStr">
        <is>
          <t>14周</t>
        </is>
      </c>
      <c r="S3108" t="inlineStr">
        <is>
          <t>1.22</t>
        </is>
      </c>
      <c r="T3108" t="inlineStr">
        <is>
          <t>美妆个护</t>
        </is>
      </c>
      <c r="U3108" t="inlineStr">
        <is>
          <t>个人护理</t>
        </is>
      </c>
      <c r="V3108" s="3">
        <v>46112.78107638889</v>
      </c>
      <c r="W3108" t="inlineStr">
        <is>
          <t>2026-Q1</t>
        </is>
      </c>
    </row>
    <row r="3109" ht="25.5" customHeight="1">
      <c r="A3109" t="inlineStr">
        <is>
          <t>玙野JULEVA·氨基酸洗发皂（膏）</t>
        </is>
      </c>
      <c r="B3109" t="inlineStr">
        <is>
          <t>recveTJWJNml20.jpg</t>
        </is>
      </c>
      <c r="C3109" s="2" t="str">
        <f>=HYPERLINK("https://xhslink.com/m/YX8sArdhjy", "https://xhslink.com/m/YX8sArdhjy")</f>
        <v>https://xhslink.com/m/YX8sArdhjy</v>
      </c>
      <c r="D3109"/>
      <c r="E3109">
        <v>379</v>
      </c>
      <c r="F3109">
        <v>69</v>
      </c>
      <c r="G3109">
        <v>64</v>
      </c>
      <c r="H3109">
        <v>100</v>
      </c>
      <c r="I3109" t="inlineStr">
        <is>
          <t>洗头皂</t>
        </is>
      </c>
      <c r="J3109" t="inlineStr">
        <is>
          <t>0.26</t>
        </is>
      </c>
      <c r="K3109"/>
      <c r="L3109" t="inlineStr">
        <is>
          <t>玙野JULEVA的店</t>
        </is>
      </c>
      <c r="M3109">
        <v>379</v>
      </c>
      <c r="N3109">
        <v>4.62</v>
      </c>
      <c r="O3109">
        <v>478</v>
      </c>
      <c r="P3109" t="inlineStr">
        <is>
          <t>695254ed00d7620001a26b5e</t>
        </is>
      </c>
      <c r="Q3109"/>
      <c r="R3109" t="inlineStr">
        <is>
          <t>14周</t>
        </is>
      </c>
      <c r="S3109" t="inlineStr">
        <is>
          <t>1.00</t>
        </is>
      </c>
      <c r="T3109" t="inlineStr">
        <is>
          <t>美妆个护</t>
        </is>
      </c>
      <c r="U3109" t="inlineStr">
        <is>
          <t>个人护理</t>
        </is>
      </c>
      <c r="V3109" s="3">
        <v>46112.78107638889</v>
      </c>
      <c r="W3109" t="inlineStr">
        <is>
          <t>2026-Q1</t>
        </is>
      </c>
    </row>
    <row r="3110" ht="25.5" customHeight="1">
      <c r="A3110" t="inlineStr">
        <is>
          <t>吾漾 · 茶枯粉侧柏叶洗发皂</t>
        </is>
      </c>
      <c r="B3110" t="inlineStr">
        <is>
          <t>recveTJWJNJVBd.jpg</t>
        </is>
      </c>
      <c r="C3110" s="2" t="str">
        <f>=HYPERLINK("https://xhslink.com/m/Af7CevndfS", "https://xhslink.com/m/Af7CevndfS")</f>
        <v>https://xhslink.com/m/Af7CevndfS</v>
      </c>
      <c r="D3110"/>
      <c r="E3110">
        <v>10000</v>
      </c>
      <c r="F3110">
        <v>88</v>
      </c>
      <c r="G3110">
        <v>68</v>
      </c>
      <c r="H3110">
        <v>100</v>
      </c>
      <c r="I3110" t="inlineStr">
        <is>
          <t>洗头皂</t>
        </is>
      </c>
      <c r="J3110" t="inlineStr">
        <is>
          <t>0.01</t>
        </is>
      </c>
      <c r="K3110"/>
      <c r="L3110" t="inlineStr">
        <is>
          <t>吾漾Aquelab的店</t>
        </is>
      </c>
      <c r="M3110">
        <v>6849</v>
      </c>
      <c r="N3110">
        <v>4.62</v>
      </c>
      <c r="O3110">
        <v>44000</v>
      </c>
      <c r="P3110" t="inlineStr">
        <is>
          <t>67f772278c17470001f0fcb4</t>
        </is>
      </c>
      <c r="Q3110" t="inlineStr">
        <is>
          <t>🚫重复</t>
        </is>
      </c>
      <c r="R3110" t="inlineStr">
        <is>
          <t>14周</t>
        </is>
      </c>
      <c r="S3110" t="inlineStr">
        <is>
          <t>1.46</t>
        </is>
      </c>
      <c r="T3110" t="inlineStr">
        <is>
          <t>美妆个护</t>
        </is>
      </c>
      <c r="U3110" t="inlineStr">
        <is>
          <t>个人护理</t>
        </is>
      </c>
      <c r="V3110" s="3">
        <v>46112.78107638889</v>
      </c>
      <c r="W3110" t="inlineStr">
        <is>
          <t>2026-Q1</t>
        </is>
      </c>
    </row>
    <row r="3111" ht="25.5" customHeight="1">
      <c r="A3111" t="inlineStr">
        <is>
          <t>xixi · 9.9六只眼线笔眼妆神器卧蚕笔阴影笔眼线液女下至双眼皮勾勒棕色</t>
        </is>
      </c>
      <c r="B3111" t="inlineStr">
        <is>
          <t>recveTJWJNi5RF.jpg</t>
        </is>
      </c>
      <c r="C3111" s="2" t="str">
        <f>=HYPERLINK("https://xhslink.com/m/1feZwhCLYNg", "https://xhslink.com/m/1feZwhCLYNg")</f>
        <v>https://xhslink.com/m/1feZwhCLYNg</v>
      </c>
      <c r="D3111"/>
      <c r="E3111">
        <v>135000</v>
      </c>
      <c r="F3111">
        <v>9.9</v>
      </c>
      <c r="G3111"/>
      <c r="H3111">
        <v>100</v>
      </c>
      <c r="I3111" t="inlineStr">
        <is>
          <t>面部色彩</t>
        </is>
      </c>
      <c r="J3111" t="inlineStr">
        <is>
          <t>0.00</t>
        </is>
      </c>
      <c r="K3111"/>
      <c r="L3111" t="inlineStr">
        <is>
          <t>XIXI美妆旗舰店</t>
        </is>
      </c>
      <c r="M3111">
        <v>67000</v>
      </c>
      <c r="N3111">
        <v>4.59</v>
      </c>
      <c r="O3111">
        <v>407000</v>
      </c>
      <c r="P3111" t="inlineStr">
        <is>
          <t>64cc57ab0862990001c62a3b</t>
        </is>
      </c>
      <c r="Q3111" t="inlineStr">
        <is>
          <t>🚫重复</t>
        </is>
      </c>
      <c r="R3111" t="inlineStr">
        <is>
          <t>14周</t>
        </is>
      </c>
      <c r="S3111" t="inlineStr">
        <is>
          <t>2.01</t>
        </is>
      </c>
      <c r="T3111" t="inlineStr">
        <is>
          <t>美妆个护</t>
        </is>
      </c>
      <c r="U3111" t="inlineStr">
        <is>
          <t>护肤彩妆</t>
        </is>
      </c>
      <c r="V3111" s="3">
        <v>46112.78107638889</v>
      </c>
      <c r="W3111" t="inlineStr">
        <is>
          <t>2026-Q1</t>
        </is>
      </c>
    </row>
    <row r="3112" ht="25.5" customHeight="1">
      <c r="A3112" t="inlineStr">
        <is>
          <t>HERORANGE · 【店铺热卖】轻奢贵影单颗眼影珠光爆闪变色龙碎钻提亮土豆泥眼影</t>
        </is>
      </c>
      <c r="B3112" t="inlineStr">
        <is>
          <t>recveTJWJN9sNx.jpg</t>
        </is>
      </c>
      <c r="C3112" s="2" t="str">
        <f>=HYPERLINK("https://xhslink.com/m/5D5zU6aSkgh", "https://xhslink.com/m/5D5zU6aSkgh")</f>
        <v>https://xhslink.com/m/5D5zU6aSkgh</v>
      </c>
      <c r="D3112"/>
      <c r="E3112">
        <v>52000</v>
      </c>
      <c r="F3112">
        <v>39.5</v>
      </c>
      <c r="G3112">
        <v>18.9</v>
      </c>
      <c r="H3112">
        <v>100</v>
      </c>
      <c r="I3112" t="inlineStr">
        <is>
          <t>面部色彩</t>
        </is>
      </c>
      <c r="J3112" t="inlineStr">
        <is>
          <t>0.00</t>
        </is>
      </c>
      <c r="K3112" t="inlineStr">
        <is>
          <t>🔥低粉爆款</t>
        </is>
      </c>
      <c r="L3112" t="inlineStr">
        <is>
          <t>葵花籽幼儿园的店</t>
        </is>
      </c>
      <c r="M3112">
        <v>3050</v>
      </c>
      <c r="N3112">
        <v>4.63</v>
      </c>
      <c r="O3112">
        <v>56000</v>
      </c>
      <c r="P3112" t="inlineStr">
        <is>
          <t>688fc0ad47d5bd000111cbbc</t>
        </is>
      </c>
      <c r="Q3112" t="inlineStr">
        <is>
          <t>🚫重复</t>
        </is>
      </c>
      <c r="R3112" t="inlineStr">
        <is>
          <t>14周</t>
        </is>
      </c>
      <c r="S3112" t="inlineStr">
        <is>
          <t>17.05</t>
        </is>
      </c>
      <c r="T3112" t="inlineStr">
        <is>
          <t>美妆个护</t>
        </is>
      </c>
      <c r="U3112" t="inlineStr">
        <is>
          <t>护肤彩妆</t>
        </is>
      </c>
      <c r="V3112" s="3">
        <v>46112.78107638889</v>
      </c>
      <c r="W3112" t="inlineStr">
        <is>
          <t>2026-Q1</t>
        </is>
      </c>
    </row>
    <row r="3113" ht="25.5" customHeight="1">
      <c r="A3113" t="inlineStr">
        <is>
          <t>浣颜 · 【长闭口用】小白管闭口乳去闭口粉刺水杨酸果酸祛痘平滑缩毛孔</t>
        </is>
      </c>
      <c r="B3113" t="inlineStr">
        <is>
          <t>recveTJWJNLrI3.jpg</t>
        </is>
      </c>
      <c r="C3113" s="2" t="str">
        <f>=HYPERLINK("https://xhslink.com/m/2oWpYYL3AwT", "https://xhslink.com/m/2oWpYYL3AwT")</f>
        <v>https://xhslink.com/m/2oWpYYL3AwT</v>
      </c>
      <c r="D3113"/>
      <c r="E3113">
        <v>93000</v>
      </c>
      <c r="F3113">
        <v>59</v>
      </c>
      <c r="G3113">
        <v>19.9</v>
      </c>
      <c r="H3113">
        <v>100</v>
      </c>
      <c r="I3113" t="inlineStr">
        <is>
          <t>祛痘护肤品</t>
        </is>
      </c>
      <c r="J3113" t="inlineStr">
        <is>
          <t>0.00</t>
        </is>
      </c>
      <c r="K3113"/>
      <c r="L3113" t="inlineStr">
        <is>
          <t>浣颜旗舰店</t>
        </is>
      </c>
      <c r="M3113">
        <v>240000</v>
      </c>
      <c r="N3113">
        <v>4.69</v>
      </c>
      <c r="O3113">
        <v>221000</v>
      </c>
      <c r="P3113" t="inlineStr">
        <is>
          <t>68e755148aa5760001af4b04</t>
        </is>
      </c>
      <c r="Q3113"/>
      <c r="R3113" t="inlineStr">
        <is>
          <t>14周</t>
        </is>
      </c>
      <c r="S3113" t="inlineStr">
        <is>
          <t>0.39</t>
        </is>
      </c>
      <c r="T3113" t="inlineStr">
        <is>
          <t>美妆个护</t>
        </is>
      </c>
      <c r="U3113" t="inlineStr">
        <is>
          <t>个人护理</t>
        </is>
      </c>
      <c r="V3113" s="3">
        <v>46112.78107638889</v>
      </c>
      <c r="W3113" t="inlineStr">
        <is>
          <t>2026-Q1</t>
        </is>
      </c>
    </row>
    <row r="3114" ht="25.5" customHeight="1">
      <c r="A3114" t="inlineStr">
        <is>
          <t>漫野 · 黄油遮瑕膏5色试色卡·遮黑眼圈+泪沟提亮0.15g*5色mini遮瑕盘</t>
        </is>
      </c>
      <c r="B3114" t="inlineStr">
        <is>
          <t>recveTJWJNhPRD.jpg</t>
        </is>
      </c>
      <c r="C3114" s="2" t="str">
        <f>=HYPERLINK("https://xhslink.com/m/2a7VcfyXQl1", "https://xhslink.com/m/2a7VcfyXQl1")</f>
        <v>https://xhslink.com/m/2a7VcfyXQl1</v>
      </c>
      <c r="D3114"/>
      <c r="E3114">
        <v>41000</v>
      </c>
      <c r="F3114">
        <v>9.9</v>
      </c>
      <c r="G3114"/>
      <c r="H3114">
        <v>100</v>
      </c>
      <c r="I3114" t="inlineStr">
        <is>
          <t>遮瑕</t>
        </is>
      </c>
      <c r="J3114" t="inlineStr">
        <is>
          <t>0.00</t>
        </is>
      </c>
      <c r="K3114"/>
      <c r="L3114" t="inlineStr">
        <is>
          <t>漫野旗舰店</t>
        </is>
      </c>
      <c r="M3114">
        <v>36000</v>
      </c>
      <c r="N3114">
        <v>4.68</v>
      </c>
      <c r="O3114">
        <v>199000</v>
      </c>
      <c r="P3114" t="inlineStr">
        <is>
          <t>685a3dc43970ba0001f7b8b9</t>
        </is>
      </c>
      <c r="Q3114" t="inlineStr">
        <is>
          <t>🚫重复</t>
        </is>
      </c>
      <c r="R3114" t="inlineStr">
        <is>
          <t>14周</t>
        </is>
      </c>
      <c r="S3114" t="inlineStr">
        <is>
          <t>1.14</t>
        </is>
      </c>
      <c r="T3114" t="inlineStr">
        <is>
          <t>美妆个护</t>
        </is>
      </c>
      <c r="U3114" t="inlineStr">
        <is>
          <t>护肤彩妆</t>
        </is>
      </c>
      <c r="V3114" s="3">
        <v>46112.78107638889</v>
      </c>
      <c r="W3114" t="inlineStr">
        <is>
          <t>2026-Q1</t>
        </is>
      </c>
    </row>
    <row r="3115" ht="25.5" customHeight="1">
      <c r="A3115" t="inlineStr">
        <is>
          <t>Heaven pink · 【达人同款】高光霜修容脸部修饰滋润贴肤提亮奶油</t>
        </is>
      </c>
      <c r="B3115" t="inlineStr">
        <is>
          <t>recveTJWJNRLNv.jpg</t>
        </is>
      </c>
      <c r="C3115" s="2" t="str">
        <f>=HYPERLINK("https://xhslink.com/m/4jYQyAvCi0y", "https://xhslink.com/m/4jYQyAvCi0y")</f>
        <v>https://xhslink.com/m/4jYQyAvCi0y</v>
      </c>
      <c r="D3115"/>
      <c r="E3115">
        <v>1616</v>
      </c>
      <c r="F3115">
        <v>59.9</v>
      </c>
      <c r="G3115"/>
      <c r="H3115">
        <v>100</v>
      </c>
      <c r="I3115" t="inlineStr">
        <is>
          <t>遮瑕</t>
        </is>
      </c>
      <c r="J3115" t="inlineStr">
        <is>
          <t>0.06</t>
        </is>
      </c>
      <c r="K3115"/>
      <c r="L3115" t="inlineStr">
        <is>
          <t>Heaven Pink旗舰店</t>
        </is>
      </c>
      <c r="M3115">
        <v>5843</v>
      </c>
      <c r="N3115">
        <v>4.44</v>
      </c>
      <c r="O3115">
        <v>44000</v>
      </c>
      <c r="P3115" t="inlineStr">
        <is>
          <t>677bb32377d41e00012f0d39</t>
        </is>
      </c>
      <c r="Q3115" t="inlineStr">
        <is>
          <t>🚫重复</t>
        </is>
      </c>
      <c r="R3115" t="inlineStr">
        <is>
          <t>14周</t>
        </is>
      </c>
      <c r="S3115" t="inlineStr">
        <is>
          <t>0.28</t>
        </is>
      </c>
      <c r="T3115" t="inlineStr">
        <is>
          <t>美妆个护</t>
        </is>
      </c>
      <c r="U3115" t="inlineStr">
        <is>
          <t>护肤彩妆</t>
        </is>
      </c>
      <c r="V3115" s="3">
        <v>46112.78107638889</v>
      </c>
      <c r="W3115" t="inlineStr">
        <is>
          <t>2026-Q1</t>
        </is>
      </c>
    </row>
    <row r="3116" ht="25.5" customHeight="1">
      <c r="A3116" t="inlineStr">
        <is>
          <t>毛戈平 · 【体验装】双色遮瑕膏试色卡遮瑕膏分装小样持久遮瑕不脱妆试用装</t>
        </is>
      </c>
      <c r="B3116" t="inlineStr">
        <is>
          <t>recveTJWJNOtGA.jpg</t>
        </is>
      </c>
      <c r="C3116" s="2" t="str">
        <f>=HYPERLINK("https://xhslink.com/m/3F5kCaLIbNS", "https://xhslink.com/m/3F5kCaLIbNS")</f>
        <v>https://xhslink.com/m/3F5kCaLIbNS</v>
      </c>
      <c r="D3116"/>
      <c r="E3116">
        <v>50000</v>
      </c>
      <c r="F3116">
        <v>12.9</v>
      </c>
      <c r="G3116"/>
      <c r="H3116">
        <v>100</v>
      </c>
      <c r="I3116" t="inlineStr">
        <is>
          <t>遮瑕</t>
        </is>
      </c>
      <c r="J3116" t="inlineStr">
        <is>
          <t>0.00</t>
        </is>
      </c>
      <c r="K3116"/>
      <c r="L3116" t="inlineStr">
        <is>
          <t>毛戈平美妆官方旗舰店</t>
        </is>
      </c>
      <c r="M3116">
        <v>1045000</v>
      </c>
      <c r="N3116">
        <v>4.66</v>
      </c>
      <c r="O3116">
        <v>471000</v>
      </c>
      <c r="P3116" t="inlineStr">
        <is>
          <t>667154d0ed6bc100014a28dc</t>
        </is>
      </c>
      <c r="Q3116" t="inlineStr">
        <is>
          <t>🚫重复</t>
        </is>
      </c>
      <c r="R3116" t="inlineStr">
        <is>
          <t>14周</t>
        </is>
      </c>
      <c r="S3116" t="inlineStr">
        <is>
          <t>0.05</t>
        </is>
      </c>
      <c r="T3116" t="inlineStr">
        <is>
          <t>美妆个护</t>
        </is>
      </c>
      <c r="U3116" t="inlineStr">
        <is>
          <t>护肤彩妆</t>
        </is>
      </c>
      <c r="V3116" s="3">
        <v>46112.78107638889</v>
      </c>
      <c r="W3116" t="inlineStr">
        <is>
          <t>2026-Q1</t>
        </is>
      </c>
    </row>
    <row r="3117" ht="25.5" customHeight="1">
      <c r="A3117" t="inlineStr">
        <is>
          <t>漫野 · 黄油遮瑕膏·单色遮瑕·三文鱼橘色遮黑眼圈·泪沟提亮</t>
        </is>
      </c>
      <c r="B3117" t="inlineStr">
        <is>
          <t>recveTJWJNmJph.jpg</t>
        </is>
      </c>
      <c r="C3117" s="2" t="str">
        <f>=HYPERLINK("https://xhslink.com/m/3L2YhlGgXk3", "https://xhslink.com/m/3L2YhlGgXk3")</f>
        <v>https://xhslink.com/m/3L2YhlGgXk3</v>
      </c>
      <c r="D3117"/>
      <c r="E3117">
        <v>34000</v>
      </c>
      <c r="F3117">
        <v>49.9</v>
      </c>
      <c r="G3117"/>
      <c r="H3117">
        <v>100</v>
      </c>
      <c r="I3117" t="inlineStr">
        <is>
          <t>遮瑕</t>
        </is>
      </c>
      <c r="J3117" t="inlineStr">
        <is>
          <t>0.00</t>
        </is>
      </c>
      <c r="K3117"/>
      <c r="L3117" t="inlineStr">
        <is>
          <t>漫野旗舰店</t>
        </is>
      </c>
      <c r="M3117">
        <v>36000</v>
      </c>
      <c r="N3117">
        <v>4.68</v>
      </c>
      <c r="O3117">
        <v>199000</v>
      </c>
      <c r="P3117" t="inlineStr">
        <is>
          <t>682beb91c3bab900015564a0</t>
        </is>
      </c>
      <c r="Q3117" t="inlineStr">
        <is>
          <t>🚫重复</t>
        </is>
      </c>
      <c r="R3117" t="inlineStr">
        <is>
          <t>14周</t>
        </is>
      </c>
      <c r="S3117" t="inlineStr">
        <is>
          <t>0.94</t>
        </is>
      </c>
      <c r="T3117" t="inlineStr">
        <is>
          <t>美妆个护</t>
        </is>
      </c>
      <c r="U3117" t="inlineStr">
        <is>
          <t>护肤彩妆</t>
        </is>
      </c>
      <c r="V3117" s="3">
        <v>46112.78107638889</v>
      </c>
      <c r="W3117" t="inlineStr">
        <is>
          <t>2026-Q1</t>
        </is>
      </c>
    </row>
    <row r="3118" ht="25.5" customHeight="1">
      <c r="A3118" t="inlineStr">
        <is>
          <t>向日花 · 三色遮瑕膏盘遮盖痘印斑点黑眼圈泪沟法令纹服帖持久不脱妆</t>
        </is>
      </c>
      <c r="B3118" t="inlineStr">
        <is>
          <t>recveTJWJNdIM4_fix.jpg</t>
        </is>
      </c>
      <c r="C3118" s="2" t="str">
        <f>=HYPERLINK("https://xhslink.com/m/2uO2xCFOQST", "https://xhslink.com/m/2uO2xCFOQST")</f>
        <v>https://xhslink.com/m/2uO2xCFOQST</v>
      </c>
      <c r="D3118"/>
      <c r="E3118">
        <v>29000</v>
      </c>
      <c r="F3118">
        <v>68</v>
      </c>
      <c r="G3118"/>
      <c r="H3118">
        <v>100</v>
      </c>
      <c r="I3118" t="inlineStr">
        <is>
          <t>遮瑕</t>
        </is>
      </c>
      <c r="J3118" t="inlineStr">
        <is>
          <t>0.00</t>
        </is>
      </c>
      <c r="K3118"/>
      <c r="L3118" t="inlineStr">
        <is>
          <t>向日花旗舰店</t>
        </is>
      </c>
      <c r="M3118">
        <v>33000</v>
      </c>
      <c r="N3118">
        <v>4.73</v>
      </c>
      <c r="O3118">
        <v>106000</v>
      </c>
      <c r="P3118" t="inlineStr">
        <is>
          <t>6762eafac6c20a00019505ab</t>
        </is>
      </c>
      <c r="Q3118" t="inlineStr">
        <is>
          <t>🚫重复</t>
        </is>
      </c>
      <c r="R3118" t="inlineStr">
        <is>
          <t>14周</t>
        </is>
      </c>
      <c r="S3118" t="inlineStr">
        <is>
          <t>0.88</t>
        </is>
      </c>
      <c r="T3118" t="inlineStr">
        <is>
          <t>美妆个护</t>
        </is>
      </c>
      <c r="U3118" t="inlineStr">
        <is>
          <t>护肤彩妆</t>
        </is>
      </c>
      <c r="V3118" s="3">
        <v>46112.78107638889</v>
      </c>
      <c r="W3118" t="inlineStr">
        <is>
          <t>2026-Q1</t>
        </is>
      </c>
    </row>
    <row r="3119" ht="25.5" customHeight="1">
      <c r="A3119" t="inlineStr">
        <is>
          <t>花知晓 · 仲夏夜系列柔焦提亮遮瑕液修饰面部提亮遮盖</t>
        </is>
      </c>
      <c r="B3119" t="inlineStr">
        <is>
          <t>recveTJWJNn6uG.jpg</t>
        </is>
      </c>
      <c r="C3119" s="2" t="str">
        <f>=HYPERLINK("https://xhslink.com/m/7QGkBxZlap1", "https://xhslink.com/m/7QGkBxZlap1")</f>
        <v>https://xhslink.com/m/7QGkBxZlap1</v>
      </c>
      <c r="D3119"/>
      <c r="E3119">
        <v>40000</v>
      </c>
      <c r="F3119">
        <v>89</v>
      </c>
      <c r="G3119">
        <v>69</v>
      </c>
      <c r="H3119">
        <v>100</v>
      </c>
      <c r="I3119" t="inlineStr">
        <is>
          <t>遮瑕</t>
        </is>
      </c>
      <c r="J3119" t="inlineStr">
        <is>
          <t>0.00</t>
        </is>
      </c>
      <c r="K3119"/>
      <c r="L3119" t="inlineStr">
        <is>
          <t>FlowerKnows花知晓旗舰店</t>
        </is>
      </c>
      <c r="M3119">
        <v>699000</v>
      </c>
      <c r="N3119">
        <v>4.66</v>
      </c>
      <c r="O3119">
        <v>1031000</v>
      </c>
      <c r="P3119" t="inlineStr">
        <is>
          <t>664d67335d5588000148ba36</t>
        </is>
      </c>
      <c r="Q3119" t="inlineStr">
        <is>
          <t>🚫重复</t>
        </is>
      </c>
      <c r="R3119" t="inlineStr">
        <is>
          <t>14周</t>
        </is>
      </c>
      <c r="S3119" t="inlineStr">
        <is>
          <t>0.06</t>
        </is>
      </c>
      <c r="T3119" t="inlineStr">
        <is>
          <t>美妆个护</t>
        </is>
      </c>
      <c r="U3119" t="inlineStr">
        <is>
          <t>护肤彩妆</t>
        </is>
      </c>
      <c r="V3119" s="3">
        <v>46112.78107638889</v>
      </c>
      <c r="W3119" t="inlineStr">
        <is>
          <t>2026-Q1</t>
        </is>
      </c>
    </row>
    <row r="3120" ht="25.5" customHeight="1">
      <c r="A3120" t="inlineStr">
        <is>
          <t>海氏海诺 · 医用星星痘痘贴创口贴型豆豆贴修痘印复人工皮吸脓可上妆贴遮痘贴</t>
        </is>
      </c>
      <c r="B3120" t="inlineStr">
        <is>
          <t>recveTJWJNH7vK.jpg</t>
        </is>
      </c>
      <c r="C3120" s="2" t="str">
        <f>=HYPERLINK("https://xhslink.com/m/4f0QbgjbPhJ", "https://xhslink.com/m/4f0QbgjbPhJ")</f>
        <v>https://xhslink.com/m/4f0QbgjbPhJ</v>
      </c>
      <c r="D3120"/>
      <c r="E3120">
        <v>63000</v>
      </c>
      <c r="F3120">
        <v>39.9</v>
      </c>
      <c r="G3120">
        <v>16.9</v>
      </c>
      <c r="H3120">
        <v>100</v>
      </c>
      <c r="I3120" t="inlineStr">
        <is>
          <t>祛痘贴</t>
        </is>
      </c>
      <c r="J3120" t="inlineStr">
        <is>
          <t>0.00</t>
        </is>
      </c>
      <c r="K3120" t="inlineStr">
        <is>
          <t>🔥低粉爆款</t>
        </is>
      </c>
      <c r="L3120" t="inlineStr">
        <is>
          <t>海氏海诺旗舰店</t>
        </is>
      </c>
      <c r="M3120">
        <v>14000</v>
      </c>
      <c r="N3120">
        <v>4.82</v>
      </c>
      <c r="O3120">
        <v>668000</v>
      </c>
      <c r="P3120" t="inlineStr">
        <is>
          <t>67d4ed35ba9cf80001e63d69</t>
        </is>
      </c>
      <c r="Q3120"/>
      <c r="R3120" t="inlineStr">
        <is>
          <t>14周</t>
        </is>
      </c>
      <c r="S3120" t="inlineStr">
        <is>
          <t>4.50</t>
        </is>
      </c>
      <c r="T3120" t="inlineStr">
        <is>
          <t>美妆个护</t>
        </is>
      </c>
      <c r="U3120" t="inlineStr">
        <is>
          <t>个人护理</t>
        </is>
      </c>
      <c r="V3120" s="3">
        <v>46112.78107638889</v>
      </c>
      <c r="W3120" t="inlineStr">
        <is>
          <t>2026-Q1</t>
        </is>
      </c>
    </row>
    <row r="3121" ht="25.5" customHeight="1">
      <c r="A3121" t="inlineStr">
        <is>
          <t>隐形痘痘贴水胶体雾面透气舒缓遮瑕防水轻薄隔离日夜两用</t>
        </is>
      </c>
      <c r="B3121" t="inlineStr">
        <is>
          <t>recveTJWJNrKV2.jpg</t>
        </is>
      </c>
      <c r="C3121" s="2" t="str">
        <f>=HYPERLINK("https://xhslink.com/m/8lWXqHNFCNQ", "https://xhslink.com/m/8lWXqHNFCNQ")</f>
        <v>https://xhslink.com/m/8lWXqHNFCNQ</v>
      </c>
      <c r="D3121"/>
      <c r="E3121">
        <v>186000</v>
      </c>
      <c r="F3121">
        <v>49</v>
      </c>
      <c r="G3121">
        <v>9.9</v>
      </c>
      <c r="H3121">
        <v>100</v>
      </c>
      <c r="I3121" t="inlineStr">
        <is>
          <t>祛痘贴</t>
        </is>
      </c>
      <c r="J3121" t="inlineStr">
        <is>
          <t>0.00</t>
        </is>
      </c>
      <c r="K3121" t="inlineStr">
        <is>
          <t>🔥低粉爆款</t>
        </is>
      </c>
      <c r="L3121" t="inlineStr">
        <is>
          <t>博文Acne的店</t>
        </is>
      </c>
      <c r="M3121">
        <v>17000</v>
      </c>
      <c r="N3121">
        <v>4.44</v>
      </c>
      <c r="O3121">
        <v>340000</v>
      </c>
      <c r="P3121" t="inlineStr">
        <is>
          <t>66e1856ee4c7c400015b84f3</t>
        </is>
      </c>
      <c r="Q3121"/>
      <c r="R3121" t="inlineStr">
        <is>
          <t>14周</t>
        </is>
      </c>
      <c r="S3121" t="inlineStr">
        <is>
          <t>10.94</t>
        </is>
      </c>
      <c r="T3121" t="inlineStr">
        <is>
          <t>美妆个护</t>
        </is>
      </c>
      <c r="U3121" t="inlineStr">
        <is>
          <t>护肤彩妆</t>
        </is>
      </c>
      <c r="V3121" s="3">
        <v>46112.78107638889</v>
      </c>
      <c r="W3121" t="inlineStr">
        <is>
          <t>2026-Q1</t>
        </is>
      </c>
    </row>
    <row r="3122" ht="25.5" customHeight="1">
      <c r="A3122" t="inlineStr">
        <is>
          <t>博创科 · ACNE PATCH水杨酸隐形痘痘贴</t>
        </is>
      </c>
      <c r="B3122" t="inlineStr">
        <is>
          <t>recveTJWJNAA0f.jpg</t>
        </is>
      </c>
      <c r="C3122" s="2" t="str">
        <f>=HYPERLINK("https://xhslink.com/m/72I9s4Ba1Rp", "https://xhslink.com/m/72I9s4Ba1Rp")</f>
        <v>https://xhslink.com/m/72I9s4Ba1Rp</v>
      </c>
      <c r="D3122"/>
      <c r="E3122">
        <v>2870</v>
      </c>
      <c r="F3122">
        <v>47</v>
      </c>
      <c r="G3122">
        <v>9.9</v>
      </c>
      <c r="H3122">
        <v>100</v>
      </c>
      <c r="I3122" t="inlineStr">
        <is>
          <t>祛痘贴</t>
        </is>
      </c>
      <c r="J3122" t="inlineStr">
        <is>
          <t>0.03</t>
        </is>
      </c>
      <c r="K3122"/>
      <c r="L3122" t="inlineStr">
        <is>
          <t>ACNE PATCH韩博士的店</t>
        </is>
      </c>
      <c r="M3122">
        <v>7477</v>
      </c>
      <c r="N3122">
        <v>4.7</v>
      </c>
      <c r="O3122">
        <v>32000</v>
      </c>
      <c r="P3122" t="inlineStr">
        <is>
          <t>691191b274195c0001ce4336</t>
        </is>
      </c>
      <c r="Q3122" t="inlineStr">
        <is>
          <t>🚫重复</t>
        </is>
      </c>
      <c r="R3122" t="inlineStr">
        <is>
          <t>14周</t>
        </is>
      </c>
      <c r="S3122" t="inlineStr">
        <is>
          <t>0.38</t>
        </is>
      </c>
      <c r="T3122" t="inlineStr">
        <is>
          <t>美妆个护</t>
        </is>
      </c>
      <c r="U3122" t="inlineStr">
        <is>
          <t>个人护理</t>
        </is>
      </c>
      <c r="V3122" s="3">
        <v>46112.78107638889</v>
      </c>
      <c r="W3122" t="inlineStr">
        <is>
          <t>2026-Q1</t>
        </is>
      </c>
    </row>
    <row r="3123" ht="25.5" customHeight="1">
      <c r="A3123" t="inlineStr">
        <is>
          <t>旅行户外多巴胺网格化妆包女便携式小轻便款大容量网纱收纳洗漱包</t>
        </is>
      </c>
      <c r="B3123" t="inlineStr">
        <is>
          <t>recveTJWJNrvPG.jpg</t>
        </is>
      </c>
      <c r="C3123" s="2" t="str">
        <f>=HYPERLINK("https://xhslink.com/m/7FnREho3Eez", "https://xhslink.com/m/7FnREho3Eez")</f>
        <v>https://xhslink.com/m/7FnREho3Eez</v>
      </c>
      <c r="D3123"/>
      <c r="E3123">
        <v>37000</v>
      </c>
      <c r="F3123">
        <v>28.8</v>
      </c>
      <c r="G3123">
        <v>13.9</v>
      </c>
      <c r="H3123">
        <v>100</v>
      </c>
      <c r="I3123" t="inlineStr">
        <is>
          <t>便携化妆包</t>
        </is>
      </c>
      <c r="J3123" t="inlineStr">
        <is>
          <t>0.00</t>
        </is>
      </c>
      <c r="K3123"/>
      <c r="L3123" t="inlineStr">
        <is>
          <t>半日甜 BanRiTian的店</t>
        </is>
      </c>
      <c r="M3123">
        <v>111000</v>
      </c>
      <c r="N3123">
        <v>4.61</v>
      </c>
      <c r="O3123">
        <v>205000</v>
      </c>
      <c r="P3123" t="inlineStr">
        <is>
          <t>682311b8f073650015c90c89</t>
        </is>
      </c>
      <c r="Q3123" t="inlineStr">
        <is>
          <t>🚫重复</t>
        </is>
      </c>
      <c r="R3123" t="inlineStr">
        <is>
          <t>14周</t>
        </is>
      </c>
      <c r="S3123" t="inlineStr">
        <is>
          <t>0.33</t>
        </is>
      </c>
      <c r="T3123" t="inlineStr">
        <is>
          <t>家居生活</t>
        </is>
      </c>
      <c r="U3123" t="inlineStr">
        <is>
          <t>家居日用</t>
        </is>
      </c>
      <c r="V3123" s="3">
        <v>46112.78107638889</v>
      </c>
      <c r="W3123" t="inlineStr">
        <is>
          <t>2026-Q1</t>
        </is>
      </c>
    </row>
    <row r="3124" ht="25.5" customHeight="1">
      <c r="A3124" t="inlineStr">
        <is>
          <t>活动价且部分送挂件！大容量便携化妆包手提旅行化妆品洗漱防水包</t>
        </is>
      </c>
      <c r="B3124" t="inlineStr">
        <is>
          <t>recveTJWJNgECS.jpg</t>
        </is>
      </c>
      <c r="C3124" s="2" t="str">
        <f>=HYPERLINK("https://xhslink.com/m/2XmNtfaWxAF", "https://xhslink.com/m/2XmNtfaWxAF")</f>
        <v>https://xhslink.com/m/2XmNtfaWxAF</v>
      </c>
      <c r="D3124"/>
      <c r="E3124">
        <v>23000</v>
      </c>
      <c r="F3124">
        <v>63.9</v>
      </c>
      <c r="G3124">
        <v>52.9</v>
      </c>
      <c r="H3124">
        <v>100</v>
      </c>
      <c r="I3124" t="inlineStr">
        <is>
          <t>便携化妆包</t>
        </is>
      </c>
      <c r="J3124" t="inlineStr">
        <is>
          <t>0.00</t>
        </is>
      </c>
      <c r="K3124" t="inlineStr">
        <is>
          <t>🔥低粉爆款</t>
        </is>
      </c>
      <c r="L3124" t="inlineStr">
        <is>
          <t>可可哆来咪的店</t>
        </is>
      </c>
      <c r="M3124">
        <v>4919</v>
      </c>
      <c r="N3124">
        <v>4.6</v>
      </c>
      <c r="O3124">
        <v>25000</v>
      </c>
      <c r="P3124" t="inlineStr">
        <is>
          <t>688c6cd2b1b9df000133fb22</t>
        </is>
      </c>
      <c r="Q3124"/>
      <c r="R3124" t="inlineStr">
        <is>
          <t>14周</t>
        </is>
      </c>
      <c r="S3124" t="inlineStr">
        <is>
          <t>4.68</t>
        </is>
      </c>
      <c r="T3124" t="inlineStr">
        <is>
          <t>运动潮玩</t>
        </is>
      </c>
      <c r="U3124" t="inlineStr">
        <is>
          <t>旅行出行</t>
        </is>
      </c>
      <c r="V3124" s="3">
        <v>46112.78107638889</v>
      </c>
      <c r="W3124" t="inlineStr">
        <is>
          <t>2026-Q1</t>
        </is>
      </c>
    </row>
    <row r="3125" ht="25.5" customHeight="1">
      <c r="A3125" t="inlineStr">
        <is>
          <t>【前5000单15.8】半日甜新款格子化妆小包女便携旅行洗漱收纳包</t>
        </is>
      </c>
      <c r="B3125" t="inlineStr">
        <is>
          <t>recveTJWJNTqww.jpg</t>
        </is>
      </c>
      <c r="C3125" s="2" t="str">
        <f>=HYPERLINK("https://xhslink.com/m/86QpiX0IYkT", "https://xhslink.com/m/86QpiX0IYkT")</f>
        <v>https://xhslink.com/m/86QpiX0IYkT</v>
      </c>
      <c r="D3125"/>
      <c r="E3125">
        <v>14000</v>
      </c>
      <c r="F3125">
        <v>24.8</v>
      </c>
      <c r="G3125">
        <v>16.8</v>
      </c>
      <c r="H3125">
        <v>100</v>
      </c>
      <c r="I3125" t="inlineStr">
        <is>
          <t>便携化妆包</t>
        </is>
      </c>
      <c r="J3125" t="inlineStr">
        <is>
          <t>0.01</t>
        </is>
      </c>
      <c r="K3125"/>
      <c r="L3125" t="inlineStr">
        <is>
          <t>半日甜 BanRiTian的店</t>
        </is>
      </c>
      <c r="M3125">
        <v>111000</v>
      </c>
      <c r="N3125">
        <v>4.61</v>
      </c>
      <c r="O3125">
        <v>205000</v>
      </c>
      <c r="P3125" t="inlineStr">
        <is>
          <t>68fc8681f5d04800013ef84b</t>
        </is>
      </c>
      <c r="Q3125" t="inlineStr">
        <is>
          <t>🚫重复</t>
        </is>
      </c>
      <c r="R3125" t="inlineStr">
        <is>
          <t>14周</t>
        </is>
      </c>
      <c r="S3125" t="inlineStr">
        <is>
          <t>0.13</t>
        </is>
      </c>
      <c r="T3125" t="inlineStr">
        <is>
          <t>家居生活</t>
        </is>
      </c>
      <c r="U3125" t="inlineStr">
        <is>
          <t>家居日用</t>
        </is>
      </c>
      <c r="V3125" s="3">
        <v>46112.78107638889</v>
      </c>
      <c r="W3125" t="inlineStr">
        <is>
          <t>2026-Q1</t>
        </is>
      </c>
    </row>
    <row r="3126" ht="25.5" customHeight="1">
      <c r="A3126" t="inlineStr">
        <is>
          <t>NEUN QUADRAT3 · 【bling】系列原创天鹅绒烫钻化妆包手拿方包便携收纳包旅行通勤</t>
        </is>
      </c>
      <c r="B3126" t="inlineStr">
        <is>
          <t>recveTJWJNTDLG.jpg</t>
        </is>
      </c>
      <c r="C3126" s="2" t="str">
        <f>=HYPERLINK("https://xhslink.com/m/24rT1tm6v61", "https://xhslink.com/m/24rT1tm6v61")</f>
        <v>https://xhslink.com/m/24rT1tm6v61</v>
      </c>
      <c r="D3126"/>
      <c r="E3126">
        <v>15000</v>
      </c>
      <c r="F3126">
        <v>39.9</v>
      </c>
      <c r="G3126"/>
      <c r="H3126">
        <v>100</v>
      </c>
      <c r="I3126" t="inlineStr">
        <is>
          <t>便携化妆包</t>
        </is>
      </c>
      <c r="J3126" t="inlineStr">
        <is>
          <t>0.01</t>
        </is>
      </c>
      <c r="K3126" t="inlineStr">
        <is>
          <t>🔥低粉爆款</t>
        </is>
      </c>
      <c r="L3126" t="inlineStr">
        <is>
          <t>NeunQuadrat3珈禾的店</t>
        </is>
      </c>
      <c r="M3126">
        <v>2880</v>
      </c>
      <c r="N3126">
        <v>4.64</v>
      </c>
      <c r="O3126">
        <v>21000</v>
      </c>
      <c r="P3126" t="inlineStr">
        <is>
          <t>69396d050ae0090001febba2</t>
        </is>
      </c>
      <c r="Q3126"/>
      <c r="R3126" t="inlineStr">
        <is>
          <t>14周</t>
        </is>
      </c>
      <c r="S3126" t="inlineStr">
        <is>
          <t>5.21</t>
        </is>
      </c>
      <c r="T3126" t="inlineStr">
        <is>
          <t>家居生活</t>
        </is>
      </c>
      <c r="U3126" t="inlineStr">
        <is>
          <t>家居日用</t>
        </is>
      </c>
      <c r="V3126" s="3">
        <v>46112.78107638889</v>
      </c>
      <c r="W3126" t="inlineStr">
        <is>
          <t>2026-Q1</t>
        </is>
      </c>
    </row>
    <row r="3127" ht="25.5" customHeight="1">
      <c r="A3127" t="inlineStr">
        <is>
          <t>【前1000单19.8】卡通小狗化妆包女便携旅行高级简约化妆品洗漱包</t>
        </is>
      </c>
      <c r="B3127" t="inlineStr">
        <is>
          <t>recveTJWJNTH3Z.jpg</t>
        </is>
      </c>
      <c r="C3127" s="2" t="str">
        <f>=HYPERLINK("https://xhslink.com/m/4vklj0AsGcA", "https://xhslink.com/m/4vklj0AsGcA")</f>
        <v>https://xhslink.com/m/4vklj0AsGcA</v>
      </c>
      <c r="D3127"/>
      <c r="E3127">
        <v>3522</v>
      </c>
      <c r="F3127">
        <v>40.8</v>
      </c>
      <c r="G3127">
        <v>22.8</v>
      </c>
      <c r="H3127">
        <v>100</v>
      </c>
      <c r="I3127" t="inlineStr">
        <is>
          <t>便携化妆包</t>
        </is>
      </c>
      <c r="J3127" t="inlineStr">
        <is>
          <t>0.03</t>
        </is>
      </c>
      <c r="K3127"/>
      <c r="L3127" t="inlineStr">
        <is>
          <t>半日甜 BanRiTian的店</t>
        </is>
      </c>
      <c r="M3127">
        <v>111000</v>
      </c>
      <c r="N3127">
        <v>4.61</v>
      </c>
      <c r="O3127">
        <v>205000</v>
      </c>
      <c r="P3127" t="inlineStr">
        <is>
          <t>69573e3fb2492100016b51b0</t>
        </is>
      </c>
      <c r="Q3127" t="inlineStr">
        <is>
          <t>🚫重复</t>
        </is>
      </c>
      <c r="R3127" t="inlineStr">
        <is>
          <t>14周</t>
        </is>
      </c>
      <c r="S3127" t="inlineStr">
        <is>
          <t>0.03</t>
        </is>
      </c>
      <c r="T3127" t="inlineStr">
        <is>
          <t>运动潮玩</t>
        </is>
      </c>
      <c r="U3127" t="inlineStr">
        <is>
          <t>旅行出行</t>
        </is>
      </c>
      <c r="V3127" s="3">
        <v>46112.78107638889</v>
      </c>
      <c r="W3127" t="inlineStr">
        <is>
          <t>2026-Q1</t>
        </is>
      </c>
    </row>
    <row r="3128" ht="25.5" customHeight="1">
      <c r="A3128" t="inlineStr">
        <is>
          <t>乐做食养·河南特产山药茯苓鸡内金焦饼无麸质黄小米薄饼健康零食</t>
        </is>
      </c>
      <c r="B3128" t="inlineStr">
        <is>
          <t>recveTJWJNASCs.jpg</t>
        </is>
      </c>
      <c r="C3128" s="2" t="str">
        <f>=HYPERLINK("https://xhslink.com/m/4DYmMnkXkH", "https://xhslink.com/m/4DYmMnkXkH")</f>
        <v>https://xhslink.com/m/4DYmMnkXkH</v>
      </c>
      <c r="D3128"/>
      <c r="E3128">
        <v>61000</v>
      </c>
      <c r="F3128">
        <v>27.6</v>
      </c>
      <c r="G3128">
        <v>22.8</v>
      </c>
      <c r="H3128">
        <v>100</v>
      </c>
      <c r="I3128" t="inlineStr">
        <is>
          <t>养生零食</t>
        </is>
      </c>
      <c r="J3128" t="inlineStr">
        <is>
          <t>0.00</t>
        </is>
      </c>
      <c r="K3128" t="inlineStr">
        <is>
          <t>🔥低粉爆款</t>
        </is>
      </c>
      <c r="L3128" t="inlineStr">
        <is>
          <t>乐做食养的店</t>
        </is>
      </c>
      <c r="M3128">
        <v>7757</v>
      </c>
      <c r="N3128">
        <v>4.8</v>
      </c>
      <c r="O3128">
        <v>115000</v>
      </c>
      <c r="P3128" t="inlineStr">
        <is>
          <t>65893cce98ae3a00017dfafd</t>
        </is>
      </c>
      <c r="Q3128" t="inlineStr">
        <is>
          <t>🚫重复</t>
        </is>
      </c>
      <c r="R3128" t="inlineStr">
        <is>
          <t>14周</t>
        </is>
      </c>
      <c r="S3128" t="inlineStr">
        <is>
          <t>7.86</t>
        </is>
      </c>
      <c r="T3128" t="inlineStr">
        <is>
          <t>美食滋补</t>
        </is>
      </c>
      <c r="U3128" t="inlineStr">
        <is>
          <t>休闲零食</t>
        </is>
      </c>
      <c r="V3128" s="3">
        <v>46112.78107638889</v>
      </c>
      <c r="W3128" t="inlineStr">
        <is>
          <t>2026-Q1</t>
        </is>
      </c>
    </row>
    <row r="3129" ht="25.5" customHeight="1">
      <c r="A3129" t="inlineStr">
        <is>
          <t>懒.全麦五黑紫薯养生米糕代餐饱腹低卡脂无蔗糖早八宿舍早餐解馋</t>
        </is>
      </c>
      <c r="B3129" t="inlineStr">
        <is>
          <t>recveTJWJNwwPt.jpg</t>
        </is>
      </c>
      <c r="C3129" s="2" t="str">
        <f>=HYPERLINK("https://xhslink.com/m/67kXzAS86Zx", "https://xhslink.com/m/67kXzAS86Zx")</f>
        <v>https://xhslink.com/m/67kXzAS86Zx</v>
      </c>
      <c r="D3129"/>
      <c r="E3129">
        <v>49000</v>
      </c>
      <c r="F3129">
        <v>22.9</v>
      </c>
      <c r="G3129">
        <v>12.9</v>
      </c>
      <c r="H3129">
        <v>100</v>
      </c>
      <c r="I3129" t="inlineStr">
        <is>
          <t>养生零食</t>
        </is>
      </c>
      <c r="J3129" t="inlineStr">
        <is>
          <t>0.00</t>
        </is>
      </c>
      <c r="K3129" t="inlineStr">
        <is>
          <t>🔥低粉爆款</t>
        </is>
      </c>
      <c r="L3129" t="inlineStr">
        <is>
          <t>木子姐姐食语的店</t>
        </is>
      </c>
      <c r="M3129">
        <v>10000</v>
      </c>
      <c r="N3129">
        <v>4.37</v>
      </c>
      <c r="O3129">
        <v>155000</v>
      </c>
      <c r="P3129" t="inlineStr">
        <is>
          <t>64576113c62a01000192c9bc</t>
        </is>
      </c>
      <c r="Q3129" t="inlineStr">
        <is>
          <t>🚫重复</t>
        </is>
      </c>
      <c r="R3129" t="inlineStr">
        <is>
          <t>14周</t>
        </is>
      </c>
      <c r="S3129" t="inlineStr">
        <is>
          <t>4.90</t>
        </is>
      </c>
      <c r="T3129" t="inlineStr">
        <is>
          <t>美食滋补</t>
        </is>
      </c>
      <c r="U3129" t="inlineStr">
        <is>
          <t>休闲零食</t>
        </is>
      </c>
      <c r="V3129" s="3">
        <v>46112.78107638889</v>
      </c>
      <c r="W3129" t="inlineStr">
        <is>
          <t>2026-Q1</t>
        </is>
      </c>
    </row>
    <row r="3130" ht="25.5" customHeight="1">
      <c r="A3130" t="inlineStr">
        <is>
          <t>红糖糕传统糕点红糖味糯米糕糯叽叽绵软嚼劲糕点特产</t>
        </is>
      </c>
      <c r="B3130" t="inlineStr">
        <is>
          <t>recveTJWJNqpa1.jpg</t>
        </is>
      </c>
      <c r="C3130" s="2" t="str">
        <f>=HYPERLINK("https://xhslink.com/m/3khs5LXRNlN", "https://xhslink.com/m/3khs5LXRNlN")</f>
        <v>https://xhslink.com/m/3khs5LXRNlN</v>
      </c>
      <c r="D3130"/>
      <c r="E3130">
        <v>33000</v>
      </c>
      <c r="F3130">
        <v>23.9</v>
      </c>
      <c r="G3130">
        <v>13.9</v>
      </c>
      <c r="H3130">
        <v>100</v>
      </c>
      <c r="I3130" t="inlineStr">
        <is>
          <t>零食</t>
        </is>
      </c>
      <c r="J3130" t="inlineStr">
        <is>
          <t>0.00</t>
        </is>
      </c>
      <c r="K3130" t="inlineStr">
        <is>
          <t>🔥低粉爆款</t>
        </is>
      </c>
      <c r="L3130" t="inlineStr">
        <is>
          <t>甄果严选的店</t>
        </is>
      </c>
      <c r="M3130">
        <v>68</v>
      </c>
      <c r="N3130">
        <v>4.44</v>
      </c>
      <c r="O3130">
        <v>36000</v>
      </c>
      <c r="P3130" t="inlineStr">
        <is>
          <t>68f72809e3794300015517d8</t>
        </is>
      </c>
      <c r="Q3130"/>
      <c r="R3130" t="inlineStr">
        <is>
          <t>14周</t>
        </is>
      </c>
      <c r="S3130" t="inlineStr">
        <is>
          <t>485.29</t>
        </is>
      </c>
      <c r="T3130" t="inlineStr">
        <is>
          <t>美食滋补</t>
        </is>
      </c>
      <c r="U3130" t="inlineStr">
        <is>
          <t>休闲零食</t>
        </is>
      </c>
      <c r="V3130" s="3">
        <v>46112.78107638889</v>
      </c>
      <c r="W3130" t="inlineStr">
        <is>
          <t>2026-Q1</t>
        </is>
      </c>
    </row>
    <row r="3131" ht="25.5" customHeight="1">
      <c r="A3131" t="inlineStr">
        <is>
          <t>ins风！男女同款情侣运动防晒吸湿健身跑步半拉链插肩袖速干T恤</t>
        </is>
      </c>
      <c r="B3131" t="inlineStr">
        <is>
          <t>recveTJWJNUIqO.jpg</t>
        </is>
      </c>
      <c r="C3131" s="2" t="str">
        <f>=HYPERLINK("https://xhslink.com/m/XFYw0dlRWi", "https://xhslink.com/m/XFYw0dlRWi")</f>
        <v>https://xhslink.com/m/XFYw0dlRWi</v>
      </c>
      <c r="D3131"/>
      <c r="E3131">
        <v>9011</v>
      </c>
      <c r="F3131">
        <v>39</v>
      </c>
      <c r="G3131"/>
      <c r="H3131">
        <v>100</v>
      </c>
      <c r="I3131" t="inlineStr">
        <is>
          <t>速干</t>
        </is>
      </c>
      <c r="J3131" t="inlineStr">
        <is>
          <t>0.01</t>
        </is>
      </c>
      <c r="K3131"/>
      <c r="L3131" t="inlineStr">
        <is>
          <t>福多外贸服饰的店</t>
        </is>
      </c>
      <c r="M3131">
        <v>11000</v>
      </c>
      <c r="N3131">
        <v>4.55</v>
      </c>
      <c r="O3131">
        <v>173000</v>
      </c>
      <c r="P3131" t="inlineStr">
        <is>
          <t>68b846c1d471ac0001fd194e</t>
        </is>
      </c>
      <c r="Q3131" t="inlineStr">
        <is>
          <t>🚫重复</t>
        </is>
      </c>
      <c r="R3131" t="inlineStr">
        <is>
          <t>14周</t>
        </is>
      </c>
      <c r="S3131" t="inlineStr">
        <is>
          <t>0.82</t>
        </is>
      </c>
      <c r="T3131" t="inlineStr">
        <is>
          <t>运动潮玩</t>
        </is>
      </c>
      <c r="U3131" t="inlineStr">
        <is>
          <t>运动户外装备</t>
        </is>
      </c>
      <c r="V3131" s="3">
        <v>46112.78107638889</v>
      </c>
      <c r="W3131" t="inlineStr">
        <is>
          <t>2026-Q1</t>
        </is>
      </c>
    </row>
    <row r="3132" ht="25.5" customHeight="1">
      <c r="A3132" t="inlineStr">
        <is>
          <t>夏季运动速干短袖明线字母印花休闲T恤上衣男女款防紫外线UPF50+</t>
        </is>
      </c>
      <c r="B3132" t="inlineStr">
        <is>
          <t>recveTJWJNABsU.jpg</t>
        </is>
      </c>
      <c r="C3132" s="2" t="str">
        <f>=HYPERLINK("https://xhslink.com/m/ATkFRoS1G0Y", "https://xhslink.com/m/ATkFRoS1G0Y")</f>
        <v>https://xhslink.com/m/ATkFRoS1G0Y</v>
      </c>
      <c r="D3132"/>
      <c r="E3132">
        <v>2916</v>
      </c>
      <c r="F3132">
        <v>89</v>
      </c>
      <c r="G3132">
        <v>49</v>
      </c>
      <c r="H3132">
        <v>100</v>
      </c>
      <c r="I3132" t="inlineStr">
        <is>
          <t>速干</t>
        </is>
      </c>
      <c r="J3132" t="inlineStr">
        <is>
          <t>0.03</t>
        </is>
      </c>
      <c r="K3132"/>
      <c r="L3132" t="inlineStr">
        <is>
          <t>小仓姐的店</t>
        </is>
      </c>
      <c r="M3132">
        <v>18000</v>
      </c>
      <c r="N3132">
        <v>4.54</v>
      </c>
      <c r="O3132">
        <v>67000</v>
      </c>
      <c r="P3132" t="inlineStr">
        <is>
          <t>681a23c43366f100019d3b6b</t>
        </is>
      </c>
      <c r="Q3132" t="inlineStr">
        <is>
          <t>🚫重复</t>
        </is>
      </c>
      <c r="R3132" t="inlineStr">
        <is>
          <t>14周</t>
        </is>
      </c>
      <c r="S3132" t="inlineStr">
        <is>
          <t>0.16</t>
        </is>
      </c>
      <c r="T3132" t="inlineStr">
        <is>
          <t>服饰穿搭</t>
        </is>
      </c>
      <c r="U3132" t="inlineStr">
        <is>
          <t>女装</t>
        </is>
      </c>
      <c r="V3132" s="3">
        <v>46112.78107638889</v>
      </c>
      <c r="W3132" t="inlineStr">
        <is>
          <t>2026-Q1</t>
        </is>
      </c>
    </row>
    <row r="3133" ht="25.5" customHeight="1">
      <c r="A3133" t="inlineStr">
        <is>
          <t>瑜伽服女健身背心无袖速干运动打底衫夏季瑜伽健身透气显瘦上衣</t>
        </is>
      </c>
      <c r="B3133" t="inlineStr">
        <is>
          <t>recveTJWJNjiNd.jpg</t>
        </is>
      </c>
      <c r="C3133" s="2" t="str">
        <f>=HYPERLINK("https://xhslink.com/m/9n8K0z7Q8Wo", "https://xhslink.com/m/9n8K0z7Q8Wo")</f>
        <v>https://xhslink.com/m/9n8K0z7Q8Wo</v>
      </c>
      <c r="D3133"/>
      <c r="E3133">
        <v>11000</v>
      </c>
      <c r="F3133">
        <v>89</v>
      </c>
      <c r="G3133"/>
      <c r="H3133">
        <v>100</v>
      </c>
      <c r="I3133" t="inlineStr">
        <is>
          <t>运动背心</t>
        </is>
      </c>
      <c r="J3133" t="inlineStr">
        <is>
          <t>0.01</t>
        </is>
      </c>
      <c r="K3133" t="inlineStr">
        <is>
          <t>🔥低粉爆款</t>
        </is>
      </c>
      <c r="L3133" t="inlineStr">
        <is>
          <t>小橘M的店</t>
        </is>
      </c>
      <c r="M3133">
        <v>2635</v>
      </c>
      <c r="N3133">
        <v>4.61</v>
      </c>
      <c r="O3133">
        <v>28000</v>
      </c>
      <c r="P3133" t="inlineStr">
        <is>
          <t>67e2cda9d25300000154558c</t>
        </is>
      </c>
      <c r="Q3133" t="inlineStr">
        <is>
          <t>🚫重复</t>
        </is>
      </c>
      <c r="R3133" t="inlineStr">
        <is>
          <t>14周</t>
        </is>
      </c>
      <c r="S3133" t="inlineStr">
        <is>
          <t>4.17</t>
        </is>
      </c>
      <c r="T3133" t="inlineStr">
        <is>
          <t>服饰穿搭</t>
        </is>
      </c>
      <c r="U3133" t="inlineStr">
        <is>
          <t>女装</t>
        </is>
      </c>
      <c r="V3133" s="3">
        <v>46112.78107638889</v>
      </c>
      <c r="W3133" t="inlineStr">
        <is>
          <t>2026-Q1</t>
        </is>
      </c>
    </row>
    <row r="3134" ht="25.5" customHeight="1">
      <c r="A3134" t="inlineStr">
        <is>
          <t>美津浓 · SPEED 2K-复古减震老爹鞋透气运动跑鞋-D1GH2229</t>
        </is>
      </c>
      <c r="B3134" t="inlineStr">
        <is>
          <t>recveTJWJNQZXM.jpg</t>
        </is>
      </c>
      <c r="C3134" s="2" t="str">
        <f>=HYPERLINK("https://xhslink.com/m/2UBdDRKdNty", "https://xhslink.com/m/2UBdDRKdNty")</f>
        <v>https://xhslink.com/m/2UBdDRKdNty</v>
      </c>
      <c r="D3134"/>
      <c r="E3134">
        <v>16000</v>
      </c>
      <c r="F3134">
        <v>498</v>
      </c>
      <c r="G3134">
        <v>288</v>
      </c>
      <c r="H3134">
        <v>100</v>
      </c>
      <c r="I3134" t="inlineStr">
        <is>
          <t>运动鞋</t>
        </is>
      </c>
      <c r="J3134" t="inlineStr">
        <is>
          <t>0.01</t>
        </is>
      </c>
      <c r="K3134"/>
      <c r="L3134" t="inlineStr">
        <is>
          <t>美津浓MIZUNO旗舰店</t>
        </is>
      </c>
      <c r="M3134">
        <v>49000</v>
      </c>
      <c r="N3134">
        <v>4.69</v>
      </c>
      <c r="O3134">
        <v>96000</v>
      </c>
      <c r="P3134" t="inlineStr">
        <is>
          <t>6465f56d4f79670001a47e9d</t>
        </is>
      </c>
      <c r="Q3134"/>
      <c r="R3134" t="inlineStr">
        <is>
          <t>14周</t>
        </is>
      </c>
      <c r="S3134" t="inlineStr">
        <is>
          <t>0.33</t>
        </is>
      </c>
      <c r="T3134" t="inlineStr">
        <is>
          <t>服饰穿搭</t>
        </is>
      </c>
      <c r="U3134" t="inlineStr">
        <is>
          <t>鞋靴箱包</t>
        </is>
      </c>
      <c r="V3134" s="3">
        <v>46112.78107638889</v>
      </c>
      <c r="W3134" t="inlineStr">
        <is>
          <t>2026-Q1</t>
        </is>
      </c>
    </row>
    <row r="3135" ht="25.5" customHeight="1">
      <c r="A3135" t="inlineStr">
        <is>
          <t>户外登山鞋休闲运动鞋女2026新款网面透气一脚蹬可系带增高女推荐</t>
        </is>
      </c>
      <c r="B3135" t="inlineStr">
        <is>
          <t>recveTJWJNUJpE.jpg</t>
        </is>
      </c>
      <c r="C3135" s="2" t="str">
        <f>=HYPERLINK("https://xhslink.com/m/5BaU0gxPm8e", "https://xhslink.com/m/5BaU0gxPm8e")</f>
        <v>https://xhslink.com/m/5BaU0gxPm8e</v>
      </c>
      <c r="D3135"/>
      <c r="E3135">
        <v>370</v>
      </c>
      <c r="F3135">
        <v>89</v>
      </c>
      <c r="G3135"/>
      <c r="H3135">
        <v>100</v>
      </c>
      <c r="I3135" t="inlineStr">
        <is>
          <t>运动鞋</t>
        </is>
      </c>
      <c r="J3135" t="inlineStr">
        <is>
          <t>0.27</t>
        </is>
      </c>
      <c r="K3135"/>
      <c r="L3135" t="inlineStr">
        <is>
          <t>嘟嘟猫nana的店</t>
        </is>
      </c>
      <c r="M3135">
        <v>2542</v>
      </c>
      <c r="N3135">
        <v>4.41</v>
      </c>
      <c r="O3135">
        <v>24000</v>
      </c>
      <c r="P3135" t="inlineStr">
        <is>
          <t>699b057bce23340001e612fc</t>
        </is>
      </c>
      <c r="Q3135"/>
      <c r="R3135" t="inlineStr">
        <is>
          <t>14周</t>
        </is>
      </c>
      <c r="S3135" t="inlineStr">
        <is>
          <t>0.15</t>
        </is>
      </c>
      <c r="T3135" t="inlineStr">
        <is>
          <t>服饰穿搭</t>
        </is>
      </c>
      <c r="U3135" t="inlineStr">
        <is>
          <t>鞋靴箱包</t>
        </is>
      </c>
      <c r="V3135" s="3">
        <v>46112.78107638889</v>
      </c>
      <c r="W3135" t="inlineStr">
        <is>
          <t>2026-Q1</t>
        </is>
      </c>
    </row>
    <row r="3136" ht="25.5" customHeight="1">
      <c r="A3136" t="inlineStr">
        <is>
          <t>三横SUN HUNTER · 原创鸢尾花满圈戒指开口复古轻奢美拉德饰品小众女</t>
        </is>
      </c>
      <c r="B3136" t="inlineStr">
        <is>
          <t>recveTJWJNk0gp.jpg</t>
        </is>
      </c>
      <c r="C3136" s="2" t="str">
        <f>=HYPERLINK("https://xhslink.com/m/DlO257Mhjz", "https://xhslink.com/m/DlO257Mhjz")</f>
        <v>https://xhslink.com/m/DlO257Mhjz</v>
      </c>
      <c r="D3136"/>
      <c r="E3136">
        <v>5545</v>
      </c>
      <c r="F3136">
        <v>219</v>
      </c>
      <c r="G3136">
        <v>192.72</v>
      </c>
      <c r="H3136">
        <v>100</v>
      </c>
      <c r="I3136" t="inlineStr">
        <is>
          <t>饰品</t>
        </is>
      </c>
      <c r="J3136" t="inlineStr">
        <is>
          <t>0.02</t>
        </is>
      </c>
      <c r="K3136"/>
      <c r="L3136" t="inlineStr">
        <is>
          <t>三横SUN HUNTER旗舰店</t>
        </is>
      </c>
      <c r="M3136">
        <v>59000</v>
      </c>
      <c r="N3136">
        <v>4.68</v>
      </c>
      <c r="O3136">
        <v>97000</v>
      </c>
      <c r="P3136" t="inlineStr">
        <is>
          <t>6757f329bc184700157bf643</t>
        </is>
      </c>
      <c r="Q3136"/>
      <c r="R3136" t="inlineStr">
        <is>
          <t>14周</t>
        </is>
      </c>
      <c r="S3136" t="inlineStr">
        <is>
          <t>0.09</t>
        </is>
      </c>
      <c r="T3136" t="inlineStr">
        <is>
          <t>服饰穿搭</t>
        </is>
      </c>
      <c r="U3136" t="inlineStr">
        <is>
          <t>配饰</t>
        </is>
      </c>
      <c r="V3136" s="3">
        <v>46112.78107638889</v>
      </c>
      <c r="W3136" t="inlineStr">
        <is>
          <t>2026-Q1</t>
        </is>
      </c>
    </row>
    <row r="3137" ht="25.5" customHeight="1">
      <c r="A3137" t="inlineStr">
        <is>
          <t>「高定！灵蛇衔尾」天然澳洲深海母贝珍珠送闺蜜新婚礼物伴手礼</t>
        </is>
      </c>
      <c r="B3137" t="inlineStr">
        <is>
          <t>recveTJWJNsQjF.jpg</t>
        </is>
      </c>
      <c r="C3137" s="2" t="str">
        <f>=HYPERLINK("https://xhslink.com/m/5uWoRCSTJMa", "https://xhslink.com/m/5uWoRCSTJMa")</f>
        <v>https://xhslink.com/m/5uWoRCSTJMa</v>
      </c>
      <c r="D3137"/>
      <c r="E3137">
        <v>6489</v>
      </c>
      <c r="F3137">
        <v>358</v>
      </c>
      <c r="G3137">
        <v>188</v>
      </c>
      <c r="H3137">
        <v>100</v>
      </c>
      <c r="I3137" t="inlineStr">
        <is>
          <t>饰品</t>
        </is>
      </c>
      <c r="J3137" t="inlineStr">
        <is>
          <t>0.02</t>
        </is>
      </c>
      <c r="K3137"/>
      <c r="L3137" t="inlineStr">
        <is>
          <t>Fanxi范希珠宝的店</t>
        </is>
      </c>
      <c r="M3137">
        <v>4098</v>
      </c>
      <c r="N3137">
        <v>4.59</v>
      </c>
      <c r="O3137">
        <v>13000</v>
      </c>
      <c r="P3137" t="inlineStr">
        <is>
          <t>685ec0b3835e2500016f47c1</t>
        </is>
      </c>
      <c r="Q3137" t="inlineStr">
        <is>
          <t>🚫重复</t>
        </is>
      </c>
      <c r="R3137" t="inlineStr">
        <is>
          <t>14周</t>
        </is>
      </c>
      <c r="S3137" t="inlineStr">
        <is>
          <t>1.58</t>
        </is>
      </c>
      <c r="T3137" t="inlineStr">
        <is>
          <t>服饰穿搭</t>
        </is>
      </c>
      <c r="U3137" t="inlineStr">
        <is>
          <t>配饰</t>
        </is>
      </c>
      <c r="V3137" s="3">
        <v>46112.78107638889</v>
      </c>
      <c r="W3137" t="inlineStr">
        <is>
          <t>2026-Q1</t>
        </is>
      </c>
    </row>
    <row r="3138" ht="25.5" customHeight="1">
      <c r="A3138" t="inlineStr">
        <is>
          <t>天台山 · 【古法手作草本•息肌丸】天然古法合香珠非遗中药手串素圈</t>
        </is>
      </c>
      <c r="B3138" t="inlineStr">
        <is>
          <t>recveTJWJNkCJZ.jpg</t>
        </is>
      </c>
      <c r="C3138" s="2" t="str">
        <f>=HYPERLINK("https://xhslink.com/m/6FyCJujhYfG", "https://xhslink.com/m/6FyCJujhYfG")</f>
        <v>https://xhslink.com/m/6FyCJujhYfG</v>
      </c>
      <c r="D3138"/>
      <c r="E3138">
        <v>9468</v>
      </c>
      <c r="F3138">
        <v>798</v>
      </c>
      <c r="G3138"/>
      <c r="H3138">
        <v>100</v>
      </c>
      <c r="I3138" t="inlineStr">
        <is>
          <t>中药手串</t>
        </is>
      </c>
      <c r="J3138" t="inlineStr">
        <is>
          <t>0.01</t>
        </is>
      </c>
      <c r="K3138"/>
      <c r="L3138" t="inlineStr">
        <is>
          <t>天台山旗舰店</t>
        </is>
      </c>
      <c r="M3138">
        <v>88000</v>
      </c>
      <c r="N3138">
        <v>4.6</v>
      </c>
      <c r="O3138">
        <v>48000</v>
      </c>
      <c r="P3138" t="inlineStr">
        <is>
          <t>686645bb7ec78a00015254b5</t>
        </is>
      </c>
      <c r="Q3138"/>
      <c r="R3138" t="inlineStr">
        <is>
          <t>14周</t>
        </is>
      </c>
      <c r="S3138" t="inlineStr">
        <is>
          <t>0.11</t>
        </is>
      </c>
      <c r="T3138" t="inlineStr">
        <is>
          <t>运动潮玩</t>
        </is>
      </c>
      <c r="U3138" t="inlineStr">
        <is>
          <t>潮玩手办</t>
        </is>
      </c>
      <c r="V3138" s="3">
        <v>46112.78107638889</v>
      </c>
      <c r="W3138" t="inlineStr">
        <is>
          <t>2026-Q1</t>
        </is>
      </c>
    </row>
    <row r="3139" ht="25.5" customHeight="1">
      <c r="A3139" t="inlineStr">
        <is>
          <t>姜枣茶（销冠是因为人人需要）</t>
        </is>
      </c>
      <c r="B3139" t="inlineStr">
        <is>
          <t>recveTJWJNbOgK.jpg</t>
        </is>
      </c>
      <c r="C3139" s="2" t="str">
        <f>=HYPERLINK("https://xhslink.com/m/AWmedPNLQOn", "https://xhslink.com/m/AWmedPNLQOn")</f>
        <v>https://xhslink.com/m/AWmedPNLQOn</v>
      </c>
      <c r="D3139"/>
      <c r="E3139">
        <v>66000</v>
      </c>
      <c r="F3139">
        <v>69</v>
      </c>
      <c r="G3139"/>
      <c r="H3139">
        <v>100</v>
      </c>
      <c r="I3139" t="inlineStr">
        <is>
          <t>养生茶</t>
        </is>
      </c>
      <c r="J3139" t="inlineStr">
        <is>
          <t>0.00</t>
        </is>
      </c>
      <c r="K3139"/>
      <c r="L3139" t="inlineStr">
        <is>
          <t>阿莹麦茶的店</t>
        </is>
      </c>
      <c r="M3139">
        <v>96000</v>
      </c>
      <c r="N3139">
        <v>4.61</v>
      </c>
      <c r="O3139">
        <v>710000</v>
      </c>
      <c r="P3139" t="inlineStr">
        <is>
          <t>662e566689ba5900017d07fc</t>
        </is>
      </c>
      <c r="Q3139"/>
      <c r="R3139" t="inlineStr">
        <is>
          <t>14周</t>
        </is>
      </c>
      <c r="S3139" t="inlineStr">
        <is>
          <t>0.69</t>
        </is>
      </c>
      <c r="T3139" t="inlineStr">
        <is>
          <t>美食滋补</t>
        </is>
      </c>
      <c r="U3139" t="inlineStr">
        <is>
          <t>酒水冲饮</t>
        </is>
      </c>
      <c r="V3139" s="3">
        <v>46112.78107638889</v>
      </c>
      <c r="W3139" t="inlineStr">
        <is>
          <t>2026-Q1</t>
        </is>
      </c>
    </row>
    <row r="3140" ht="25.5" customHeight="1">
      <c r="A3140" t="inlineStr">
        <is>
          <t>出口岛国150+ 防水渔夫帽可收纳薄款速干户外登山帽</t>
        </is>
      </c>
      <c r="B3140" t="inlineStr">
        <is>
          <t>recveTJWJNokk4.jpg</t>
        </is>
      </c>
      <c r="C3140" s="2" t="str">
        <f>=HYPERLINK("https://xhslink.com/m/2ldE8akXAa4", "https://xhslink.com/m/2ldE8akXAa4")</f>
        <v>https://xhslink.com/m/2ldE8akXAa4</v>
      </c>
      <c r="D3140"/>
      <c r="E3140">
        <v>9536</v>
      </c>
      <c r="F3140">
        <v>29.99</v>
      </c>
      <c r="G3140"/>
      <c r="H3140">
        <v>100</v>
      </c>
      <c r="I3140" t="inlineStr">
        <is>
          <t>帽子</t>
        </is>
      </c>
      <c r="J3140" t="inlineStr">
        <is>
          <t>0.01</t>
        </is>
      </c>
      <c r="K3140"/>
      <c r="L3140" t="inlineStr">
        <is>
          <t>小红书范爷的店</t>
        </is>
      </c>
      <c r="M3140">
        <v>288000</v>
      </c>
      <c r="N3140">
        <v>4.56</v>
      </c>
      <c r="O3140">
        <v>3321000</v>
      </c>
      <c r="P3140" t="inlineStr">
        <is>
          <t>660d1a1a459825000192f163</t>
        </is>
      </c>
      <c r="Q3140" t="inlineStr">
        <is>
          <t>🚫重复</t>
        </is>
      </c>
      <c r="R3140" t="inlineStr">
        <is>
          <t>14周</t>
        </is>
      </c>
      <c r="S3140" t="inlineStr">
        <is>
          <t>0.03</t>
        </is>
      </c>
      <c r="T3140" t="inlineStr">
        <is>
          <t>家居生活</t>
        </is>
      </c>
      <c r="U3140" t="inlineStr">
        <is>
          <t>家居日用</t>
        </is>
      </c>
      <c r="V3140" s="3">
        <v>46112.78107638889</v>
      </c>
      <c r="W3140" t="inlineStr">
        <is>
          <t>2026-Q1</t>
        </is>
      </c>
    </row>
    <row r="3141" ht="25.5" customHeight="1">
      <c r="A3141" t="inlineStr">
        <is>
          <t>雪怪超市丨超轻小鸡软顶帽 防水防晒户外 加大加深显头小</t>
        </is>
      </c>
      <c r="B3141" t="inlineStr">
        <is>
          <t>recveTJWJN3ZVd.jpg</t>
        </is>
      </c>
      <c r="C3141" s="2" t="str">
        <f>=HYPERLINK("https://xhslink.com/m/7bOqEcg8RaF", "https://xhslink.com/m/7bOqEcg8RaF")</f>
        <v>https://xhslink.com/m/7bOqEcg8RaF</v>
      </c>
      <c r="D3141"/>
      <c r="E3141">
        <v>16000</v>
      </c>
      <c r="F3141">
        <v>88</v>
      </c>
      <c r="G3141">
        <v>68</v>
      </c>
      <c r="H3141">
        <v>100</v>
      </c>
      <c r="I3141" t="inlineStr">
        <is>
          <t>帽子</t>
        </is>
      </c>
      <c r="J3141" t="inlineStr">
        <is>
          <t>0.01</t>
        </is>
      </c>
      <c r="K3141"/>
      <c r="L3141" t="inlineStr">
        <is>
          <t>雪怪超市Snowmost的店</t>
        </is>
      </c>
      <c r="M3141">
        <v>23000</v>
      </c>
      <c r="N3141">
        <v>4.62</v>
      </c>
      <c r="O3141">
        <v>76000</v>
      </c>
      <c r="P3141" t="inlineStr">
        <is>
          <t>68b9b4f52773df0001cab2b3</t>
        </is>
      </c>
      <c r="Q3141" t="inlineStr">
        <is>
          <t>🚫重复</t>
        </is>
      </c>
      <c r="R3141" t="inlineStr">
        <is>
          <t>14周</t>
        </is>
      </c>
      <c r="S3141" t="inlineStr">
        <is>
          <t>0.70</t>
        </is>
      </c>
      <c r="T3141" t="inlineStr">
        <is>
          <t>服饰穿搭</t>
        </is>
      </c>
      <c r="U3141" t="inlineStr">
        <is>
          <t>配饰</t>
        </is>
      </c>
      <c r="V3141" s="3">
        <v>46112.78107638889</v>
      </c>
      <c r="W3141" t="inlineStr">
        <is>
          <t>2026-Q1</t>
        </is>
      </c>
    </row>
    <row r="3142" ht="25.5" customHeight="1">
      <c r="A3142" t="inlineStr">
        <is>
          <t>格茉/宅女同款可爱蝴蝶结棒球帽子女四季款透气鸭舌帽户外</t>
        </is>
      </c>
      <c r="B3142" t="inlineStr">
        <is>
          <t>recveTJWJNwF6H.jpg</t>
        </is>
      </c>
      <c r="C3142" s="2" t="str">
        <f>=HYPERLINK("https://xhslink.com/m/53sZnfdbIvp", "https://xhslink.com/m/53sZnfdbIvp")</f>
        <v>https://xhslink.com/m/53sZnfdbIvp</v>
      </c>
      <c r="D3142"/>
      <c r="E3142">
        <v>36000</v>
      </c>
      <c r="F3142">
        <v>49.9</v>
      </c>
      <c r="G3142">
        <v>29.9</v>
      </c>
      <c r="H3142">
        <v>100</v>
      </c>
      <c r="I3142" t="inlineStr">
        <is>
          <t>帽子</t>
        </is>
      </c>
      <c r="J3142" t="inlineStr">
        <is>
          <t>0.00</t>
        </is>
      </c>
      <c r="K3142"/>
      <c r="L3142" t="inlineStr">
        <is>
          <t>GEERMMOLL格茉的店</t>
        </is>
      </c>
      <c r="M3142">
        <v>14000</v>
      </c>
      <c r="N3142">
        <v>4.52</v>
      </c>
      <c r="O3142">
        <v>185000</v>
      </c>
      <c r="P3142" t="inlineStr">
        <is>
          <t>65e93e47e1eb440001bc5e6d</t>
        </is>
      </c>
      <c r="Q3142" t="inlineStr">
        <is>
          <t>🚫重复</t>
        </is>
      </c>
      <c r="R3142" t="inlineStr">
        <is>
          <t>14周</t>
        </is>
      </c>
      <c r="S3142" t="inlineStr">
        <is>
          <t>2.57</t>
        </is>
      </c>
      <c r="T3142" t="inlineStr">
        <is>
          <t>服饰穿搭</t>
        </is>
      </c>
      <c r="U3142" t="inlineStr">
        <is>
          <t>配饰</t>
        </is>
      </c>
      <c r="V3142" s="3">
        <v>46112.78107638889</v>
      </c>
      <c r="W3142" t="inlineStr">
        <is>
          <t>2026-Q1</t>
        </is>
      </c>
    </row>
    <row r="3143" ht="25.5" customHeight="1">
      <c r="A3143" t="inlineStr">
        <is>
          <t>格茉 定制宅女同款小蓝格棒球帽不规则格子显脸小</t>
        </is>
      </c>
      <c r="B3143" t="inlineStr">
        <is>
          <t>recveTJWJNWBDE.jpg</t>
        </is>
      </c>
      <c r="C3143" s="2" t="str">
        <f>=HYPERLINK("https://xhslink.com/m/97qOHI9FKI6", "https://xhslink.com/m/97qOHI9FKI6")</f>
        <v>https://xhslink.com/m/97qOHI9FKI6</v>
      </c>
      <c r="D3143"/>
      <c r="E3143">
        <v>7132</v>
      </c>
      <c r="F3143">
        <v>45.5</v>
      </c>
      <c r="G3143">
        <v>32.5</v>
      </c>
      <c r="H3143">
        <v>100</v>
      </c>
      <c r="I3143" t="inlineStr">
        <is>
          <t>帽子</t>
        </is>
      </c>
      <c r="J3143" t="inlineStr">
        <is>
          <t>0.01</t>
        </is>
      </c>
      <c r="K3143"/>
      <c r="L3143" t="inlineStr">
        <is>
          <t>GEERMMOLL格茉的店</t>
        </is>
      </c>
      <c r="M3143">
        <v>14000</v>
      </c>
      <c r="N3143">
        <v>4.52</v>
      </c>
      <c r="O3143">
        <v>185000</v>
      </c>
      <c r="P3143" t="inlineStr">
        <is>
          <t>681f011458da9f0001fd3222</t>
        </is>
      </c>
      <c r="Q3143" t="inlineStr">
        <is>
          <t>🚫重复</t>
        </is>
      </c>
      <c r="R3143" t="inlineStr">
        <is>
          <t>14周</t>
        </is>
      </c>
      <c r="S3143" t="inlineStr">
        <is>
          <t>0.51</t>
        </is>
      </c>
      <c r="T3143" t="inlineStr">
        <is>
          <t>服饰穿搭</t>
        </is>
      </c>
      <c r="U3143" t="inlineStr">
        <is>
          <t>配饰</t>
        </is>
      </c>
      <c r="V3143" s="3">
        <v>46112.78107638889</v>
      </c>
      <c r="W3143" t="inlineStr">
        <is>
          <t>2026-Q1</t>
        </is>
      </c>
    </row>
    <row r="3144" ht="25.5" customHeight="1">
      <c r="A3144" t="inlineStr">
        <is>
          <t>cute but psycho but cute | seenderella | 刺绣软顶纯棉棒球帽</t>
        </is>
      </c>
      <c r="B3144" t="inlineStr">
        <is>
          <t>recveTJWJNaC6v.jpg</t>
        </is>
      </c>
      <c r="C3144" s="2" t="str">
        <f>=HYPERLINK("https://xhslink.com/m/1mY5YYMvYMv", "https://xhslink.com/m/1mY5YYMvYMv")</f>
        <v>https://xhslink.com/m/1mY5YYMvYMv</v>
      </c>
      <c r="D3144"/>
      <c r="E3144">
        <v>3292</v>
      </c>
      <c r="F3144">
        <v>88</v>
      </c>
      <c r="G3144">
        <v>57.44</v>
      </c>
      <c r="H3144">
        <v>100</v>
      </c>
      <c r="I3144" t="inlineStr">
        <is>
          <t>帽子</t>
        </is>
      </c>
      <c r="J3144" t="inlineStr">
        <is>
          <t>0.03</t>
        </is>
      </c>
      <c r="K3144"/>
      <c r="L3144" t="inlineStr">
        <is>
          <t>seenderella的店</t>
        </is>
      </c>
      <c r="M3144">
        <v>4311</v>
      </c>
      <c r="N3144">
        <v>4.6</v>
      </c>
      <c r="O3144">
        <v>30000</v>
      </c>
      <c r="P3144" t="inlineStr">
        <is>
          <t>680c40334a46f900017518b1</t>
        </is>
      </c>
      <c r="Q3144" t="inlineStr">
        <is>
          <t>🚫重复</t>
        </is>
      </c>
      <c r="R3144" t="inlineStr">
        <is>
          <t>14周</t>
        </is>
      </c>
      <c r="S3144" t="inlineStr">
        <is>
          <t>0.76</t>
        </is>
      </c>
      <c r="T3144" t="inlineStr">
        <is>
          <t>服饰穿搭</t>
        </is>
      </c>
      <c r="U3144" t="inlineStr">
        <is>
          <t>配饰</t>
        </is>
      </c>
      <c r="V3144" s="3">
        <v>46112.78107638889</v>
      </c>
      <c r="W3144" t="inlineStr">
        <is>
          <t>2026-Q1</t>
        </is>
      </c>
    </row>
    <row r="3145" ht="25.5" customHeight="1">
      <c r="A3145" t="inlineStr">
        <is>
          <t>【橙子家】方圆脸素颜复古眼镜金属太阳镜显脸小平光镜时尚墨镜</t>
        </is>
      </c>
      <c r="B3145" t="inlineStr">
        <is>
          <t>recveTJWJNbsmO.jpg</t>
        </is>
      </c>
      <c r="C3145" s="2" t="str">
        <f>=HYPERLINK("https://xhslink.com/m/15sJstxHa1K", "https://xhslink.com/m/15sJstxHa1K")</f>
        <v>https://xhslink.com/m/15sJstxHa1K</v>
      </c>
      <c r="D3145"/>
      <c r="E3145">
        <v>40000</v>
      </c>
      <c r="F3145">
        <v>36.8</v>
      </c>
      <c r="G3145"/>
      <c r="H3145">
        <v>100</v>
      </c>
      <c r="I3145" t="inlineStr">
        <is>
          <t>墨镜</t>
        </is>
      </c>
      <c r="J3145" t="inlineStr">
        <is>
          <t>0.00</t>
        </is>
      </c>
      <c r="K3145"/>
      <c r="L3145" t="inlineStr">
        <is>
          <t>多肉脸橙子的店的店</t>
        </is>
      </c>
      <c r="M3145">
        <v>82000</v>
      </c>
      <c r="N3145">
        <v>4.49</v>
      </c>
      <c r="O3145">
        <v>1291000</v>
      </c>
      <c r="P3145" t="inlineStr">
        <is>
          <t>68f202a2becfcc0001ebc0f8</t>
        </is>
      </c>
      <c r="Q3145" t="inlineStr">
        <is>
          <t>🚫重复</t>
        </is>
      </c>
      <c r="R3145" t="inlineStr">
        <is>
          <t>14周</t>
        </is>
      </c>
      <c r="S3145" t="inlineStr">
        <is>
          <t>0.49</t>
        </is>
      </c>
      <c r="T3145" t="inlineStr">
        <is>
          <t>服饰穿搭</t>
        </is>
      </c>
      <c r="U3145" t="inlineStr">
        <is>
          <t>配饰</t>
        </is>
      </c>
      <c r="V3145" s="3">
        <v>46112.78107638889</v>
      </c>
      <c r="W3145" t="inlineStr">
        <is>
          <t>2026-Q1</t>
        </is>
      </c>
    </row>
    <row r="3146" ht="25.5" customHeight="1">
      <c r="A3146" t="inlineStr">
        <is>
          <t>赵露思同款耳钉莫桑钻耳钉通体s925银免摘螺丝养耳洞闪钻纯银耳钉</t>
        </is>
      </c>
      <c r="B3146" t="inlineStr">
        <is>
          <t>recveTJWJN7T3T.jpg</t>
        </is>
      </c>
      <c r="C3146" s="2" t="str">
        <f>=HYPERLINK("https://xhslink.com/m/5GGCbwEBJhG", "https://xhslink.com/m/5GGCbwEBJhG")</f>
        <v>https://xhslink.com/m/5GGCbwEBJhG</v>
      </c>
      <c r="D3146"/>
      <c r="E3146">
        <v>46000</v>
      </c>
      <c r="F3146">
        <v>129</v>
      </c>
      <c r="G3146">
        <v>99</v>
      </c>
      <c r="H3146">
        <v>100</v>
      </c>
      <c r="I3146" t="inlineStr">
        <is>
          <t>耳饰</t>
        </is>
      </c>
      <c r="J3146" t="inlineStr">
        <is>
          <t>0.00</t>
        </is>
      </c>
      <c r="K3146" t="inlineStr">
        <is>
          <t>🔥低粉爆款</t>
        </is>
      </c>
      <c r="L3146" t="inlineStr">
        <is>
          <t>王大金oh的店</t>
        </is>
      </c>
      <c r="M3146">
        <v>3454</v>
      </c>
      <c r="N3146">
        <v>4.68</v>
      </c>
      <c r="O3146">
        <v>59000</v>
      </c>
      <c r="P3146" t="inlineStr">
        <is>
          <t>67d98b5d9707490001b652f1</t>
        </is>
      </c>
      <c r="Q3146" t="inlineStr">
        <is>
          <t>🚫重复</t>
        </is>
      </c>
      <c r="R3146" t="inlineStr">
        <is>
          <t>14周</t>
        </is>
      </c>
      <c r="S3146" t="inlineStr">
        <is>
          <t>13.32</t>
        </is>
      </c>
      <c r="T3146" t="inlineStr">
        <is>
          <t>服饰穿搭</t>
        </is>
      </c>
      <c r="U3146" t="inlineStr">
        <is>
          <t>配饰</t>
        </is>
      </c>
      <c r="V3146" s="3">
        <v>46112.78107638889</v>
      </c>
      <c r="W3146" t="inlineStr">
        <is>
          <t>2026-Q1</t>
        </is>
      </c>
    </row>
    <row r="3147" ht="25.5" customHeight="1">
      <c r="A3147" t="inlineStr">
        <is>
          <t>2.0版「扎西德勒」藏式小众原创耳饰串珠耳环可改耳夹.沉羊手作</t>
        </is>
      </c>
      <c r="B3147" t="inlineStr">
        <is>
          <t>recveTJWJN4ImB.jpg</t>
        </is>
      </c>
      <c r="C3147" s="2" t="str">
        <f>=HYPERLINK("https://xhslink.com/m/ASfuVtNmOvQ", "https://xhslink.com/m/ASfuVtNmOvQ")</f>
        <v>https://xhslink.com/m/ASfuVtNmOvQ</v>
      </c>
      <c r="D3147"/>
      <c r="E3147">
        <v>6855</v>
      </c>
      <c r="F3147">
        <v>28</v>
      </c>
      <c r="G3147"/>
      <c r="H3147">
        <v>100</v>
      </c>
      <c r="I3147" t="inlineStr">
        <is>
          <t>耳饰</t>
        </is>
      </c>
      <c r="J3147" t="inlineStr">
        <is>
          <t>0.01</t>
        </is>
      </c>
      <c r="K3147"/>
      <c r="L3147" t="inlineStr">
        <is>
          <t>沉睡的毛利小羊｜沉羊手作的店</t>
        </is>
      </c>
      <c r="M3147">
        <v>82000</v>
      </c>
      <c r="N3147">
        <v>4.37</v>
      </c>
      <c r="O3147">
        <v>111000</v>
      </c>
      <c r="P3147" t="inlineStr">
        <is>
          <t>684d891f3aea5300018feb34</t>
        </is>
      </c>
      <c r="Q3147"/>
      <c r="R3147" t="inlineStr">
        <is>
          <t>14周</t>
        </is>
      </c>
      <c r="S3147" t="inlineStr">
        <is>
          <t>0.08</t>
        </is>
      </c>
      <c r="T3147" t="inlineStr">
        <is>
          <t>服饰穿搭</t>
        </is>
      </c>
      <c r="U3147" t="inlineStr">
        <is>
          <t>配饰</t>
        </is>
      </c>
      <c r="V3147" s="3">
        <v>46112.78107638889</v>
      </c>
      <c r="W3147" t="inlineStr">
        <is>
          <t>2026-Q1</t>
        </is>
      </c>
    </row>
    <row r="3148" ht="25.5" customHeight="1">
      <c r="A3148" t="inlineStr">
        <is>
          <t>8.6活口可调节手作戒指</t>
        </is>
      </c>
      <c r="B3148" t="inlineStr">
        <is>
          <t>recveTJWJNOoVX.jpg</t>
        </is>
      </c>
      <c r="C3148" s="2" t="str">
        <f>=HYPERLINK("https://xhslink.com/m/3Nv17GoOEqC", "https://xhslink.com/m/3Nv17GoOEqC")</f>
        <v>https://xhslink.com/m/3Nv17GoOEqC</v>
      </c>
      <c r="D3148"/>
      <c r="E3148">
        <v>11000</v>
      </c>
      <c r="F3148">
        <v>18</v>
      </c>
      <c r="G3148"/>
      <c r="H3148">
        <v>100</v>
      </c>
      <c r="I3148" t="inlineStr">
        <is>
          <t>戒指</t>
        </is>
      </c>
      <c r="J3148" t="inlineStr">
        <is>
          <t>0.01</t>
        </is>
      </c>
      <c r="K3148"/>
      <c r="L3148" t="inlineStr">
        <is>
          <t>佳佳的珠宝屋的店</t>
        </is>
      </c>
      <c r="M3148">
        <v>201000</v>
      </c>
      <c r="N3148">
        <v>4.33</v>
      </c>
      <c r="O3148">
        <v>314000</v>
      </c>
      <c r="P3148" t="inlineStr">
        <is>
          <t>64cf6f8ff6df3a00019655cb</t>
        </is>
      </c>
      <c r="Q3148" t="inlineStr">
        <is>
          <t>🚫重复</t>
        </is>
      </c>
      <c r="R3148" t="inlineStr">
        <is>
          <t>14周</t>
        </is>
      </c>
      <c r="S3148" t="inlineStr">
        <is>
          <t>0.05</t>
        </is>
      </c>
      <c r="T3148" t="inlineStr">
        <is>
          <t>服饰穿搭</t>
        </is>
      </c>
      <c r="U3148" t="inlineStr">
        <is>
          <t>配饰</t>
        </is>
      </c>
      <c r="V3148" s="3">
        <v>46112.78107638889</v>
      </c>
      <c r="W3148" t="inlineStr">
        <is>
          <t>2026-Q1</t>
        </is>
      </c>
    </row>
    <row r="3149" ht="25.5" customHeight="1">
      <c r="A3149" t="inlineStr">
        <is>
          <t>圆角节节收太阳伞女防紫外线遮阳伞折叠全自动雨伞学生晴雨两用</t>
        </is>
      </c>
      <c r="B3149" t="inlineStr">
        <is>
          <t>recveTJWJNrzdt.jpg</t>
        </is>
      </c>
      <c r="C3149" s="2" t="str">
        <f>=HYPERLINK("https://xhslink.com/m/mezODRGlMG", "https://xhslink.com/m/mezODRGlMG")</f>
        <v>https://xhslink.com/m/mezODRGlMG</v>
      </c>
      <c r="D3149"/>
      <c r="E3149">
        <v>18000</v>
      </c>
      <c r="F3149">
        <v>36.8</v>
      </c>
      <c r="G3149"/>
      <c r="H3149">
        <v>100</v>
      </c>
      <c r="I3149" t="inlineStr">
        <is>
          <t>伞</t>
        </is>
      </c>
      <c r="J3149" t="inlineStr">
        <is>
          <t>0.01</t>
        </is>
      </c>
      <c r="K3149" t="inlineStr">
        <is>
          <t>🔥低粉爆款</t>
        </is>
      </c>
      <c r="L3149" t="inlineStr">
        <is>
          <t>GoodKi的店</t>
        </is>
      </c>
      <c r="M3149">
        <v>2483</v>
      </c>
      <c r="N3149">
        <v>4.52</v>
      </c>
      <c r="O3149">
        <v>27000</v>
      </c>
      <c r="P3149" t="inlineStr">
        <is>
          <t>689045b686c0df00014fa6fb</t>
        </is>
      </c>
      <c r="Q3149" t="inlineStr">
        <is>
          <t>🚫重复</t>
        </is>
      </c>
      <c r="R3149" t="inlineStr">
        <is>
          <t>14周</t>
        </is>
      </c>
      <c r="S3149" t="inlineStr">
        <is>
          <t>7.25</t>
        </is>
      </c>
      <c r="T3149" t="inlineStr">
        <is>
          <t>家居生活</t>
        </is>
      </c>
      <c r="U3149" t="inlineStr">
        <is>
          <t>家居日用</t>
        </is>
      </c>
      <c r="V3149" s="3">
        <v>46112.78107638889</v>
      </c>
      <c r="W3149" t="inlineStr">
        <is>
          <t>2026-Q1</t>
        </is>
      </c>
    </row>
    <row r="3150" ht="25.5" customHeight="1">
      <c r="A3150" t="inlineStr">
        <is>
          <t>16骨晴雨两用彩胶遮阳伞防晒加固抗风加大折叠防紫外线木柄太阳伞</t>
        </is>
      </c>
      <c r="B3150" t="inlineStr">
        <is>
          <t>recveTJWJNDtWF.jpg</t>
        </is>
      </c>
      <c r="C3150" s="2" t="str">
        <f>=HYPERLINK("https://xhslink.com/m/2xBagPcu4lt", "https://xhslink.com/m/2xBagPcu4lt")</f>
        <v>https://xhslink.com/m/2xBagPcu4lt</v>
      </c>
      <c r="D3150"/>
      <c r="E3150">
        <v>11000</v>
      </c>
      <c r="F3150">
        <v>36.9</v>
      </c>
      <c r="G3150"/>
      <c r="H3150">
        <v>100</v>
      </c>
      <c r="I3150" t="inlineStr">
        <is>
          <t>伞</t>
        </is>
      </c>
      <c r="J3150" t="inlineStr">
        <is>
          <t>0.01</t>
        </is>
      </c>
      <c r="K3150" t="inlineStr">
        <is>
          <t>🔥低粉爆款</t>
        </is>
      </c>
      <c r="L3150" t="inlineStr">
        <is>
          <t>CITY的雨伞摊子的店</t>
        </is>
      </c>
      <c r="M3150">
        <v>3114</v>
      </c>
      <c r="N3150">
        <v>4.44</v>
      </c>
      <c r="O3150">
        <v>23000</v>
      </c>
      <c r="P3150" t="inlineStr">
        <is>
          <t>683294616fdc8e0001078c12</t>
        </is>
      </c>
      <c r="Q3150" t="inlineStr">
        <is>
          <t>🚫重复</t>
        </is>
      </c>
      <c r="R3150" t="inlineStr">
        <is>
          <t>14周</t>
        </is>
      </c>
      <c r="S3150" t="inlineStr">
        <is>
          <t>3.53</t>
        </is>
      </c>
      <c r="T3150" t="inlineStr">
        <is>
          <t>家居生活</t>
        </is>
      </c>
      <c r="U3150" t="inlineStr">
        <is>
          <t>家居日用</t>
        </is>
      </c>
      <c r="V3150" s="3">
        <v>46112.78107638889</v>
      </c>
      <c r="W3150" t="inlineStr">
        <is>
          <t>2026-Q1</t>
        </is>
      </c>
    </row>
    <row r="3151" ht="25.5" customHeight="1">
      <c r="A3151" t="inlineStr">
        <is>
          <t>家的角落 · 网红款拉斯克置物架小推车家饰软装收纳架厨房置物架零食</t>
        </is>
      </c>
      <c r="B3151" t="inlineStr">
        <is>
          <t>recveTJWJNpcpk.jpg</t>
        </is>
      </c>
      <c r="C3151" s="2" t="str">
        <f>=HYPERLINK("https://xhslink.com/m/6ZLM4Wbe0xA", "https://xhslink.com/m/6ZLM4Wbe0xA")</f>
        <v>https://xhslink.com/m/6ZLM4Wbe0xA</v>
      </c>
      <c r="D3151"/>
      <c r="E3151">
        <v>68000</v>
      </c>
      <c r="F3151">
        <v>99</v>
      </c>
      <c r="G3151">
        <v>79</v>
      </c>
      <c r="H3151">
        <v>100</v>
      </c>
      <c r="I3151" t="inlineStr">
        <is>
          <t>零食架</t>
        </is>
      </c>
      <c r="J3151" t="inlineStr">
        <is>
          <t>0.00</t>
        </is>
      </c>
      <c r="K3151"/>
      <c r="L3151" t="inlineStr">
        <is>
          <t>家的角落的店</t>
        </is>
      </c>
      <c r="M3151">
        <v>1008000</v>
      </c>
      <c r="N3151">
        <v>4.61</v>
      </c>
      <c r="O3151">
        <v>528000</v>
      </c>
      <c r="P3151" t="inlineStr">
        <is>
          <t>65649b82474aad0001c6ab76</t>
        </is>
      </c>
      <c r="Q3151" t="inlineStr">
        <is>
          <t>🚫重复</t>
        </is>
      </c>
      <c r="R3151" t="inlineStr">
        <is>
          <t>14周</t>
        </is>
      </c>
      <c r="S3151" t="inlineStr">
        <is>
          <t>0.07</t>
        </is>
      </c>
      <c r="T3151" t="inlineStr">
        <is>
          <t>家居生活</t>
        </is>
      </c>
      <c r="U3151" t="inlineStr">
        <is>
          <t>家居日用</t>
        </is>
      </c>
      <c r="V3151" s="3">
        <v>46112.78107638889</v>
      </c>
      <c r="W3151" t="inlineStr">
        <is>
          <t>2026-Q1</t>
        </is>
      </c>
    </row>
    <row r="3152" ht="25.5" customHeight="1">
      <c r="A3152" t="inlineStr">
        <is>
          <t>复古松紧腰抽绳显瘦拖地直筒阔腿休闲工装裤</t>
        </is>
      </c>
      <c r="B3152" t="inlineStr">
        <is>
          <t>recveTJWJNKK4o.jpg</t>
        </is>
      </c>
      <c r="C3152" s="2" t="str">
        <f>=HYPERLINK("https://xhslink.com/m/40IFYP8wVbQ", "https://xhslink.com/m/40IFYP8wVbQ")</f>
        <v>https://xhslink.com/m/40IFYP8wVbQ</v>
      </c>
      <c r="D3152"/>
      <c r="E3152">
        <v>6473</v>
      </c>
      <c r="F3152">
        <v>79.9</v>
      </c>
      <c r="G3152">
        <v>59.9</v>
      </c>
      <c r="H3152">
        <v>100</v>
      </c>
      <c r="I3152" t="inlineStr">
        <is>
          <t>裤子</t>
        </is>
      </c>
      <c r="J3152" t="inlineStr">
        <is>
          <t>0.02</t>
        </is>
      </c>
      <c r="K3152" t="inlineStr">
        <is>
          <t>🔥低粉爆款</t>
        </is>
      </c>
      <c r="L3152" t="inlineStr">
        <is>
          <t>林柒柒nice的店</t>
        </is>
      </c>
      <c r="M3152">
        <v>148</v>
      </c>
      <c r="N3152">
        <v>4.62</v>
      </c>
      <c r="O3152">
        <v>7212</v>
      </c>
      <c r="P3152" t="inlineStr">
        <is>
          <t>67d5e3c451259e00158918fa</t>
        </is>
      </c>
      <c r="Q3152"/>
      <c r="R3152" t="inlineStr">
        <is>
          <t>14周</t>
        </is>
      </c>
      <c r="S3152" t="inlineStr">
        <is>
          <t>43.74</t>
        </is>
      </c>
      <c r="T3152" t="inlineStr">
        <is>
          <t>服饰穿搭</t>
        </is>
      </c>
      <c r="U3152" t="inlineStr">
        <is>
          <t>女装</t>
        </is>
      </c>
      <c r="V3152" s="3">
        <v>46112.78107638889</v>
      </c>
      <c r="W3152" t="inlineStr">
        <is>
          <t>2026-Q1</t>
        </is>
      </c>
    </row>
    <row r="3153" ht="25.5" customHeight="1">
      <c r="A3153" t="inlineStr">
        <is>
          <t>月如烟缎面阔腿裤</t>
        </is>
      </c>
      <c r="B3153" t="inlineStr">
        <is>
          <t>recveTJWJNXQra.jpg</t>
        </is>
      </c>
      <c r="C3153" s="2" t="str">
        <f>=HYPERLINK("https://xhslink.com/m/pXXdWi24pZ", "https://xhslink.com/m/pXXdWi24pZ")</f>
        <v>https://xhslink.com/m/pXXdWi24pZ</v>
      </c>
      <c r="D3153"/>
      <c r="E3153">
        <v>7933</v>
      </c>
      <c r="F3153">
        <v>159</v>
      </c>
      <c r="G3153"/>
      <c r="H3153">
        <v>100</v>
      </c>
      <c r="I3153" t="inlineStr">
        <is>
          <t>裤子</t>
        </is>
      </c>
      <c r="J3153" t="inlineStr">
        <is>
          <t>0.01</t>
        </is>
      </c>
      <c r="K3153"/>
      <c r="L3153" t="inlineStr">
        <is>
          <t>知之章旗舰店</t>
        </is>
      </c>
      <c r="M3153">
        <v>82000</v>
      </c>
      <c r="N3153">
        <v>4.68</v>
      </c>
      <c r="O3153">
        <v>312000</v>
      </c>
      <c r="P3153" t="inlineStr">
        <is>
          <t>687e1701ebefca0001a353b0</t>
        </is>
      </c>
      <c r="Q3153" t="inlineStr">
        <is>
          <t>🚫重复</t>
        </is>
      </c>
      <c r="R3153" t="inlineStr">
        <is>
          <t>14周</t>
        </is>
      </c>
      <c r="S3153" t="inlineStr">
        <is>
          <t>0.10</t>
        </is>
      </c>
      <c r="T3153" t="inlineStr">
        <is>
          <t>服饰穿搭</t>
        </is>
      </c>
      <c r="U3153" t="inlineStr">
        <is>
          <t>女装</t>
        </is>
      </c>
      <c r="V3153" s="3">
        <v>46112.78107638889</v>
      </c>
      <c r="W3153" t="inlineStr">
        <is>
          <t>2026-Q1</t>
        </is>
      </c>
    </row>
    <row r="3154" ht="25.5" customHeight="1">
      <c r="A3154" t="inlineStr">
        <is>
          <t>美式复古风工装裤女秋夏高腰阔腿裤卫裤直筒可束脚抽绳速干运动裤</t>
        </is>
      </c>
      <c r="B3154" t="inlineStr">
        <is>
          <t>recveTJWJNUIWv.jpg</t>
        </is>
      </c>
      <c r="C3154" s="2" t="str">
        <f>=HYPERLINK("https://xhslink.com/m/9d1HMUbVetN", "https://xhslink.com/m/9d1HMUbVetN")</f>
        <v>https://xhslink.com/m/9d1HMUbVetN</v>
      </c>
      <c r="D3154"/>
      <c r="E3154">
        <v>5139</v>
      </c>
      <c r="F3154">
        <v>135</v>
      </c>
      <c r="G3154">
        <v>89</v>
      </c>
      <c r="H3154">
        <v>100</v>
      </c>
      <c r="I3154" t="inlineStr">
        <is>
          <t>裤子</t>
        </is>
      </c>
      <c r="J3154" t="inlineStr">
        <is>
          <t>0.02</t>
        </is>
      </c>
      <c r="K3154" t="inlineStr">
        <is>
          <t>🔥低粉爆款</t>
        </is>
      </c>
      <c r="L3154" t="inlineStr">
        <is>
          <t>StarMuse糕糕的店</t>
        </is>
      </c>
      <c r="M3154">
        <v>148</v>
      </c>
      <c r="N3154">
        <v>4.43</v>
      </c>
      <c r="O3154">
        <v>5615</v>
      </c>
      <c r="P3154" t="inlineStr">
        <is>
          <t>68679e321a0f1300154c53da</t>
        </is>
      </c>
      <c r="Q3154" t="inlineStr">
        <is>
          <t>🚫重复</t>
        </is>
      </c>
      <c r="R3154" t="inlineStr">
        <is>
          <t>14周</t>
        </is>
      </c>
      <c r="S3154" t="inlineStr">
        <is>
          <t>34.72</t>
        </is>
      </c>
      <c r="T3154" t="inlineStr">
        <is>
          <t>服饰穿搭</t>
        </is>
      </c>
      <c r="U3154" t="inlineStr">
        <is>
          <t>女装</t>
        </is>
      </c>
      <c r="V3154" s="3">
        <v>46112.78107638889</v>
      </c>
      <c r="W3154" t="inlineStr">
        <is>
          <t>2026-Q1</t>
        </is>
      </c>
    </row>
    <row r="3155" ht="25.5" customHeight="1">
      <c r="A3155" t="inlineStr">
        <is>
          <t>黄吉吉 · 白色肌理感西装裤女2026春夏高腰阔腿裤显瘦慵懒风神裤运动休闲裤</t>
        </is>
      </c>
      <c r="B3155" t="inlineStr">
        <is>
          <t>recveTJWJN3o2T.jpg</t>
        </is>
      </c>
      <c r="C3155" s="2" t="str">
        <f>=HYPERLINK("https://xhslink.com/m/APfwwnp5bV2", "https://xhslink.com/m/APfwwnp5bV2")</f>
        <v>https://xhslink.com/m/APfwwnp5bV2</v>
      </c>
      <c r="D3155"/>
      <c r="E3155">
        <v>37000</v>
      </c>
      <c r="F3155">
        <v>109.9</v>
      </c>
      <c r="G3155">
        <v>79.9</v>
      </c>
      <c r="H3155">
        <v>100</v>
      </c>
      <c r="I3155" t="inlineStr">
        <is>
          <t>裤子</t>
        </is>
      </c>
      <c r="J3155" t="inlineStr">
        <is>
          <t>0.00</t>
        </is>
      </c>
      <c r="K3155"/>
      <c r="L3155" t="inlineStr">
        <is>
          <t>黄吉吉的店</t>
        </is>
      </c>
      <c r="M3155">
        <v>1321000</v>
      </c>
      <c r="N3155">
        <v>4.38</v>
      </c>
      <c r="O3155">
        <v>2743000</v>
      </c>
      <c r="P3155" t="inlineStr">
        <is>
          <t>67c6b518e4ed1f00156853f7</t>
        </is>
      </c>
      <c r="Q3155" t="inlineStr">
        <is>
          <t>🚫重复</t>
        </is>
      </c>
      <c r="R3155" t="inlineStr">
        <is>
          <t>14周</t>
        </is>
      </c>
      <c r="S3155" t="inlineStr">
        <is>
          <t>0.03</t>
        </is>
      </c>
      <c r="T3155" t="inlineStr">
        <is>
          <t>服饰穿搭</t>
        </is>
      </c>
      <c r="U3155" t="inlineStr">
        <is>
          <t>女装</t>
        </is>
      </c>
      <c r="V3155" s="3">
        <v>46112.78107638889</v>
      </c>
      <c r="W3155" t="inlineStr">
        <is>
          <t>2026-Q1</t>
        </is>
      </c>
    </row>
    <row r="3156" ht="25.5" customHeight="1">
      <c r="A3156" t="inlineStr">
        <is>
          <t>倾曼雅 · 美式运动裤女秋冬新款中腰休闲宽松阔腿卫裤直筒显瘦休闲裤</t>
        </is>
      </c>
      <c r="B3156" t="inlineStr">
        <is>
          <t>recveTJWJNdxeR.jpg</t>
        </is>
      </c>
      <c r="C3156" s="2" t="str">
        <f>=HYPERLINK("https://xhslink.com/m/4PTjvsY4WKT", "https://xhslink.com/m/4PTjvsY4WKT")</f>
        <v>https://xhslink.com/m/4PTjvsY4WKT</v>
      </c>
      <c r="D3156"/>
      <c r="E3156">
        <v>176000</v>
      </c>
      <c r="F3156">
        <v>79.9</v>
      </c>
      <c r="G3156"/>
      <c r="H3156">
        <v>100</v>
      </c>
      <c r="I3156" t="inlineStr">
        <is>
          <t>裤子</t>
        </is>
      </c>
      <c r="J3156" t="inlineStr">
        <is>
          <t>0.00</t>
        </is>
      </c>
      <c r="K3156"/>
      <c r="L3156" t="inlineStr">
        <is>
          <t>小鹅学姐穿搭的店的店</t>
        </is>
      </c>
      <c r="M3156">
        <v>229000</v>
      </c>
      <c r="N3156">
        <v>4.39</v>
      </c>
      <c r="O3156">
        <v>1492000</v>
      </c>
      <c r="P3156" t="inlineStr">
        <is>
          <t>652b656325e9bc00010d9469</t>
        </is>
      </c>
      <c r="Q3156" t="inlineStr">
        <is>
          <t>🚫重复</t>
        </is>
      </c>
      <c r="R3156" t="inlineStr">
        <is>
          <t>14周</t>
        </is>
      </c>
      <c r="S3156" t="inlineStr">
        <is>
          <t>0.77</t>
        </is>
      </c>
      <c r="T3156" t="inlineStr">
        <is>
          <t>服饰穿搭</t>
        </is>
      </c>
      <c r="U3156" t="inlineStr">
        <is>
          <t>女装</t>
        </is>
      </c>
      <c r="V3156" s="3">
        <v>46112.78107638889</v>
      </c>
      <c r="W3156" t="inlineStr">
        <is>
          <t>2026-Q1</t>
        </is>
      </c>
    </row>
    <row r="3157" ht="25.5" customHeight="1">
      <c r="A3157" t="inlineStr">
        <is>
          <t>【原版！】【超飒的阔腿裙裤！！】走路带风大重量垂坠阔腿裤裙裤</t>
        </is>
      </c>
      <c r="B3157" t="inlineStr">
        <is>
          <t>recveTJWJNFdsq.jpg</t>
        </is>
      </c>
      <c r="C3157" s="2" t="str">
        <f>=HYPERLINK("https://xhslink.com/m/9bLJNycrL8i", "https://xhslink.com/m/9bLJNycrL8i")</f>
        <v>https://xhslink.com/m/9bLJNycrL8i</v>
      </c>
      <c r="D3157"/>
      <c r="E3157">
        <v>34000</v>
      </c>
      <c r="F3157">
        <v>129</v>
      </c>
      <c r="G3157">
        <v>99</v>
      </c>
      <c r="H3157">
        <v>100</v>
      </c>
      <c r="I3157" t="inlineStr">
        <is>
          <t>裤子</t>
        </is>
      </c>
      <c r="J3157" t="inlineStr">
        <is>
          <t>0.00</t>
        </is>
      </c>
      <c r="K3157" t="inlineStr">
        <is>
          <t>🔥低粉爆款</t>
        </is>
      </c>
      <c r="L3157" t="inlineStr">
        <is>
          <t>阿简简Jane的店</t>
        </is>
      </c>
      <c r="M3157">
        <v>11000</v>
      </c>
      <c r="N3157">
        <v>4.68</v>
      </c>
      <c r="O3157">
        <v>50000</v>
      </c>
      <c r="P3157" t="inlineStr">
        <is>
          <t>68c261590201ec0001e538ea</t>
        </is>
      </c>
      <c r="Q3157"/>
      <c r="R3157" t="inlineStr">
        <is>
          <t>14周</t>
        </is>
      </c>
      <c r="S3157" t="inlineStr">
        <is>
          <t>3.09</t>
        </is>
      </c>
      <c r="T3157" t="inlineStr">
        <is>
          <t>服饰穿搭</t>
        </is>
      </c>
      <c r="U3157" t="inlineStr">
        <is>
          <t>女装</t>
        </is>
      </c>
      <c r="V3157" s="3">
        <v>46112.78107638889</v>
      </c>
      <c r="W3157" t="inlineStr">
        <is>
          <t>2026-Q1</t>
        </is>
      </c>
    </row>
    <row r="3158" ht="25.5" customHeight="1">
      <c r="A3158" t="inlineStr">
        <is>
          <t>送腰带！设计感西装裤女高腰垂感显瘦小个子阔腿拖地长裤</t>
        </is>
      </c>
      <c r="B3158" t="inlineStr">
        <is>
          <t>recveTJWJN6c3x.jpg</t>
        </is>
      </c>
      <c r="C3158" s="2" t="str">
        <f>=HYPERLINK("https://xhslink.com/m/8XtILMw6GAP", "https://xhslink.com/m/8XtILMw6GAP")</f>
        <v>https://xhslink.com/m/8XtILMw6GAP</v>
      </c>
      <c r="D3158"/>
      <c r="E3158">
        <v>22000</v>
      </c>
      <c r="F3158">
        <v>109</v>
      </c>
      <c r="G3158">
        <v>88.9</v>
      </c>
      <c r="H3158">
        <v>100</v>
      </c>
      <c r="I3158" t="inlineStr">
        <is>
          <t>裤子</t>
        </is>
      </c>
      <c r="J3158" t="inlineStr">
        <is>
          <t>0.00</t>
        </is>
      </c>
      <c r="K3158"/>
      <c r="L3158" t="inlineStr">
        <is>
          <t>叮叮爱穿搭的店</t>
        </is>
      </c>
      <c r="M3158">
        <v>17000</v>
      </c>
      <c r="N3158">
        <v>4.49</v>
      </c>
      <c r="O3158">
        <v>137000</v>
      </c>
      <c r="P3158" t="inlineStr">
        <is>
          <t>68074eaaf857b60001cda231</t>
        </is>
      </c>
      <c r="Q3158" t="inlineStr">
        <is>
          <t>🚫重复</t>
        </is>
      </c>
      <c r="R3158" t="inlineStr">
        <is>
          <t>14周</t>
        </is>
      </c>
      <c r="S3158" t="inlineStr">
        <is>
          <t>1.29</t>
        </is>
      </c>
      <c r="T3158" t="inlineStr">
        <is>
          <t>服饰穿搭</t>
        </is>
      </c>
      <c r="U3158" t="inlineStr">
        <is>
          <t>女装</t>
        </is>
      </c>
      <c r="V3158" s="3">
        <v>46112.78107638889</v>
      </c>
      <c r="W3158" t="inlineStr">
        <is>
          <t>2026-Q1</t>
        </is>
      </c>
    </row>
    <row r="3159" ht="25.5" customHeight="1">
      <c r="A3159" t="inlineStr">
        <is>
          <t>【下个路口】高弹力复古爆款春夏直筒牛仔裤女2026新款显瘦窄版裤</t>
        </is>
      </c>
      <c r="B3159" t="inlineStr">
        <is>
          <t>recveTJWJNUhY5.jpg</t>
        </is>
      </c>
      <c r="C3159" s="2" t="str">
        <f>=HYPERLINK("https://xhslink.com/m/4yFznMgwOdg", "https://xhslink.com/m/4yFznMgwOdg")</f>
        <v>https://xhslink.com/m/4yFznMgwOdg</v>
      </c>
      <c r="D3159"/>
      <c r="E3159">
        <v>87000</v>
      </c>
      <c r="F3159">
        <v>79.99</v>
      </c>
      <c r="G3159"/>
      <c r="H3159">
        <v>100</v>
      </c>
      <c r="I3159" t="inlineStr">
        <is>
          <t>裤子</t>
        </is>
      </c>
      <c r="J3159" t="inlineStr">
        <is>
          <t>0.00</t>
        </is>
      </c>
      <c r="K3159"/>
      <c r="L3159" t="inlineStr">
        <is>
          <t>李空空的店</t>
        </is>
      </c>
      <c r="M3159">
        <v>102000</v>
      </c>
      <c r="N3159">
        <v>4.6</v>
      </c>
      <c r="O3159">
        <v>557000</v>
      </c>
      <c r="P3159" t="inlineStr">
        <is>
          <t>653bd8fc44c20200010a0f7b</t>
        </is>
      </c>
      <c r="Q3159" t="inlineStr">
        <is>
          <t>🚫重复</t>
        </is>
      </c>
      <c r="R3159" t="inlineStr">
        <is>
          <t>14周</t>
        </is>
      </c>
      <c r="S3159" t="inlineStr">
        <is>
          <t>0.85</t>
        </is>
      </c>
      <c r="T3159" t="inlineStr">
        <is>
          <t>服饰穿搭</t>
        </is>
      </c>
      <c r="U3159" t="inlineStr">
        <is>
          <t>女装</t>
        </is>
      </c>
      <c r="V3159" s="3">
        <v>46112.78107638889</v>
      </c>
      <c r="W3159" t="inlineStr">
        <is>
          <t>2026-Q1</t>
        </is>
      </c>
    </row>
    <row r="3160" ht="25.5" customHeight="1">
      <c r="A3160" t="inlineStr">
        <is>
          <t>深灰色微喇运动卫裤女春季2026新款高腰显瘦喇叭裤子休闲垂感女裤</t>
        </is>
      </c>
      <c r="B3160" t="inlineStr">
        <is>
          <t>recveTJWJNqGYY.jpg</t>
        </is>
      </c>
      <c r="C3160" s="2" t="str">
        <f>=HYPERLINK("https://xhslink.com/m/4rjriT5LHn5", "https://xhslink.com/m/4rjriT5LHn5")</f>
        <v>https://xhslink.com/m/4rjriT5LHn5</v>
      </c>
      <c r="D3160"/>
      <c r="E3160">
        <v>109000</v>
      </c>
      <c r="F3160">
        <v>114.2</v>
      </c>
      <c r="G3160">
        <v>79.9</v>
      </c>
      <c r="H3160">
        <v>100</v>
      </c>
      <c r="I3160" t="inlineStr">
        <is>
          <t>裤子</t>
        </is>
      </c>
      <c r="J3160" t="inlineStr">
        <is>
          <t>0.00</t>
        </is>
      </c>
      <c r="K3160"/>
      <c r="L3160" t="inlineStr">
        <is>
          <t>小薯崽的店</t>
        </is>
      </c>
      <c r="M3160">
        <v>43000</v>
      </c>
      <c r="N3160">
        <v>4.57</v>
      </c>
      <c r="O3160">
        <v>339000</v>
      </c>
      <c r="P3160" t="inlineStr">
        <is>
          <t>6763f6efc6c20a00019c589d</t>
        </is>
      </c>
      <c r="Q3160" t="inlineStr">
        <is>
          <t>🚫重复</t>
        </is>
      </c>
      <c r="R3160" t="inlineStr">
        <is>
          <t>14周</t>
        </is>
      </c>
      <c r="S3160" t="inlineStr">
        <is>
          <t>2.53</t>
        </is>
      </c>
      <c r="T3160" t="inlineStr">
        <is>
          <t>服饰穿搭</t>
        </is>
      </c>
      <c r="U3160" t="inlineStr">
        <is>
          <t>女装</t>
        </is>
      </c>
      <c r="V3160" s="3">
        <v>46112.78107638889</v>
      </c>
      <c r="W3160" t="inlineStr">
        <is>
          <t>2026-Q1</t>
        </is>
      </c>
    </row>
    <row r="3161" ht="25.5" customHeight="1">
      <c r="A3161" t="inlineStr">
        <is>
          <t>美式工装裤春夏季爬山穿搭女装复古休闲直筒阔腿裤高腰休闲运动裤</t>
        </is>
      </c>
      <c r="B3161" t="inlineStr">
        <is>
          <t>recveTJWJNNweP.jpg</t>
        </is>
      </c>
      <c r="C3161" s="2" t="str">
        <f>=HYPERLINK("https://xhslink.com/m/28SsNyrQBOr", "https://xhslink.com/m/28SsNyrQBOr")</f>
        <v>https://xhslink.com/m/28SsNyrQBOr</v>
      </c>
      <c r="D3161"/>
      <c r="E3161">
        <v>23000</v>
      </c>
      <c r="F3161">
        <v>89</v>
      </c>
      <c r="G3161">
        <v>88</v>
      </c>
      <c r="H3161">
        <v>100</v>
      </c>
      <c r="I3161" t="inlineStr">
        <is>
          <t>裤子</t>
        </is>
      </c>
      <c r="J3161" t="inlineStr">
        <is>
          <t>0.00</t>
        </is>
      </c>
      <c r="K3161" t="inlineStr">
        <is>
          <t>🔥低粉爆款</t>
        </is>
      </c>
      <c r="L3161" t="inlineStr">
        <is>
          <t>允樱儿的店</t>
        </is>
      </c>
      <c r="M3161">
        <v>981</v>
      </c>
      <c r="N3161">
        <v>4.66</v>
      </c>
      <c r="O3161">
        <v>37000</v>
      </c>
      <c r="P3161" t="inlineStr">
        <is>
          <t>6641c478f315270001bcfe8c</t>
        </is>
      </c>
      <c r="Q3161" t="inlineStr">
        <is>
          <t>🚫重复</t>
        </is>
      </c>
      <c r="R3161" t="inlineStr">
        <is>
          <t>14周</t>
        </is>
      </c>
      <c r="S3161" t="inlineStr">
        <is>
          <t>23.45</t>
        </is>
      </c>
      <c r="T3161" t="inlineStr">
        <is>
          <t>服饰穿搭</t>
        </is>
      </c>
      <c r="U3161" t="inlineStr">
        <is>
          <t>女装</t>
        </is>
      </c>
      <c r="V3161" s="3">
        <v>46112.78107638889</v>
      </c>
      <c r="W3161" t="inlineStr">
        <is>
          <t>2026-Q1</t>
        </is>
      </c>
    </row>
    <row r="3162" ht="25.5" customHeight="1">
      <c r="A3162" t="inlineStr">
        <is>
          <t>梨茉~浅色春夏小个子显瘦窄版直筒阔腿牛仔裤女拖地垂感直筒裤</t>
        </is>
      </c>
      <c r="B3162" t="inlineStr">
        <is>
          <t>recveTJWJNko8J.jpg</t>
        </is>
      </c>
      <c r="C3162" s="2" t="str">
        <f>=HYPERLINK("https://xhslink.com/m/3UFBoAeragf", "https://xhslink.com/m/3UFBoAeragf")</f>
        <v>https://xhslink.com/m/3UFBoAeragf</v>
      </c>
      <c r="D3162"/>
      <c r="E3162">
        <v>53000</v>
      </c>
      <c r="F3162">
        <v>116</v>
      </c>
      <c r="G3162">
        <v>98</v>
      </c>
      <c r="H3162">
        <v>100</v>
      </c>
      <c r="I3162" t="inlineStr">
        <is>
          <t>裤子</t>
        </is>
      </c>
      <c r="J3162" t="inlineStr">
        <is>
          <t>0.00</t>
        </is>
      </c>
      <c r="K3162" t="inlineStr">
        <is>
          <t>🔥低粉爆款</t>
        </is>
      </c>
      <c r="L3162" t="inlineStr">
        <is>
          <t>梨茉STUDIO👖的店</t>
        </is>
      </c>
      <c r="M3162">
        <v>3141</v>
      </c>
      <c r="N3162">
        <v>4.57</v>
      </c>
      <c r="O3162">
        <v>62000</v>
      </c>
      <c r="P3162" t="inlineStr">
        <is>
          <t>67231129534325000188c989</t>
        </is>
      </c>
      <c r="Q3162" t="inlineStr">
        <is>
          <t>🚫重复</t>
        </is>
      </c>
      <c r="R3162" t="inlineStr">
        <is>
          <t>14周</t>
        </is>
      </c>
      <c r="S3162" t="inlineStr">
        <is>
          <t>16.87</t>
        </is>
      </c>
      <c r="T3162" t="inlineStr">
        <is>
          <t>服饰穿搭</t>
        </is>
      </c>
      <c r="U3162" t="inlineStr">
        <is>
          <t>女装</t>
        </is>
      </c>
      <c r="V3162" s="3">
        <v>46112.78107638889</v>
      </c>
      <c r="W3162" t="inlineStr">
        <is>
          <t>2026-Q1</t>
        </is>
      </c>
    </row>
    <row r="3163" ht="25.5" customHeight="1">
      <c r="A3163" t="inlineStr">
        <is>
          <t>白色亚麻窄版阔腿裤女2025夏季新薄款高腰显瘦宽松透气拖地长裤子</t>
        </is>
      </c>
      <c r="B3163" t="inlineStr">
        <is>
          <t>recveTJWJNhqso.jpg</t>
        </is>
      </c>
      <c r="C3163" s="2" t="str">
        <f>=HYPERLINK("https://xhslink.com/m/6VqpmyIWvj0", "https://xhslink.com/m/6VqpmyIWvj0")</f>
        <v>https://xhslink.com/m/6VqpmyIWvj0</v>
      </c>
      <c r="D3163"/>
      <c r="E3163">
        <v>45000</v>
      </c>
      <c r="F3163">
        <v>199</v>
      </c>
      <c r="G3163">
        <v>158</v>
      </c>
      <c r="H3163">
        <v>100</v>
      </c>
      <c r="I3163" t="inlineStr">
        <is>
          <t>裤子</t>
        </is>
      </c>
      <c r="J3163" t="inlineStr">
        <is>
          <t>0.00</t>
        </is>
      </c>
      <c r="K3163"/>
      <c r="L3163" t="inlineStr">
        <is>
          <t>superliuliu女装的店</t>
        </is>
      </c>
      <c r="M3163">
        <v>16000</v>
      </c>
      <c r="N3163">
        <v>4.69</v>
      </c>
      <c r="O3163">
        <v>106000</v>
      </c>
      <c r="P3163" t="inlineStr">
        <is>
          <t>6850f1960da50d00010255ef</t>
        </is>
      </c>
      <c r="Q3163"/>
      <c r="R3163" t="inlineStr">
        <is>
          <t>14周</t>
        </is>
      </c>
      <c r="S3163" t="inlineStr">
        <is>
          <t>2.81</t>
        </is>
      </c>
      <c r="T3163" t="inlineStr">
        <is>
          <t>服饰穿搭</t>
        </is>
      </c>
      <c r="U3163" t="inlineStr">
        <is>
          <t>女装</t>
        </is>
      </c>
      <c r="V3163" s="3">
        <v>46112.78107638889</v>
      </c>
      <c r="W3163" t="inlineStr">
        <is>
          <t>2026-Q1</t>
        </is>
      </c>
    </row>
    <row r="3164" ht="25.5" customHeight="1">
      <c r="A3164" t="inlineStr">
        <is>
          <t>高腰垂感美式直筒休闲拖地长裤子宽松卫裤</t>
        </is>
      </c>
      <c r="B3164" t="inlineStr">
        <is>
          <t>recveTJWJNzf5h.jpg</t>
        </is>
      </c>
      <c r="C3164" s="2" t="str">
        <f>=HYPERLINK("https://xhslink.com/m/JSwe19zMZJ", "https://xhslink.com/m/JSwe19zMZJ")</f>
        <v>https://xhslink.com/m/JSwe19zMZJ</v>
      </c>
      <c r="D3164"/>
      <c r="E3164">
        <v>77000</v>
      </c>
      <c r="F3164">
        <v>68.9</v>
      </c>
      <c r="G3164">
        <v>48.9</v>
      </c>
      <c r="H3164">
        <v>100</v>
      </c>
      <c r="I3164" t="inlineStr">
        <is>
          <t>裤子</t>
        </is>
      </c>
      <c r="J3164" t="inlineStr">
        <is>
          <t>0.00</t>
        </is>
      </c>
      <c r="K3164" t="inlineStr">
        <is>
          <t>🔥低粉爆款</t>
        </is>
      </c>
      <c r="L3164" t="inlineStr">
        <is>
          <t>向野欣的店</t>
        </is>
      </c>
      <c r="M3164">
        <v>20000</v>
      </c>
      <c r="N3164">
        <v>4.5</v>
      </c>
      <c r="O3164">
        <v>349000</v>
      </c>
      <c r="P3164" t="inlineStr">
        <is>
          <t>66dec8733fe7ee0001fa6c8f</t>
        </is>
      </c>
      <c r="Q3164"/>
      <c r="R3164" t="inlineStr">
        <is>
          <t>14周</t>
        </is>
      </c>
      <c r="S3164" t="inlineStr">
        <is>
          <t>3.85</t>
        </is>
      </c>
      <c r="T3164" t="inlineStr">
        <is>
          <t>服饰穿搭</t>
        </is>
      </c>
      <c r="U3164" t="inlineStr">
        <is>
          <t>女装</t>
        </is>
      </c>
      <c r="V3164" s="3">
        <v>46112.78107638889</v>
      </c>
      <c r="W3164" t="inlineStr">
        <is>
          <t>2026-Q1</t>
        </is>
      </c>
    </row>
    <row r="3165" ht="25.5" customHeight="1">
      <c r="A3165" t="inlineStr">
        <is>
          <t>YLY美式降落伞工装裤女2025秋季新款港风宽松工装裤</t>
        </is>
      </c>
      <c r="B3165" t="inlineStr">
        <is>
          <t>recveTJWJN71cI.jpg</t>
        </is>
      </c>
      <c r="C3165" s="2" t="str">
        <f>=HYPERLINK("https://xhslink.com/m/92xbi9ZPqPM", "https://xhslink.com/m/92xbi9ZPqPM")</f>
        <v>https://xhslink.com/m/92xbi9ZPqPM</v>
      </c>
      <c r="D3165"/>
      <c r="E3165">
        <v>15000</v>
      </c>
      <c r="F3165">
        <v>89.99</v>
      </c>
      <c r="G3165">
        <v>69.99</v>
      </c>
      <c r="H3165">
        <v>100</v>
      </c>
      <c r="I3165" t="inlineStr">
        <is>
          <t>裤子</t>
        </is>
      </c>
      <c r="J3165" t="inlineStr">
        <is>
          <t>0.01</t>
        </is>
      </c>
      <c r="K3165" t="inlineStr">
        <is>
          <t>🔥低粉爆款</t>
        </is>
      </c>
      <c r="L3165" t="inlineStr">
        <is>
          <t>小土豆灰灰的店</t>
        </is>
      </c>
      <c r="M3165">
        <v>989</v>
      </c>
      <c r="N3165">
        <v>4.57</v>
      </c>
      <c r="O3165">
        <v>15000</v>
      </c>
      <c r="P3165" t="inlineStr">
        <is>
          <t>68231ba4a5e39b00153f8115</t>
        </is>
      </c>
      <c r="Q3165"/>
      <c r="R3165" t="inlineStr">
        <is>
          <t>14周</t>
        </is>
      </c>
      <c r="S3165" t="inlineStr">
        <is>
          <t>15.17</t>
        </is>
      </c>
      <c r="T3165" t="inlineStr">
        <is>
          <t>家居生活</t>
        </is>
      </c>
      <c r="U3165" t="inlineStr">
        <is>
          <t>家居日用</t>
        </is>
      </c>
      <c r="V3165" s="3">
        <v>46112.78107638889</v>
      </c>
      <c r="W3165" t="inlineStr">
        <is>
          <t>2026-Q1</t>
        </is>
      </c>
    </row>
    <row r="3166" ht="25.5" customHeight="1">
      <c r="A3166" t="inlineStr">
        <is>
          <t>灰色阔腿裤女秋季2025新款窄版高腰宽松垂感休闲瑜伽运动卫裤</t>
        </is>
      </c>
      <c r="B3166" t="inlineStr">
        <is>
          <t>recveTJWJNVykh.jpg</t>
        </is>
      </c>
      <c r="C3166" s="2" t="str">
        <f>=HYPERLINK("https://xhslink.com/m/8RQo5deJQNt", "https://xhslink.com/m/8RQo5deJQNt")</f>
        <v>https://xhslink.com/m/8RQo5deJQNt</v>
      </c>
      <c r="D3166"/>
      <c r="E3166">
        <v>33000</v>
      </c>
      <c r="F3166">
        <v>99</v>
      </c>
      <c r="G3166"/>
      <c r="H3166">
        <v>100</v>
      </c>
      <c r="I3166" t="inlineStr">
        <is>
          <t>裤子</t>
        </is>
      </c>
      <c r="J3166" t="inlineStr">
        <is>
          <t>0.00</t>
        </is>
      </c>
      <c r="K3166" t="inlineStr">
        <is>
          <t>🔥低粉爆款</t>
        </is>
      </c>
      <c r="L3166" t="inlineStr">
        <is>
          <t>酸奶玉米汤的店</t>
        </is>
      </c>
      <c r="M3166">
        <v>2326</v>
      </c>
      <c r="N3166">
        <v>4.68</v>
      </c>
      <c r="O3166">
        <v>51000</v>
      </c>
      <c r="P3166" t="inlineStr">
        <is>
          <t>68f6de013f37a90001c245e7</t>
        </is>
      </c>
      <c r="Q3166" t="inlineStr">
        <is>
          <t>🚫重复</t>
        </is>
      </c>
      <c r="R3166" t="inlineStr">
        <is>
          <t>14周</t>
        </is>
      </c>
      <c r="S3166" t="inlineStr">
        <is>
          <t>14.19</t>
        </is>
      </c>
      <c r="T3166" t="inlineStr">
        <is>
          <t>服饰穿搭</t>
        </is>
      </c>
      <c r="U3166" t="inlineStr">
        <is>
          <t>女装</t>
        </is>
      </c>
      <c r="V3166" s="3">
        <v>46112.78107638889</v>
      </c>
      <c r="W3166" t="inlineStr">
        <is>
          <t>2026-Q1</t>
        </is>
      </c>
    </row>
    <row r="3167" ht="25.5" customHeight="1">
      <c r="A3167" t="inlineStr">
        <is>
          <t>美式复古高腰宽松阔腿裤垂感直筒七分裤牛仔裤女夏</t>
        </is>
      </c>
      <c r="B3167" t="inlineStr">
        <is>
          <t>recveTJWJNjqX4.jpg</t>
        </is>
      </c>
      <c r="C3167" s="2" t="str">
        <f>=HYPERLINK("https://xhslink.com/m/6BMGgB4SHrU", "https://xhslink.com/m/6BMGgB4SHrU")</f>
        <v>https://xhslink.com/m/6BMGgB4SHrU</v>
      </c>
      <c r="D3167"/>
      <c r="E3167">
        <v>16000</v>
      </c>
      <c r="F3167">
        <v>116.47</v>
      </c>
      <c r="G3167">
        <v>98</v>
      </c>
      <c r="H3167">
        <v>100</v>
      </c>
      <c r="I3167" t="inlineStr">
        <is>
          <t>裤子</t>
        </is>
      </c>
      <c r="J3167" t="inlineStr">
        <is>
          <t>0.01</t>
        </is>
      </c>
      <c r="K3167"/>
      <c r="L3167" t="inlineStr">
        <is>
          <t>OKOKOK的店</t>
        </is>
      </c>
      <c r="M3167">
        <v>233000</v>
      </c>
      <c r="N3167">
        <v>4.51</v>
      </c>
      <c r="O3167">
        <v>1125000</v>
      </c>
      <c r="P3167" t="inlineStr">
        <is>
          <t>67faa45204afe30001ec6532</t>
        </is>
      </c>
      <c r="Q3167" t="inlineStr">
        <is>
          <t>🚫重复</t>
        </is>
      </c>
      <c r="R3167" t="inlineStr">
        <is>
          <t>14周</t>
        </is>
      </c>
      <c r="S3167" t="inlineStr">
        <is>
          <t>0.07</t>
        </is>
      </c>
      <c r="T3167" t="inlineStr">
        <is>
          <t>服饰穿搭</t>
        </is>
      </c>
      <c r="U3167" t="inlineStr">
        <is>
          <t>女装</t>
        </is>
      </c>
      <c r="V3167" s="3">
        <v>46112.78107638889</v>
      </c>
      <c r="W3167" t="inlineStr">
        <is>
          <t>2026-Q1</t>
        </is>
      </c>
    </row>
    <row r="3168" ht="25.5" customHeight="1">
      <c r="A3168" t="inlineStr">
        <is>
          <t>春季新款运动裤女2026窄版显瘦宽松阔腿直筒百搭高腰休闲裤</t>
        </is>
      </c>
      <c r="B3168" t="inlineStr">
        <is>
          <t>recveTJWJNOrHQ.jpg</t>
        </is>
      </c>
      <c r="C3168" s="2" t="str">
        <f>=HYPERLINK("https://xhslink.com/m/9FdHkkjmhBS", "https://xhslink.com/m/9FdHkkjmhBS")</f>
        <v>https://xhslink.com/m/9FdHkkjmhBS</v>
      </c>
      <c r="D3168"/>
      <c r="E3168">
        <v>9779</v>
      </c>
      <c r="F3168">
        <v>89</v>
      </c>
      <c r="G3168"/>
      <c r="H3168">
        <v>100</v>
      </c>
      <c r="I3168" t="inlineStr">
        <is>
          <t>裤子</t>
        </is>
      </c>
      <c r="J3168" t="inlineStr">
        <is>
          <t>0.01</t>
        </is>
      </c>
      <c r="K3168" t="inlineStr">
        <is>
          <t>🔥低粉爆款</t>
        </is>
      </c>
      <c r="L3168" t="inlineStr">
        <is>
          <t>酸奶玉米汤的店</t>
        </is>
      </c>
      <c r="M3168">
        <v>2326</v>
      </c>
      <c r="N3168">
        <v>4.68</v>
      </c>
      <c r="O3168">
        <v>51000</v>
      </c>
      <c r="P3168" t="inlineStr">
        <is>
          <t>689e8f9233fcf8000150448a</t>
        </is>
      </c>
      <c r="Q3168" t="inlineStr">
        <is>
          <t>🚫重复</t>
        </is>
      </c>
      <c r="R3168" t="inlineStr">
        <is>
          <t>14周</t>
        </is>
      </c>
      <c r="S3168" t="inlineStr">
        <is>
          <t>4.20</t>
        </is>
      </c>
      <c r="T3168" t="inlineStr">
        <is>
          <t>服饰穿搭</t>
        </is>
      </c>
      <c r="U3168" t="inlineStr">
        <is>
          <t>女装</t>
        </is>
      </c>
      <c r="V3168" s="3">
        <v>46112.78107638889</v>
      </c>
      <c r="W3168" t="inlineStr">
        <is>
          <t>2026-Q1</t>
        </is>
      </c>
    </row>
    <row r="3169" ht="25.5" customHeight="1">
      <c r="A3169" t="inlineStr">
        <is>
          <t>2026春季新款显瘦黑色窄版直筒牛仔裤女高腰显瘦简约百搭阔腿裤子</t>
        </is>
      </c>
      <c r="B3169" t="inlineStr">
        <is>
          <t>recveTJWJNc2MS.jpg</t>
        </is>
      </c>
      <c r="C3169" s="2" t="str">
        <f>=HYPERLINK("https://xhslink.com/m/7C1Pi1REAnb", "https://xhslink.com/m/7C1Pi1REAnb")</f>
        <v>https://xhslink.com/m/7C1Pi1REAnb</v>
      </c>
      <c r="D3169"/>
      <c r="E3169">
        <v>71000</v>
      </c>
      <c r="F3169">
        <v>109.9</v>
      </c>
      <c r="G3169">
        <v>89.9</v>
      </c>
      <c r="H3169">
        <v>100</v>
      </c>
      <c r="I3169" t="inlineStr">
        <is>
          <t>裤子</t>
        </is>
      </c>
      <c r="J3169" t="inlineStr">
        <is>
          <t>0.00</t>
        </is>
      </c>
      <c r="K3169" t="inlineStr">
        <is>
          <t>🔥低粉爆款</t>
        </is>
      </c>
      <c r="L3169" t="inlineStr">
        <is>
          <t>余一一私服的店</t>
        </is>
      </c>
      <c r="M3169">
        <v>8889</v>
      </c>
      <c r="N3169">
        <v>4.53</v>
      </c>
      <c r="O3169">
        <v>117000</v>
      </c>
      <c r="P3169" t="inlineStr">
        <is>
          <t>65f7e7996b92310001c6ea5b</t>
        </is>
      </c>
      <c r="Q3169" t="inlineStr">
        <is>
          <t>🚫重复</t>
        </is>
      </c>
      <c r="R3169" t="inlineStr">
        <is>
          <t>14周</t>
        </is>
      </c>
      <c r="S3169" t="inlineStr">
        <is>
          <t>7.99</t>
        </is>
      </c>
      <c r="T3169" t="inlineStr">
        <is>
          <t>服饰穿搭</t>
        </is>
      </c>
      <c r="U3169" t="inlineStr">
        <is>
          <t>女装</t>
        </is>
      </c>
      <c r="V3169" s="3">
        <v>46112.78107638889</v>
      </c>
      <c r="W3169" t="inlineStr">
        <is>
          <t>2026-Q1</t>
        </is>
      </c>
    </row>
    <row r="3170" ht="25.5" customHeight="1">
      <c r="A3170" t="inlineStr">
        <is>
          <t>简约风小众高腰显瘦弹力裤小个子微喇女时尚宽松直筒拖地喇叭裤子</t>
        </is>
      </c>
      <c r="B3170" t="inlineStr">
        <is>
          <t>recveTJWJNvv0T.jpg</t>
        </is>
      </c>
      <c r="C3170" s="2" t="str">
        <f>=HYPERLINK("https://xhslink.com/m/52L1dDWqoUx", "https://xhslink.com/m/52L1dDWqoUx")</f>
        <v>https://xhslink.com/m/52L1dDWqoUx</v>
      </c>
      <c r="D3170"/>
      <c r="E3170">
        <v>20000</v>
      </c>
      <c r="F3170">
        <v>129.99</v>
      </c>
      <c r="G3170">
        <v>109.99</v>
      </c>
      <c r="H3170">
        <v>100</v>
      </c>
      <c r="I3170" t="inlineStr">
        <is>
          <t>裤子</t>
        </is>
      </c>
      <c r="J3170" t="inlineStr">
        <is>
          <t>0.01</t>
        </is>
      </c>
      <c r="K3170" t="inlineStr">
        <is>
          <t>🔥低粉爆款</t>
        </is>
      </c>
      <c r="L3170" t="inlineStr">
        <is>
          <t>余一一服饰的店</t>
        </is>
      </c>
      <c r="M3170">
        <v>5729</v>
      </c>
      <c r="N3170">
        <v>4.52</v>
      </c>
      <c r="O3170">
        <v>67000</v>
      </c>
      <c r="P3170" t="inlineStr">
        <is>
          <t>6774046e915f750015d0567c</t>
        </is>
      </c>
      <c r="Q3170" t="inlineStr">
        <is>
          <t>🚫重复</t>
        </is>
      </c>
      <c r="R3170" t="inlineStr">
        <is>
          <t>14周</t>
        </is>
      </c>
      <c r="S3170" t="inlineStr">
        <is>
          <t>3.49</t>
        </is>
      </c>
      <c r="T3170" t="inlineStr">
        <is>
          <t>服饰穿搭</t>
        </is>
      </c>
      <c r="U3170" t="inlineStr">
        <is>
          <t>女装</t>
        </is>
      </c>
      <c r="V3170" s="3">
        <v>46112.78107638889</v>
      </c>
      <c r="W3170" t="inlineStr">
        <is>
          <t>2026-Q1</t>
        </is>
      </c>
    </row>
    <row r="3171" ht="25.5" customHeight="1">
      <c r="A3171" t="inlineStr">
        <is>
          <t>黑色微喇牛仔裤女2026 春季新款高腰宽松显瘦弹力不贴腿喇叭裤</t>
        </is>
      </c>
      <c r="B3171" t="inlineStr">
        <is>
          <t>recveTJWJNmNqw.jpg</t>
        </is>
      </c>
      <c r="C3171" s="2" t="str">
        <f>=HYPERLINK("https://xhslink.com/m/69wy20TaLbv", "https://xhslink.com/m/69wy20TaLbv")</f>
        <v>https://xhslink.com/m/69wy20TaLbv</v>
      </c>
      <c r="D3171"/>
      <c r="E3171">
        <v>17000</v>
      </c>
      <c r="F3171">
        <v>88</v>
      </c>
      <c r="G3171"/>
      <c r="H3171">
        <v>100</v>
      </c>
      <c r="I3171" t="inlineStr">
        <is>
          <t>裤子</t>
        </is>
      </c>
      <c r="J3171" t="inlineStr">
        <is>
          <t>0.01</t>
        </is>
      </c>
      <c r="K3171" t="inlineStr">
        <is>
          <t>🔥低粉爆款</t>
        </is>
      </c>
      <c r="L3171" t="inlineStr">
        <is>
          <t>小菜耶的店</t>
        </is>
      </c>
      <c r="M3171">
        <v>3991</v>
      </c>
      <c r="N3171">
        <v>4.66</v>
      </c>
      <c r="O3171">
        <v>51000</v>
      </c>
      <c r="P3171" t="inlineStr">
        <is>
          <t>673c7c374f0ec7000130ebb8</t>
        </is>
      </c>
      <c r="Q3171" t="inlineStr">
        <is>
          <t>🚫重复</t>
        </is>
      </c>
      <c r="R3171" t="inlineStr">
        <is>
          <t>14周</t>
        </is>
      </c>
      <c r="S3171" t="inlineStr">
        <is>
          <t>4.26</t>
        </is>
      </c>
      <c r="T3171" t="inlineStr">
        <is>
          <t>服饰穿搭</t>
        </is>
      </c>
      <c r="U3171" t="inlineStr">
        <is>
          <t>女装</t>
        </is>
      </c>
      <c r="V3171" s="3">
        <v>46112.78107638889</v>
      </c>
      <c r="W3171" t="inlineStr">
        <is>
          <t>2026-Q1</t>
        </is>
      </c>
    </row>
    <row r="3172" ht="25.5" customHeight="1">
      <c r="A3172" t="inlineStr">
        <is>
          <t>OKOKOK·高腰阔腿牛仔裤女2026春季新款流行显瘦垂感直筒裤</t>
        </is>
      </c>
      <c r="B3172" t="inlineStr">
        <is>
          <t>recveTJWJNG8tX.jpg</t>
        </is>
      </c>
      <c r="C3172" s="2" t="str">
        <f>=HYPERLINK("https://xhslink.com/m/Alr8iLqXugv", "https://xhslink.com/m/Alr8iLqXugv")</f>
        <v>https://xhslink.com/m/Alr8iLqXugv</v>
      </c>
      <c r="D3172"/>
      <c r="E3172">
        <v>5004</v>
      </c>
      <c r="F3172">
        <v>118</v>
      </c>
      <c r="G3172">
        <v>99</v>
      </c>
      <c r="H3172">
        <v>100</v>
      </c>
      <c r="I3172" t="inlineStr">
        <is>
          <t>裤子</t>
        </is>
      </c>
      <c r="J3172" t="inlineStr">
        <is>
          <t>0.02</t>
        </is>
      </c>
      <c r="K3172"/>
      <c r="L3172" t="inlineStr">
        <is>
          <t>OKOKOK的店</t>
        </is>
      </c>
      <c r="M3172">
        <v>233000</v>
      </c>
      <c r="N3172">
        <v>4.51</v>
      </c>
      <c r="O3172">
        <v>1125000</v>
      </c>
      <c r="P3172" t="inlineStr">
        <is>
          <t>697b5e2e3067f400016d9ffe</t>
        </is>
      </c>
      <c r="Q3172" t="inlineStr">
        <is>
          <t>🚫重复</t>
        </is>
      </c>
      <c r="R3172" t="inlineStr">
        <is>
          <t>14周</t>
        </is>
      </c>
      <c r="S3172" t="inlineStr">
        <is>
          <t>0.02</t>
        </is>
      </c>
      <c r="T3172" t="inlineStr">
        <is>
          <t>服饰穿搭</t>
        </is>
      </c>
      <c r="U3172" t="inlineStr">
        <is>
          <t>女装</t>
        </is>
      </c>
      <c r="V3172" s="3">
        <v>46112.78107638889</v>
      </c>
      <c r="W3172" t="inlineStr">
        <is>
          <t>2026-Q1</t>
        </is>
      </c>
    </row>
    <row r="3173" ht="25.5" customHeight="1">
      <c r="A3173" t="inlineStr">
        <is>
          <t>白色175高个子高腰显瘦显高弹力直筒修身喇叭裤微喇牛仔裤女春季</t>
        </is>
      </c>
      <c r="B3173" t="inlineStr">
        <is>
          <t>recveTJWJNT166.jpg</t>
        </is>
      </c>
      <c r="C3173" s="2" t="str">
        <f>=HYPERLINK("https://xhslink.com/m/63dKBzzHzZ3", "https://xhslink.com/m/63dKBzzHzZ3")</f>
        <v>https://xhslink.com/m/63dKBzzHzZ3</v>
      </c>
      <c r="D3173"/>
      <c r="E3173">
        <v>11000</v>
      </c>
      <c r="F3173">
        <v>109</v>
      </c>
      <c r="G3173">
        <v>89</v>
      </c>
      <c r="H3173">
        <v>100</v>
      </c>
      <c r="I3173" t="inlineStr">
        <is>
          <t>裤子</t>
        </is>
      </c>
      <c r="J3173" t="inlineStr">
        <is>
          <t>0.01</t>
        </is>
      </c>
      <c r="K3173"/>
      <c r="L3173" t="inlineStr">
        <is>
          <t>六六吃不胖的店</t>
        </is>
      </c>
      <c r="M3173">
        <v>5339</v>
      </c>
      <c r="N3173">
        <v>4.48</v>
      </c>
      <c r="O3173">
        <v>64000</v>
      </c>
      <c r="P3173" t="inlineStr">
        <is>
          <t>67d3c50d2af7ec0015956060</t>
        </is>
      </c>
      <c r="Q3173" t="inlineStr">
        <is>
          <t>🚫重复</t>
        </is>
      </c>
      <c r="R3173" t="inlineStr">
        <is>
          <t>14周</t>
        </is>
      </c>
      <c r="S3173" t="inlineStr">
        <is>
          <t>2.06</t>
        </is>
      </c>
      <c r="T3173" t="inlineStr">
        <is>
          <t>服饰穿搭</t>
        </is>
      </c>
      <c r="U3173" t="inlineStr">
        <is>
          <t>女装</t>
        </is>
      </c>
      <c r="V3173" s="3">
        <v>46112.78107638889</v>
      </c>
      <c r="W3173" t="inlineStr">
        <is>
          <t>2026-Q1</t>
        </is>
      </c>
    </row>
    <row r="3174" ht="25.5" customHeight="1">
      <c r="A3174" t="inlineStr">
        <is>
          <t>实穿主义九分喇叭裤（弹力好）</t>
        </is>
      </c>
      <c r="B3174" t="inlineStr">
        <is>
          <t>recveTJWJNDrnx.jpg</t>
        </is>
      </c>
      <c r="C3174" s="2" t="str">
        <f>=HYPERLINK("https://xhslink.com/m/1AqwZslMzwV", "https://xhslink.com/m/1AqwZslMzwV")</f>
        <v>https://xhslink.com/m/1AqwZslMzwV</v>
      </c>
      <c r="D3174"/>
      <c r="E3174">
        <v>23000</v>
      </c>
      <c r="F3174">
        <v>178</v>
      </c>
      <c r="G3174"/>
      <c r="H3174">
        <v>100</v>
      </c>
      <c r="I3174" t="inlineStr">
        <is>
          <t>裤子</t>
        </is>
      </c>
      <c r="J3174" t="inlineStr">
        <is>
          <t>0.00</t>
        </is>
      </c>
      <c r="K3174" t="inlineStr">
        <is>
          <t>🔥低粉爆款</t>
        </is>
      </c>
      <c r="L3174" t="inlineStr">
        <is>
          <t>玛嘉烈的店</t>
        </is>
      </c>
      <c r="M3174">
        <v>7337</v>
      </c>
      <c r="N3174">
        <v>4.63</v>
      </c>
      <c r="O3174">
        <v>34000</v>
      </c>
      <c r="P3174" t="inlineStr">
        <is>
          <t>66c9963df611260001860459</t>
        </is>
      </c>
      <c r="Q3174" t="inlineStr">
        <is>
          <t>🚫重复</t>
        </is>
      </c>
      <c r="R3174" t="inlineStr">
        <is>
          <t>14周</t>
        </is>
      </c>
      <c r="S3174" t="inlineStr">
        <is>
          <t>3.13</t>
        </is>
      </c>
      <c r="T3174" t="inlineStr">
        <is>
          <t>服饰穿搭</t>
        </is>
      </c>
      <c r="U3174" t="inlineStr">
        <is>
          <t>女装</t>
        </is>
      </c>
      <c r="V3174" s="3">
        <v>46112.78107638889</v>
      </c>
      <c r="W3174" t="inlineStr">
        <is>
          <t>2026-Q1</t>
        </is>
      </c>
    </row>
    <row r="3175" ht="25.5" customHeight="1">
      <c r="A3175" t="inlineStr">
        <is>
          <t>条纹抽绳松紧腰设计花边休闲裤女175高个子通勤百搭宽松阔腿长裤</t>
        </is>
      </c>
      <c r="B3175" t="inlineStr">
        <is>
          <t>recveTJWJNR7VT.jpg</t>
        </is>
      </c>
      <c r="C3175" s="2" t="str">
        <f>=HYPERLINK("https://xhslink.com/m/AqVApx49dFG", "https://xhslink.com/m/AqVApx49dFG")</f>
        <v>https://xhslink.com/m/AqVApx49dFG</v>
      </c>
      <c r="D3175"/>
      <c r="E3175">
        <v>2559</v>
      </c>
      <c r="F3175">
        <v>139</v>
      </c>
      <c r="G3175">
        <v>99</v>
      </c>
      <c r="H3175">
        <v>100</v>
      </c>
      <c r="I3175" t="inlineStr">
        <is>
          <t>裤子</t>
        </is>
      </c>
      <c r="J3175" t="inlineStr">
        <is>
          <t>0.04</t>
        </is>
      </c>
      <c r="K3175"/>
      <c r="L3175" t="inlineStr">
        <is>
          <t>170高妹去哪了！都进来看看的店</t>
        </is>
      </c>
      <c r="M3175">
        <v>22000</v>
      </c>
      <c r="N3175">
        <v>4.57</v>
      </c>
      <c r="O3175">
        <v>85000</v>
      </c>
      <c r="P3175" t="inlineStr">
        <is>
          <t>683317e1d5fe8c00013a5f35</t>
        </is>
      </c>
      <c r="Q3175"/>
      <c r="R3175" t="inlineStr">
        <is>
          <t>14周</t>
        </is>
      </c>
      <c r="S3175" t="inlineStr">
        <is>
          <t>0.12</t>
        </is>
      </c>
      <c r="T3175" t="inlineStr">
        <is>
          <t>服饰穿搭</t>
        </is>
      </c>
      <c r="U3175" t="inlineStr">
        <is>
          <t>女装</t>
        </is>
      </c>
      <c r="V3175" s="3">
        <v>46112.78107638889</v>
      </c>
      <c r="W3175" t="inlineStr">
        <is>
          <t>2026-Q1</t>
        </is>
      </c>
    </row>
    <row r="3176" ht="25.5" customHeight="1">
      <c r="A3176" t="inlineStr">
        <is>
          <t>复古高腰牛仔裤女2026新款微喇长裤显瘦垂感阔腿休闲直筒裤小个子</t>
        </is>
      </c>
      <c r="B3176" t="inlineStr">
        <is>
          <t>recveTJWJNJBLr.jpg</t>
        </is>
      </c>
      <c r="C3176" s="2" t="str">
        <f>=HYPERLINK("https://xhslink.com/m/2JjJ1jM2f8f", "https://xhslink.com/m/2JjJ1jM2f8f")</f>
        <v>https://xhslink.com/m/2JjJ1jM2f8f</v>
      </c>
      <c r="D3176"/>
      <c r="E3176">
        <v>16000</v>
      </c>
      <c r="F3176">
        <v>139.9</v>
      </c>
      <c r="G3176">
        <v>109.9</v>
      </c>
      <c r="H3176">
        <v>100</v>
      </c>
      <c r="I3176" t="inlineStr">
        <is>
          <t>裤子</t>
        </is>
      </c>
      <c r="J3176" t="inlineStr">
        <is>
          <t>0.01</t>
        </is>
      </c>
      <c r="K3176" t="inlineStr">
        <is>
          <t>🔥低粉爆款</t>
        </is>
      </c>
      <c r="L3176" t="inlineStr">
        <is>
          <t>幸运小财精的店</t>
        </is>
      </c>
      <c r="M3176">
        <v>1763</v>
      </c>
      <c r="N3176">
        <v>4.62</v>
      </c>
      <c r="O3176">
        <v>34000</v>
      </c>
      <c r="P3176" t="inlineStr">
        <is>
          <t>68d39ebad6d2a60001b5d487</t>
        </is>
      </c>
      <c r="Q3176" t="inlineStr">
        <is>
          <t>🚫重复</t>
        </is>
      </c>
      <c r="R3176" t="inlineStr">
        <is>
          <t>14周</t>
        </is>
      </c>
      <c r="S3176" t="inlineStr">
        <is>
          <t>9.08</t>
        </is>
      </c>
      <c r="T3176" t="inlineStr">
        <is>
          <t>服饰穿搭</t>
        </is>
      </c>
      <c r="U3176" t="inlineStr">
        <is>
          <t>女装</t>
        </is>
      </c>
      <c r="V3176" s="3">
        <v>46112.78107638889</v>
      </c>
      <c r="W3176" t="inlineStr">
        <is>
          <t>2026-Q1</t>
        </is>
      </c>
    </row>
    <row r="3177" ht="25.5" customHeight="1">
      <c r="A3177" t="inlineStr">
        <is>
          <t>【摩天轮】浅蓝色牛仔裤 ~阔腿裤子女2025春季新款宽松显瘦垂坠感</t>
        </is>
      </c>
      <c r="B3177" t="inlineStr">
        <is>
          <t>recveTJWJNT04h.jpg</t>
        </is>
      </c>
      <c r="C3177" s="2" t="str">
        <f>=HYPERLINK("https://xhslink.com/m/9YrK0YqdCHJ", "https://xhslink.com/m/9YrK0YqdCHJ")</f>
        <v>https://xhslink.com/m/9YrK0YqdCHJ</v>
      </c>
      <c r="D3177"/>
      <c r="E3177">
        <v>5656</v>
      </c>
      <c r="F3177">
        <v>89.9</v>
      </c>
      <c r="G3177">
        <v>79.9</v>
      </c>
      <c r="H3177">
        <v>100</v>
      </c>
      <c r="I3177" t="inlineStr">
        <is>
          <t>裤子</t>
        </is>
      </c>
      <c r="J3177" t="inlineStr">
        <is>
          <t>0.02</t>
        </is>
      </c>
      <c r="K3177"/>
      <c r="L3177" t="inlineStr">
        <is>
          <t>苏玥玥小个子穿搭的店</t>
        </is>
      </c>
      <c r="M3177">
        <v>9680</v>
      </c>
      <c r="N3177">
        <v>4.63</v>
      </c>
      <c r="O3177">
        <v>127000</v>
      </c>
      <c r="P3177" t="inlineStr">
        <is>
          <t>681395c070bae10001d68050</t>
        </is>
      </c>
      <c r="Q3177" t="inlineStr">
        <is>
          <t>🚫重复</t>
        </is>
      </c>
      <c r="R3177" t="inlineStr">
        <is>
          <t>14周</t>
        </is>
      </c>
      <c r="S3177" t="inlineStr">
        <is>
          <t>0.58</t>
        </is>
      </c>
      <c r="T3177" t="inlineStr">
        <is>
          <t>服饰穿搭</t>
        </is>
      </c>
      <c r="U3177" t="inlineStr">
        <is>
          <t>女装</t>
        </is>
      </c>
      <c r="V3177" s="3">
        <v>46112.78107638889</v>
      </c>
      <c r="W3177" t="inlineStr">
        <is>
          <t>2026-Q1</t>
        </is>
      </c>
    </row>
    <row r="3178" ht="25.5" customHeight="1">
      <c r="A3178" t="inlineStr">
        <is>
          <t>宽腰头糯米裤女秋冬新款高腰垂感慵懒风阔腿裤</t>
        </is>
      </c>
      <c r="B3178" t="inlineStr">
        <is>
          <t>recveTJWJNgAmV.jpg</t>
        </is>
      </c>
      <c r="C3178" s="2" t="str">
        <f>=HYPERLINK("https://xhslink.com/m/AkpcwlMmadw", "https://xhslink.com/m/AkpcwlMmadw")</f>
        <v>https://xhslink.com/m/AkpcwlMmadw</v>
      </c>
      <c r="D3178"/>
      <c r="E3178">
        <v>10000</v>
      </c>
      <c r="F3178">
        <v>69.9</v>
      </c>
      <c r="G3178">
        <v>39.9</v>
      </c>
      <c r="H3178">
        <v>100</v>
      </c>
      <c r="I3178" t="inlineStr">
        <is>
          <t>裤子</t>
        </is>
      </c>
      <c r="J3178" t="inlineStr">
        <is>
          <t>0.01</t>
        </is>
      </c>
      <c r="K3178"/>
      <c r="L3178" t="inlineStr">
        <is>
          <t>夏野桃服饰的店</t>
        </is>
      </c>
      <c r="M3178">
        <v>9261</v>
      </c>
      <c r="N3178">
        <v>4.5</v>
      </c>
      <c r="O3178">
        <v>220000</v>
      </c>
      <c r="P3178" t="inlineStr">
        <is>
          <t>68b010a76f3f720001a7d1a7</t>
        </is>
      </c>
      <c r="Q3178" t="inlineStr">
        <is>
          <t>🚫重复</t>
        </is>
      </c>
      <c r="R3178" t="inlineStr">
        <is>
          <t>14周</t>
        </is>
      </c>
      <c r="S3178" t="inlineStr">
        <is>
          <t>1.08</t>
        </is>
      </c>
      <c r="T3178" t="inlineStr">
        <is>
          <t>服饰穿搭</t>
        </is>
      </c>
      <c r="U3178" t="inlineStr">
        <is>
          <t>女装</t>
        </is>
      </c>
      <c r="V3178" s="3">
        <v>46112.78107638889</v>
      </c>
      <c r="W3178" t="inlineStr">
        <is>
          <t>2026-Q1</t>
        </is>
      </c>
    </row>
    <row r="3179" ht="25.5" customHeight="1">
      <c r="A3179" t="inlineStr">
        <is>
          <t>显瘦舒服的春秋裤子垂坠感铜氨丝阔腿裤通勤小个子莫代尔神裤</t>
        </is>
      </c>
      <c r="B3179" t="inlineStr">
        <is>
          <t>recveTJWJNILB3.jpg</t>
        </is>
      </c>
      <c r="C3179" s="2" t="str">
        <f>=HYPERLINK("https://xhslink.com/m/7iLbLw4xpli", "https://xhslink.com/m/7iLbLw4xpli")</f>
        <v>https://xhslink.com/m/7iLbLw4xpli</v>
      </c>
      <c r="D3179"/>
      <c r="E3179">
        <v>33000</v>
      </c>
      <c r="F3179">
        <v>168</v>
      </c>
      <c r="G3179"/>
      <c r="H3179">
        <v>100</v>
      </c>
      <c r="I3179" t="inlineStr">
        <is>
          <t>裤子</t>
        </is>
      </c>
      <c r="J3179" t="inlineStr">
        <is>
          <t>0.00</t>
        </is>
      </c>
      <c r="K3179" t="inlineStr">
        <is>
          <t>🔥低粉爆款</t>
        </is>
      </c>
      <c r="L3179" t="inlineStr">
        <is>
          <t>绮思 Studio的店</t>
        </is>
      </c>
      <c r="M3179">
        <v>1297</v>
      </c>
      <c r="N3179">
        <v>4.63</v>
      </c>
      <c r="O3179">
        <v>35000</v>
      </c>
      <c r="P3179" t="inlineStr">
        <is>
          <t>6900a57342726100017882c3</t>
        </is>
      </c>
      <c r="Q3179" t="inlineStr">
        <is>
          <t>🚫重复</t>
        </is>
      </c>
      <c r="R3179" t="inlineStr">
        <is>
          <t>14周</t>
        </is>
      </c>
      <c r="S3179" t="inlineStr">
        <is>
          <t>25.44</t>
        </is>
      </c>
      <c r="T3179" t="inlineStr">
        <is>
          <t>服饰穿搭</t>
        </is>
      </c>
      <c r="U3179" t="inlineStr">
        <is>
          <t>女装</t>
        </is>
      </c>
      <c r="V3179" s="3">
        <v>46112.78107638889</v>
      </c>
      <c r="W3179" t="inlineStr">
        <is>
          <t>2026-Q1</t>
        </is>
      </c>
    </row>
    <row r="3180" ht="25.5" customHeight="1">
      <c r="A3180" t="inlineStr">
        <is>
          <t>【大米饭】万能百搭王直筒束脚两穿纯棉工装裤运动休闲长裤</t>
        </is>
      </c>
      <c r="B3180" t="inlineStr">
        <is>
          <t>recveTJWJNtBzR.jpg</t>
        </is>
      </c>
      <c r="C3180" s="2" t="str">
        <f>=HYPERLINK("https://xhslink.com/m/9WiI4B6SbOW", "https://xhslink.com/m/9WiI4B6SbOW")</f>
        <v>https://xhslink.com/m/9WiI4B6SbOW</v>
      </c>
      <c r="D3180"/>
      <c r="E3180">
        <v>2476</v>
      </c>
      <c r="F3180">
        <v>108</v>
      </c>
      <c r="G3180">
        <v>98</v>
      </c>
      <c r="H3180">
        <v>100</v>
      </c>
      <c r="I3180" t="inlineStr">
        <is>
          <t>裤子</t>
        </is>
      </c>
      <c r="J3180" t="inlineStr">
        <is>
          <t>0.04</t>
        </is>
      </c>
      <c r="K3180"/>
      <c r="L3180" t="inlineStr">
        <is>
          <t>大米饭制衣厂（厂长版）的店</t>
        </is>
      </c>
      <c r="M3180">
        <v>62000</v>
      </c>
      <c r="N3180">
        <v>4.73</v>
      </c>
      <c r="O3180">
        <v>150000</v>
      </c>
      <c r="P3180" t="inlineStr">
        <is>
          <t>6963619aaae29400014a147f</t>
        </is>
      </c>
      <c r="Q3180" t="inlineStr">
        <is>
          <t>🚫重复</t>
        </is>
      </c>
      <c r="R3180" t="inlineStr">
        <is>
          <t>14周</t>
        </is>
      </c>
      <c r="S3180" t="inlineStr">
        <is>
          <t>0.04</t>
        </is>
      </c>
      <c r="T3180" t="inlineStr">
        <is>
          <t>服饰穿搭</t>
        </is>
      </c>
      <c r="U3180" t="inlineStr">
        <is>
          <t>女装</t>
        </is>
      </c>
      <c r="V3180" s="3">
        <v>46112.78107638889</v>
      </c>
      <c r="W3180" t="inlineStr">
        <is>
          <t>2026-Q1</t>
        </is>
      </c>
    </row>
    <row r="3181" ht="25.5" customHeight="1">
      <c r="A3181" t="inlineStr">
        <is>
          <t>优可力UKELY · 儿童袜子夏季薄款男孩宝宝透气新款网眼袜夏天女童卡通可爱中筒袜 · 堡堡巴适 L （建议5-8岁 27-32码 ）</t>
        </is>
      </c>
      <c r="B3181" t="inlineStr">
        <is>
          <t>recveTJWJNzqJR.jpg</t>
        </is>
      </c>
      <c r="C3181" s="2" t="str">
        <f>=HYPERLINK("https://www.xiaohongshu.com/goods-detail/6801f4215a4da1000121eb2a", "https://www.xiaohongshu.com/goods-detail/6801f4215a4da1000121eb2a")</f>
        <v>https://www.xiaohongshu.com/goods-detail/6801f4215a4da1000121eb2a</v>
      </c>
      <c r="D3181"/>
      <c r="E3181">
        <v>11000</v>
      </c>
      <c r="F3181">
        <v>45</v>
      </c>
      <c r="G3181">
        <v>39.15</v>
      </c>
      <c r="H3181">
        <v>100</v>
      </c>
      <c r="I3181" t="inlineStr">
        <is>
          <t>童袜</t>
        </is>
      </c>
      <c r="J3181" t="inlineStr">
        <is>
          <t>0.01</t>
        </is>
      </c>
      <c r="K3181"/>
      <c r="L3181" t="inlineStr">
        <is>
          <t>优可力旗舰店</t>
        </is>
      </c>
      <c r="M3181">
        <v>6191</v>
      </c>
      <c r="N3181">
        <v>4.7</v>
      </c>
      <c r="O3181">
        <v>75000</v>
      </c>
      <c r="P3181" t="inlineStr">
        <is>
          <t>6801f4215a4da1000121eb2a</t>
        </is>
      </c>
      <c r="Q3181"/>
      <c r="R3181" t="inlineStr">
        <is>
          <t>14周</t>
        </is>
      </c>
      <c r="S3181" t="inlineStr">
        <is>
          <t>1.78</t>
        </is>
      </c>
      <c r="T3181" t="inlineStr">
        <is>
          <t>母婴亲子</t>
        </is>
      </c>
      <c r="U3181" t="inlineStr">
        <is>
          <t>童装童鞋</t>
        </is>
      </c>
      <c r="V3181" s="3">
        <v>46112.78107638889</v>
      </c>
      <c r="W3181" t="inlineStr">
        <is>
          <t>2026-Q1</t>
        </is>
      </c>
    </row>
    <row r="3182" ht="25.5" customHeight="1">
      <c r="A3182" t="inlineStr">
        <is>
          <t>圆角节节收太阳伞女防紫外线遮阳伞折叠全自动雨伞学生晴雨两用 · 全自动安全圆角节节收【天空蓝】</t>
        </is>
      </c>
      <c r="B3182" t="inlineStr">
        <is>
          <t>recveTJWJN3jZp.jpg</t>
        </is>
      </c>
      <c r="C3182" s="2" t="str">
        <f>=HYPERLINK("https://www.xiaohongshu.com/goods-detail/67ba9e37f2389c0001899b98", "https://www.xiaohongshu.com/goods-detail/67ba9e37f2389c0001899b98")</f>
        <v>https://www.xiaohongshu.com/goods-detail/67ba9e37f2389c0001899b98</v>
      </c>
      <c r="D3182"/>
      <c r="E3182">
        <v>18000</v>
      </c>
      <c r="F3182">
        <v>36.8</v>
      </c>
      <c r="G3182">
        <v>36.8</v>
      </c>
      <c r="H3182">
        <v>100</v>
      </c>
      <c r="I3182" t="inlineStr">
        <is>
          <t>伞</t>
        </is>
      </c>
      <c r="J3182" t="inlineStr">
        <is>
          <t>0.01</t>
        </is>
      </c>
      <c r="K3182" t="inlineStr">
        <is>
          <t>🔥低粉爆款</t>
        </is>
      </c>
      <c r="L3182" t="inlineStr">
        <is>
          <t>GoodKi的店</t>
        </is>
      </c>
      <c r="M3182">
        <v>2483</v>
      </c>
      <c r="N3182">
        <v>4.52</v>
      </c>
      <c r="O3182">
        <v>27000</v>
      </c>
      <c r="P3182" t="inlineStr">
        <is>
          <t>67ba9e37f2389c0001899b98</t>
        </is>
      </c>
      <c r="Q3182" t="inlineStr">
        <is>
          <t>🚫重复</t>
        </is>
      </c>
      <c r="R3182" t="inlineStr">
        <is>
          <t>14周</t>
        </is>
      </c>
      <c r="S3182" t="inlineStr">
        <is>
          <t>7.25</t>
        </is>
      </c>
      <c r="T3182" t="inlineStr">
        <is>
          <t>家居生活</t>
        </is>
      </c>
      <c r="U3182" t="inlineStr">
        <is>
          <t>家居日用</t>
        </is>
      </c>
      <c r="V3182" s="3">
        <v>46112.78107638889</v>
      </c>
      <c r="W3182" t="inlineStr">
        <is>
          <t>2026-Q1</t>
        </is>
      </c>
    </row>
    <row r="3183" ht="25.5" customHeight="1">
      <c r="A3183" t="inlineStr">
        <is>
          <t>（最后500名恢复原价)超轻胶囊伞UPF50+八骨五折晴雨两用黑胶遮 · 米白 八骨五折</t>
        </is>
      </c>
      <c r="B3183" t="inlineStr">
        <is>
          <t>recveTJWJNEClq.jpg</t>
        </is>
      </c>
      <c r="C3183" s="2" t="str">
        <f>=HYPERLINK("https://www.xiaohongshu.com/goods-detail/67f3493e2dd3d10001cbc006", "https://www.xiaohongshu.com/goods-detail/67f3493e2dd3d10001cbc006")</f>
        <v>https://www.xiaohongshu.com/goods-detail/67f3493e2dd3d10001cbc006</v>
      </c>
      <c r="D3183"/>
      <c r="E3183">
        <v>14000</v>
      </c>
      <c r="F3183">
        <v>30.5</v>
      </c>
      <c r="G3183">
        <v>23.5</v>
      </c>
      <c r="H3183">
        <v>100</v>
      </c>
      <c r="I3183" t="inlineStr">
        <is>
          <t>伞</t>
        </is>
      </c>
      <c r="J3183" t="inlineStr">
        <is>
          <t>0.01</t>
        </is>
      </c>
      <c r="K3183" t="inlineStr">
        <is>
          <t>🔥低粉爆款</t>
        </is>
      </c>
      <c r="L3183" t="inlineStr">
        <is>
          <t>夏天的宝藏的店</t>
        </is>
      </c>
      <c r="M3183">
        <v>564</v>
      </c>
      <c r="N3183">
        <v>4.4</v>
      </c>
      <c r="O3183">
        <v>15000</v>
      </c>
      <c r="P3183" t="inlineStr">
        <is>
          <t>67f3493e2dd3d10001cbc006</t>
        </is>
      </c>
      <c r="Q3183" t="inlineStr">
        <is>
          <t>🚫重复</t>
        </is>
      </c>
      <c r="R3183" t="inlineStr">
        <is>
          <t>14周</t>
        </is>
      </c>
      <c r="S3183" t="inlineStr">
        <is>
          <t>24.82</t>
        </is>
      </c>
      <c r="T3183" t="inlineStr">
        <is>
          <t>家居生活</t>
        </is>
      </c>
      <c r="U3183" t="inlineStr">
        <is>
          <t>家居日用</t>
        </is>
      </c>
      <c r="V3183" s="3">
        <v>46112.78107638889</v>
      </c>
      <c r="W3183" t="inlineStr">
        <is>
          <t>2026-Q1</t>
        </is>
      </c>
    </row>
    <row r="3184" ht="25.5" customHeight="1">
      <c r="A3184" t="inlineStr">
        <is>
          <t>撞色彩胶超轻小巧便携太阳伞晴雨两用女伞防紫外线五折遮阳伞 · 金架彩胶-草莓柠檬</t>
        </is>
      </c>
      <c r="B3184" t="inlineStr">
        <is>
          <t>recveTJWJNzy1U.jpg</t>
        </is>
      </c>
      <c r="C3184" s="2" t="str">
        <f>=HYPERLINK("https://www.xiaohongshu.com/goods-detail/68341847bd1127000163e130", "https://www.xiaohongshu.com/goods-detail/68341847bd1127000163e130")</f>
        <v>https://www.xiaohongshu.com/goods-detail/68341847bd1127000163e130</v>
      </c>
      <c r="D3184"/>
      <c r="E3184">
        <v>4498</v>
      </c>
      <c r="F3184">
        <v>57</v>
      </c>
      <c r="G3184">
        <v>34.9</v>
      </c>
      <c r="H3184">
        <v>100</v>
      </c>
      <c r="I3184" t="inlineStr">
        <is>
          <t>伞</t>
        </is>
      </c>
      <c r="J3184" t="inlineStr">
        <is>
          <t>0.02</t>
        </is>
      </c>
      <c r="K3184" t="inlineStr">
        <is>
          <t>🔥低粉爆款</t>
        </is>
      </c>
      <c r="L3184" t="inlineStr">
        <is>
          <t>轻语伞的店</t>
        </is>
      </c>
      <c r="M3184">
        <v>397</v>
      </c>
      <c r="N3184">
        <v>4.65</v>
      </c>
      <c r="O3184">
        <v>13000</v>
      </c>
      <c r="P3184" t="inlineStr">
        <is>
          <t>68341847bd1127000163e130</t>
        </is>
      </c>
      <c r="Q3184"/>
      <c r="R3184" t="inlineStr">
        <is>
          <t>14周</t>
        </is>
      </c>
      <c r="S3184" t="inlineStr">
        <is>
          <t>11.33</t>
        </is>
      </c>
      <c r="T3184" t="inlineStr">
        <is>
          <t>家居生活</t>
        </is>
      </c>
      <c r="U3184" t="inlineStr">
        <is>
          <t>家居日用</t>
        </is>
      </c>
      <c r="V3184" s="3">
        <v>46112.78107638889</v>
      </c>
      <c r="W3184" t="inlineStr">
        <is>
          <t>2026-Q1</t>
        </is>
      </c>
    </row>
    <row r="3185" ht="25.5" customHeight="1">
      <c r="A3185" t="inlineStr">
        <is>
          <t>【轻奢百搭发饰】路易斯赫本抓夹气质时尚蝴蝶结星空鲨鱼抓夹</t>
        </is>
      </c>
      <c r="B3185" t="inlineStr">
        <is>
          <t>recveTJWJN12dB.jpg</t>
        </is>
      </c>
      <c r="C3185" s="2" t="str">
        <f>=HYPERLINK("https://xhslink.com/m/56jAZuj4Xlu", "https://xhslink.com/m/56jAZuj4Xlu")</f>
        <v>https://xhslink.com/m/56jAZuj4Xlu</v>
      </c>
      <c r="D3185"/>
      <c r="E3185">
        <v>40000</v>
      </c>
      <c r="F3185">
        <v>29.9</v>
      </c>
      <c r="G3185"/>
      <c r="H3185">
        <v>100</v>
      </c>
      <c r="I3185" t="inlineStr">
        <is>
          <t>抓夹</t>
        </is>
      </c>
      <c r="J3185" t="inlineStr">
        <is>
          <t>0.00</t>
        </is>
      </c>
      <c r="K3185" t="inlineStr">
        <is>
          <t>🔥低粉爆款</t>
        </is>
      </c>
      <c r="L3185" t="inlineStr">
        <is>
          <t>Smile择物饰品的店</t>
        </is>
      </c>
      <c r="M3185">
        <v>5296</v>
      </c>
      <c r="N3185">
        <v>4.62</v>
      </c>
      <c r="O3185">
        <v>42000</v>
      </c>
      <c r="P3185" t="inlineStr">
        <is>
          <t>66e2f5dd1e3d5f00012b8e5e</t>
        </is>
      </c>
      <c r="Q3185"/>
      <c r="R3185" t="inlineStr">
        <is>
          <t>14周</t>
        </is>
      </c>
      <c r="S3185" t="inlineStr">
        <is>
          <t>7.55</t>
        </is>
      </c>
      <c r="T3185" t="inlineStr">
        <is>
          <t>服饰穿搭</t>
        </is>
      </c>
      <c r="U3185" t="inlineStr">
        <is>
          <t>配饰</t>
        </is>
      </c>
      <c r="V3185" s="3">
        <v>46112.78107638889</v>
      </c>
      <c r="W3185" t="inlineStr">
        <is>
          <t>2026-Q1</t>
        </is>
      </c>
    </row>
    <row r="3186" ht="25.5" customHeight="1">
      <c r="A3186" t="inlineStr">
        <is>
          <t>可啦啦 · 【栗栗奶酒棕】小甜酒半年抛/日抛美瞳自然水润舒适赠护理套装</t>
        </is>
      </c>
      <c r="B3186" t="inlineStr">
        <is>
          <t>recveTJWJNMpdh.jpg</t>
        </is>
      </c>
      <c r="C3186" s="2" t="str">
        <f>=HYPERLINK("https://xhslink.com/m/3MUeISuSjcH", "https://xhslink.com/m/3MUeISuSjcH")</f>
        <v>https://xhslink.com/m/3MUeISuSjcH</v>
      </c>
      <c r="D3186"/>
      <c r="E3186">
        <v>152000</v>
      </c>
      <c r="F3186">
        <v>79.9</v>
      </c>
      <c r="G3186">
        <v>38.9</v>
      </c>
      <c r="H3186">
        <v>100</v>
      </c>
      <c r="I3186" t="inlineStr">
        <is>
          <t>美瞳</t>
        </is>
      </c>
      <c r="J3186" t="inlineStr">
        <is>
          <t>0.00</t>
        </is>
      </c>
      <c r="K3186"/>
      <c r="L3186" t="inlineStr">
        <is>
          <t>Kilala可啦啦美瞳旗舰店</t>
        </is>
      </c>
      <c r="M3186">
        <v>219000</v>
      </c>
      <c r="N3186">
        <v>4.7</v>
      </c>
      <c r="O3186">
        <v>852000</v>
      </c>
      <c r="P3186" t="inlineStr">
        <is>
          <t>64390106090635000179de13</t>
        </is>
      </c>
      <c r="Q3186"/>
      <c r="R3186" t="inlineStr">
        <is>
          <t>14周</t>
        </is>
      </c>
      <c r="S3186" t="inlineStr">
        <is>
          <t>0.69</t>
        </is>
      </c>
      <c r="T3186" t="inlineStr">
        <is>
          <t>美食滋补</t>
        </is>
      </c>
      <c r="U3186" t="inlineStr">
        <is>
          <t>酒水冲饮</t>
        </is>
      </c>
      <c r="V3186" s="3">
        <v>46112.78107638889</v>
      </c>
      <c r="W3186" t="inlineStr">
        <is>
          <t>2026-Q1</t>
        </is>
      </c>
    </row>
    <row r="3187" ht="25.5" customHeight="1">
      <c r="A3187" t="inlineStr">
        <is>
          <t>liliyacon · 半年抛A160 萤火虫光&amp;凌霄云雾&amp;零度空气&amp;碳烤红薯</t>
        </is>
      </c>
      <c r="B3187" t="inlineStr">
        <is>
          <t>recveTJWJNROD2.jpg</t>
        </is>
      </c>
      <c r="C3187" s="2" t="str">
        <f>=HYPERLINK("https://xhslink.com/m/62WVlbYJNut", "https://xhslink.com/m/62WVlbYJNut")</f>
        <v>https://xhslink.com/m/62WVlbYJNut</v>
      </c>
      <c r="D3187"/>
      <c r="E3187">
        <v>13000</v>
      </c>
      <c r="F3187">
        <v>69</v>
      </c>
      <c r="G3187">
        <v>59</v>
      </c>
      <c r="H3187">
        <v>100</v>
      </c>
      <c r="I3187" t="inlineStr">
        <is>
          <t>美瞳</t>
        </is>
      </c>
      <c r="J3187" t="inlineStr">
        <is>
          <t>0.01</t>
        </is>
      </c>
      <c r="K3187"/>
      <c r="L3187" t="inlineStr">
        <is>
          <t>HANCON美瞳的店</t>
        </is>
      </c>
      <c r="M3187">
        <v>80000</v>
      </c>
      <c r="N3187">
        <v>4.44</v>
      </c>
      <c r="O3187">
        <v>233000</v>
      </c>
      <c r="P3187" t="inlineStr">
        <is>
          <t>68de28edc192ac00017b1dc7</t>
        </is>
      </c>
      <c r="Q3187"/>
      <c r="R3187" t="inlineStr">
        <is>
          <t>14周</t>
        </is>
      </c>
      <c r="S3187" t="inlineStr">
        <is>
          <t>0.16</t>
        </is>
      </c>
      <c r="T3187" t="inlineStr">
        <is>
          <t>美妆个护</t>
        </is>
      </c>
      <c r="U3187" t="inlineStr">
        <is>
          <t>护肤彩妆</t>
        </is>
      </c>
      <c r="V3187" s="3">
        <v>46112.78107638889</v>
      </c>
      <c r="W3187" t="inlineStr">
        <is>
          <t>2026-Q1</t>
        </is>
      </c>
    </row>
    <row r="3188" ht="25.5" customHeight="1">
      <c r="A3188" t="inlineStr">
        <is>
          <t>moucee · &lt;通勤主义&gt;日抛 彩色美瞳近视隐形眼镜正品·10片装</t>
        </is>
      </c>
      <c r="B3188" t="inlineStr">
        <is>
          <t>recveTJWJNxucT.jpg</t>
        </is>
      </c>
      <c r="C3188" s="2" t="str">
        <f>=HYPERLINK("https://xhslink.com/m/7s7xraOp7s8", "https://xhslink.com/m/7s7xraOp7s8")</f>
        <v>https://xhslink.com/m/7s7xraOp7s8</v>
      </c>
      <c r="D3188"/>
      <c r="E3188">
        <v>32000</v>
      </c>
      <c r="F3188">
        <v>59.9</v>
      </c>
      <c r="G3188">
        <v>45.9</v>
      </c>
      <c r="H3188">
        <v>100</v>
      </c>
      <c r="I3188" t="inlineStr">
        <is>
          <t>美瞳</t>
        </is>
      </c>
      <c r="J3188" t="inlineStr">
        <is>
          <t>0.00</t>
        </is>
      </c>
      <c r="K3188"/>
      <c r="L3188" t="inlineStr">
        <is>
          <t>moucee旗舰店</t>
        </is>
      </c>
      <c r="M3188">
        <v>55000</v>
      </c>
      <c r="N3188">
        <v>4.67</v>
      </c>
      <c r="O3188">
        <v>303000</v>
      </c>
      <c r="P3188" t="inlineStr">
        <is>
          <t>67f1f2435d35ce00019e78c5</t>
        </is>
      </c>
      <c r="Q3188"/>
      <c r="R3188" t="inlineStr">
        <is>
          <t>14周</t>
        </is>
      </c>
      <c r="S3188" t="inlineStr">
        <is>
          <t>0.58</t>
        </is>
      </c>
      <c r="T3188" t="inlineStr">
        <is>
          <t>美妆个护</t>
        </is>
      </c>
      <c r="U3188" t="inlineStr">
        <is>
          <t>护肤彩妆</t>
        </is>
      </c>
      <c r="V3188" s="3">
        <v>46112.78107638889</v>
      </c>
      <c r="W3188" t="inlineStr">
        <is>
          <t>2026-Q1</t>
        </is>
      </c>
    </row>
    <row r="3189" ht="25.5" customHeight="1">
      <c r="A3189" t="inlineStr">
        <is>
          <t>洛然 · 【AB同款】日抛美瞳合集透光光【10片装】</t>
        </is>
      </c>
      <c r="B3189" t="inlineStr">
        <is>
          <t>recveTJWJNbWSZ.jpg</t>
        </is>
      </c>
      <c r="C3189" s="2" t="str">
        <f>=HYPERLINK("https://xhslink.com/m/Dkif2EBORo", "https://xhslink.com/m/Dkif2EBORo")</f>
        <v>https://xhslink.com/m/Dkif2EBORo</v>
      </c>
      <c r="D3189"/>
      <c r="E3189">
        <v>127000</v>
      </c>
      <c r="F3189">
        <v>109</v>
      </c>
      <c r="G3189">
        <v>88</v>
      </c>
      <c r="H3189">
        <v>100</v>
      </c>
      <c r="I3189" t="inlineStr">
        <is>
          <t>美瞳</t>
        </is>
      </c>
      <c r="J3189" t="inlineStr">
        <is>
          <t>0.00</t>
        </is>
      </c>
      <c r="K3189"/>
      <c r="L3189" t="inlineStr">
        <is>
          <t>洛然美瞳旗舰店</t>
        </is>
      </c>
      <c r="M3189">
        <v>175000</v>
      </c>
      <c r="N3189">
        <v>4.77</v>
      </c>
      <c r="O3189">
        <v>355000</v>
      </c>
      <c r="P3189" t="inlineStr">
        <is>
          <t>64e83c3108bf580001c0c603</t>
        </is>
      </c>
      <c r="Q3189"/>
      <c r="R3189" t="inlineStr">
        <is>
          <t>14周</t>
        </is>
      </c>
      <c r="S3189" t="inlineStr">
        <is>
          <t>0.73</t>
        </is>
      </c>
      <c r="T3189" t="inlineStr">
        <is>
          <t>美妆个护</t>
        </is>
      </c>
      <c r="U3189" t="inlineStr">
        <is>
          <t>护肤彩妆</t>
        </is>
      </c>
      <c r="V3189" s="3">
        <v>46112.78107638889</v>
      </c>
      <c r="W3189" t="inlineStr">
        <is>
          <t>2026-Q1</t>
        </is>
      </c>
    </row>
    <row r="3190" ht="25.5" customHeight="1">
      <c r="A3190" t="inlineStr">
        <is>
          <t>ICHOCO · 〈韩国进口日抛〉11.9小直径虹膜美瞳 林涧觅语/大魔王/纯巧</t>
        </is>
      </c>
      <c r="B3190" t="inlineStr">
        <is>
          <t>recveTJWJNKaN5.jpg</t>
        </is>
      </c>
      <c r="C3190" s="2" t="str">
        <f>=HYPERLINK("https://xhslink.com/m/29Zyjz1OrLj", "https://xhslink.com/m/29Zyjz1OrLj")</f>
        <v>https://xhslink.com/m/29Zyjz1OrLj</v>
      </c>
      <c r="D3190"/>
      <c r="E3190">
        <v>14000</v>
      </c>
      <c r="F3190">
        <v>128</v>
      </c>
      <c r="G3190">
        <v>108</v>
      </c>
      <c r="H3190">
        <v>100</v>
      </c>
      <c r="I3190" t="inlineStr">
        <is>
          <t>美瞳</t>
        </is>
      </c>
      <c r="J3190" t="inlineStr">
        <is>
          <t>0.01</t>
        </is>
      </c>
      <c r="K3190"/>
      <c r="L3190" t="inlineStr">
        <is>
          <t>Cygirls美瞳的店</t>
        </is>
      </c>
      <c r="M3190">
        <v>29000</v>
      </c>
      <c r="N3190">
        <v>4.55</v>
      </c>
      <c r="O3190">
        <v>364000</v>
      </c>
      <c r="P3190" t="inlineStr">
        <is>
          <t>6395aee2f043400001e5a630</t>
        </is>
      </c>
      <c r="Q3190"/>
      <c r="R3190" t="inlineStr">
        <is>
          <t>14周</t>
        </is>
      </c>
      <c r="S3190" t="inlineStr">
        <is>
          <t>0.48</t>
        </is>
      </c>
      <c r="T3190" t="inlineStr">
        <is>
          <t>美妆个护</t>
        </is>
      </c>
      <c r="U3190" t="inlineStr">
        <is>
          <t>护肤彩妆</t>
        </is>
      </c>
      <c r="V3190" s="3">
        <v>46112.78107638889</v>
      </c>
      <c r="W3190" t="inlineStr">
        <is>
          <t>2026-Q1</t>
        </is>
      </c>
    </row>
    <row r="3191" ht="25.5" customHeight="1">
      <c r="A3191" t="inlineStr">
        <is>
          <t>LEMONADE · 【会员试戴专属】lemonade定轴高光系列蓝调时刻日抛试用2片装</t>
        </is>
      </c>
      <c r="B3191" t="inlineStr">
        <is>
          <t>recveTJWJNjyRl.jpg</t>
        </is>
      </c>
      <c r="C3191" s="2" t="str">
        <f>=HYPERLINK("https://xhslink.com/m/1DoByM5Y4KE", "https://xhslink.com/m/1DoByM5Y4KE")</f>
        <v>https://xhslink.com/m/1DoByM5Y4KE</v>
      </c>
      <c r="D3191"/>
      <c r="E3191">
        <v>2823</v>
      </c>
      <c r="F3191">
        <v>17.9</v>
      </c>
      <c r="G3191"/>
      <c r="H3191">
        <v>100</v>
      </c>
      <c r="I3191" t="inlineStr">
        <is>
          <t>美瞳</t>
        </is>
      </c>
      <c r="J3191" t="inlineStr">
        <is>
          <t>0.04</t>
        </is>
      </c>
      <c r="K3191"/>
      <c r="L3191" t="inlineStr">
        <is>
          <t>Lemonade美瞳旗舰店</t>
        </is>
      </c>
      <c r="M3191">
        <v>32000</v>
      </c>
      <c r="N3191">
        <v>4.66</v>
      </c>
      <c r="O3191">
        <v>338000</v>
      </c>
      <c r="P3191" t="inlineStr">
        <is>
          <t>6970a138ccedbf00019f0ae4</t>
        </is>
      </c>
      <c r="Q3191"/>
      <c r="R3191" t="inlineStr">
        <is>
          <t>14周</t>
        </is>
      </c>
      <c r="S3191" t="inlineStr">
        <is>
          <t>0.09</t>
        </is>
      </c>
      <c r="T3191" t="inlineStr">
        <is>
          <t>美妆个护</t>
        </is>
      </c>
      <c r="U3191" t="inlineStr">
        <is>
          <t>护肤彩妆</t>
        </is>
      </c>
      <c r="V3191" s="3">
        <v>46112.78107638889</v>
      </c>
      <c r="W3191" t="inlineStr">
        <is>
          <t>2026-Q1</t>
        </is>
      </c>
    </row>
    <row r="3192" ht="25.5" customHeight="1">
      <c r="A3192" t="inlineStr">
        <is>
          <t>太一 · 2026刺绣小狐狸棒球帽运动男女加深宽檐显脸小鸭舌帽遮阳透气</t>
        </is>
      </c>
      <c r="B3192" t="inlineStr">
        <is>
          <t>recvf2aAeatOr6.jpg</t>
        </is>
      </c>
      <c r="C3192" s="2" t="str">
        <f>=HYPERLINK("https://xhslink.com/m/5x9sEZZOEKt", "https://xhslink.com/m/5x9sEZZOEKt")</f>
        <v>https://xhslink.com/m/5x9sEZZOEKt</v>
      </c>
      <c r="D3192"/>
      <c r="E3192">
        <v>114000</v>
      </c>
      <c r="F3192">
        <v>49.9</v>
      </c>
      <c r="G3192">
        <v>39.9</v>
      </c>
      <c r="H3192">
        <v>100</v>
      </c>
      <c r="I3192" t="inlineStr">
        <is>
          <t>运动帽</t>
        </is>
      </c>
      <c r="J3192" t="inlineStr">
        <is>
          <t>0.00</t>
        </is>
      </c>
      <c r="K3192"/>
      <c r="L3192" t="inlineStr">
        <is>
          <t>太一Joy hat的店</t>
        </is>
      </c>
      <c r="M3192">
        <v>67000</v>
      </c>
      <c r="N3192">
        <v>4.58</v>
      </c>
      <c r="O3192">
        <v>170000</v>
      </c>
      <c r="P3192" t="inlineStr">
        <is>
          <t>68da767e4daabe000150c27a</t>
        </is>
      </c>
      <c r="Q3192"/>
      <c r="R3192" t="inlineStr">
        <is>
          <t>14周</t>
        </is>
      </c>
      <c r="S3192" t="inlineStr">
        <is>
          <t>1.70</t>
        </is>
      </c>
      <c r="T3192" t="inlineStr">
        <is>
          <t>服饰穿搭</t>
        </is>
      </c>
      <c r="U3192" t="inlineStr">
        <is>
          <t>鞋靴箱包</t>
        </is>
      </c>
      <c r="V3192" s="3">
        <v>46112.78107638889</v>
      </c>
      <c r="W3192" t="inlineStr">
        <is>
          <t>2026-Q1</t>
        </is>
      </c>
    </row>
    <row r="3193" ht="25.5" customHeight="1">
      <c r="A3193" t="inlineStr">
        <is>
          <t>R标字母刺绣棒球帽女软顶大头围显脸小鸭舌帽百搭宽帽檐ins风秋冬</t>
        </is>
      </c>
      <c r="B3193" t="inlineStr">
        <is>
          <t>recvf2aASauOUY.jpg</t>
        </is>
      </c>
      <c r="C3193" s="2" t="str">
        <f>=HYPERLINK("https://xhslink.com/m/16dMP83PNdO", "https://xhslink.com/m/16dMP83PNdO")</f>
        <v>https://xhslink.com/m/16dMP83PNdO</v>
      </c>
      <c r="D3193"/>
      <c r="E3193">
        <v>144000</v>
      </c>
      <c r="F3193">
        <v>29.9</v>
      </c>
      <c r="G3193">
        <v>19.9</v>
      </c>
      <c r="H3193">
        <v>100</v>
      </c>
      <c r="I3193" t="inlineStr">
        <is>
          <t>运动帽</t>
        </is>
      </c>
      <c r="J3193" t="inlineStr">
        <is>
          <t>0.00</t>
        </is>
      </c>
      <c r="K3193" t="inlineStr">
        <is>
          <t>🔥低粉爆款</t>
        </is>
      </c>
      <c r="L3193" t="inlineStr">
        <is>
          <t>UNI帽_HOTSHOP的店</t>
        </is>
      </c>
      <c r="M3193">
        <v>4259</v>
      </c>
      <c r="N3193">
        <v>4.33</v>
      </c>
      <c r="O3193">
        <v>159000</v>
      </c>
      <c r="P3193" t="inlineStr">
        <is>
          <t>64ed7dfdea142a0001b3da0e</t>
        </is>
      </c>
      <c r="Q3193"/>
      <c r="R3193" t="inlineStr">
        <is>
          <t>14周</t>
        </is>
      </c>
      <c r="S3193" t="inlineStr">
        <is>
          <t>33.81</t>
        </is>
      </c>
      <c r="T3193" t="inlineStr">
        <is>
          <t>服饰穿搭</t>
        </is>
      </c>
      <c r="U3193" t="inlineStr">
        <is>
          <t>鞋靴箱包</t>
        </is>
      </c>
      <c r="V3193" s="3">
        <v>46112.78107638889</v>
      </c>
      <c r="W3193" t="inlineStr">
        <is>
          <t>2026-Q1</t>
        </is>
      </c>
    </row>
    <row r="3194" ht="25.5" customHeight="1">
      <c r="A3194" t="inlineStr">
        <is>
          <t>热卖款·软顶字母刺绣棒球帽|大头方圆脸韩版纯棉鸭舌帽【运费险】</t>
        </is>
      </c>
      <c r="B3194" t="inlineStr">
        <is>
          <t>recvf2aASarZXE.jpg</t>
        </is>
      </c>
      <c r="C3194" s="2" t="str">
        <f>=HYPERLINK("https://xhslink.com/m/70VO3TPDcfN", "https://xhslink.com/m/70VO3TPDcfN")</f>
        <v>https://xhslink.com/m/70VO3TPDcfN</v>
      </c>
      <c r="D3194"/>
      <c r="E3194">
        <v>3336</v>
      </c>
      <c r="F3194">
        <v>49.9</v>
      </c>
      <c r="G3194">
        <v>35.9</v>
      </c>
      <c r="H3194">
        <v>100</v>
      </c>
      <c r="I3194" t="inlineStr">
        <is>
          <t>运动帽</t>
        </is>
      </c>
      <c r="J3194" t="inlineStr">
        <is>
          <t>0.03</t>
        </is>
      </c>
      <c r="K3194" t="inlineStr">
        <is>
          <t>🔥低粉爆款</t>
        </is>
      </c>
      <c r="L3194" t="inlineStr">
        <is>
          <t>出门必戴帽er的店</t>
        </is>
      </c>
      <c r="M3194">
        <v>1080</v>
      </c>
      <c r="N3194">
        <v>4.56</v>
      </c>
      <c r="O3194">
        <v>3767</v>
      </c>
      <c r="P3194" t="inlineStr">
        <is>
          <t>694902e6b113e400153a2f34</t>
        </is>
      </c>
      <c r="Q3194"/>
      <c r="R3194" t="inlineStr">
        <is>
          <t>14周</t>
        </is>
      </c>
      <c r="S3194" t="inlineStr">
        <is>
          <t>3.09</t>
        </is>
      </c>
      <c r="T3194" t="inlineStr">
        <is>
          <t>服饰穿搭</t>
        </is>
      </c>
      <c r="U3194" t="inlineStr">
        <is>
          <t>鞋靴箱包</t>
        </is>
      </c>
      <c r="V3194" s="3">
        <v>46112.78107638889</v>
      </c>
      <c r="W3194" t="inlineStr">
        <is>
          <t>2026-Q1</t>
        </is>
      </c>
    </row>
    <row r="3195" ht="25.5" customHeight="1">
      <c r="A3195" t="inlineStr">
        <is>
          <t>MLB · 帽子专柜正品洋基队刺绣男女软顶复古鸭舌道奇队小标棒球帽CP77</t>
        </is>
      </c>
      <c r="B3195" t="inlineStr">
        <is>
          <t>recvf2aASalJPZ.jpg</t>
        </is>
      </c>
      <c r="C3195" s="2" t="str">
        <f>=HYPERLINK("https://xhslink.com/m/83VfseUykia", "https://xhslink.com/m/83VfseUykia")</f>
        <v>https://xhslink.com/m/83VfseUykia</v>
      </c>
      <c r="D3195"/>
      <c r="E3195">
        <v>3115</v>
      </c>
      <c r="F3195">
        <v>180</v>
      </c>
      <c r="G3195">
        <v>150</v>
      </c>
      <c r="H3195">
        <v>100</v>
      </c>
      <c r="I3195" t="inlineStr">
        <is>
          <t>运动帽</t>
        </is>
      </c>
      <c r="J3195" t="inlineStr">
        <is>
          <t>0.03</t>
        </is>
      </c>
      <c r="K3195"/>
      <c r="L3195" t="inlineStr">
        <is>
          <t>刘二喵m的店</t>
        </is>
      </c>
      <c r="M3195">
        <v>4841</v>
      </c>
      <c r="N3195">
        <v>4.66</v>
      </c>
      <c r="O3195">
        <v>6337</v>
      </c>
      <c r="P3195" t="inlineStr">
        <is>
          <t>686749df0bb4080001d6fe00</t>
        </is>
      </c>
      <c r="Q3195"/>
      <c r="R3195" t="inlineStr">
        <is>
          <t>14周</t>
        </is>
      </c>
      <c r="S3195" t="inlineStr">
        <is>
          <t>0.64</t>
        </is>
      </c>
      <c r="T3195" t="inlineStr">
        <is>
          <t>服饰穿搭</t>
        </is>
      </c>
      <c r="U3195" t="inlineStr">
        <is>
          <t>配饰</t>
        </is>
      </c>
      <c r="V3195" s="3">
        <v>46112.78107638889</v>
      </c>
      <c r="W3195" t="inlineStr">
        <is>
          <t>2026-Q1</t>
        </is>
      </c>
    </row>
    <row r="3196" ht="25.5" customHeight="1">
      <c r="A3196" t="inlineStr">
        <is>
          <t>NEW ERA · 韩国正品newera刺绣棒球帽潮牌帽子920弯檐男女同款显脸小鸭舌帽</t>
        </is>
      </c>
      <c r="B3196" t="inlineStr">
        <is>
          <t>recvf2aASaWyQR.jpg</t>
        </is>
      </c>
      <c r="C3196" s="2" t="str">
        <f>=HYPERLINK("https://xhslink.com/m/4MUiELyOW70", "https://xhslink.com/m/4MUiELyOW70")</f>
        <v>https://xhslink.com/m/4MUiELyOW70</v>
      </c>
      <c r="D3196"/>
      <c r="E3196">
        <v>3460</v>
      </c>
      <c r="F3196">
        <v>233</v>
      </c>
      <c r="G3196">
        <v>173</v>
      </c>
      <c r="H3196">
        <v>100</v>
      </c>
      <c r="I3196" t="inlineStr">
        <is>
          <t>运动帽</t>
        </is>
      </c>
      <c r="J3196" t="inlineStr">
        <is>
          <t>0.03</t>
        </is>
      </c>
      <c r="K3196"/>
      <c r="L3196" t="inlineStr">
        <is>
          <t>BigLab的店</t>
        </is>
      </c>
      <c r="M3196">
        <v>6881</v>
      </c>
      <c r="N3196">
        <v>4.5</v>
      </c>
      <c r="O3196">
        <v>20000</v>
      </c>
      <c r="P3196" t="inlineStr">
        <is>
          <t>65ccc00535e5590001bb488e</t>
        </is>
      </c>
      <c r="Q3196"/>
      <c r="R3196" t="inlineStr">
        <is>
          <t>14周</t>
        </is>
      </c>
      <c r="S3196" t="inlineStr">
        <is>
          <t>0.50</t>
        </is>
      </c>
      <c r="T3196" t="inlineStr">
        <is>
          <t>服饰穿搭</t>
        </is>
      </c>
      <c r="U3196" t="inlineStr">
        <is>
          <t>配饰</t>
        </is>
      </c>
      <c r="V3196" s="3">
        <v>46112.78107638889</v>
      </c>
      <c r="W3196" t="inlineStr">
        <is>
          <t>2026-Q1</t>
        </is>
      </c>
    </row>
    <row r="3197" ht="25.5" customHeight="1">
      <c r="A3197" t="inlineStr">
        <is>
          <t>yukio热门款丑娃娃富士山咖啡许愿星美人鱼四叶草挂件</t>
        </is>
      </c>
      <c r="B3197" t="inlineStr">
        <is>
          <t>recvf2aASaZGlk.jpg</t>
        </is>
      </c>
      <c r="C3197" s="2" t="str">
        <f>=HYPERLINK("https://xhslink.com/m/1dyR170zW6X", "https://xhslink.com/m/1dyR170zW6X")</f>
        <v>https://xhslink.com/m/1dyR170zW6X</v>
      </c>
      <c r="D3197"/>
      <c r="E3197">
        <v>22000</v>
      </c>
      <c r="F3197">
        <v>32.9</v>
      </c>
      <c r="G3197">
        <v>24.96</v>
      </c>
      <c r="H3197">
        <v>100</v>
      </c>
      <c r="I3197" t="inlineStr">
        <is>
          <t>毛绒玩偶</t>
        </is>
      </c>
      <c r="J3197" t="inlineStr">
        <is>
          <t>0.00</t>
        </is>
      </c>
      <c r="K3197" t="inlineStr">
        <is>
          <t>🔥低粉爆款</t>
        </is>
      </c>
      <c r="L3197" t="inlineStr">
        <is>
          <t>萌物统治世界了吗的店</t>
        </is>
      </c>
      <c r="M3197">
        <v>2778</v>
      </c>
      <c r="N3197">
        <v>4.63</v>
      </c>
      <c r="O3197">
        <v>41000</v>
      </c>
      <c r="P3197" t="inlineStr">
        <is>
          <t>6900c76e4a00000001dc83af</t>
        </is>
      </c>
      <c r="Q3197" t="inlineStr">
        <is>
          <t>🚫重复</t>
        </is>
      </c>
      <c r="R3197" t="inlineStr">
        <is>
          <t>14周</t>
        </is>
      </c>
      <c r="S3197" t="inlineStr">
        <is>
          <t>7.92</t>
        </is>
      </c>
      <c r="T3197" t="inlineStr">
        <is>
          <t>母婴亲子</t>
        </is>
      </c>
      <c r="U3197" t="inlineStr">
        <is>
          <t>玩具早教</t>
        </is>
      </c>
      <c r="V3197" s="3">
        <v>46112.78107638889</v>
      </c>
      <c r="W3197" t="inlineStr">
        <is>
          <t>2026-Q1</t>
        </is>
      </c>
    </row>
    <row r="3198" ht="25.5" customHeight="1">
      <c r="A3198" t="inlineStr">
        <is>
          <t>可爱毛绒安抚软萌甜安抚兔卡通挂件玩偶呆萌娃娃兔子萌物甜美日系</t>
        </is>
      </c>
      <c r="B3198" t="inlineStr">
        <is>
          <t>recvf2aASabAKl.jpg</t>
        </is>
      </c>
      <c r="C3198" s="2" t="str">
        <f>=HYPERLINK("https://xhslink.com/m/4t1Kg7gk8no", "https://xhslink.com/m/4t1Kg7gk8no")</f>
        <v>https://xhslink.com/m/4t1Kg7gk8no</v>
      </c>
      <c r="D3198"/>
      <c r="E3198">
        <v>23000</v>
      </c>
      <c r="F3198">
        <v>28.9</v>
      </c>
      <c r="G3198">
        <v>12.9</v>
      </c>
      <c r="H3198">
        <v>100</v>
      </c>
      <c r="I3198" t="inlineStr">
        <is>
          <t>毛绒玩偶</t>
        </is>
      </c>
      <c r="J3198" t="inlineStr">
        <is>
          <t>0.00</t>
        </is>
      </c>
      <c r="K3198" t="inlineStr">
        <is>
          <t>🔥低粉爆款</t>
        </is>
      </c>
      <c r="L3198" t="inlineStr">
        <is>
          <t>一只瑞比兔的店</t>
        </is>
      </c>
      <c r="M3198">
        <v>5670</v>
      </c>
      <c r="N3198">
        <v>4.15</v>
      </c>
      <c r="O3198">
        <v>27000</v>
      </c>
      <c r="P3198" t="inlineStr">
        <is>
          <t>699e764f34470f0001de5b44</t>
        </is>
      </c>
      <c r="Q3198" t="inlineStr">
        <is>
          <t>🚫重复</t>
        </is>
      </c>
      <c r="R3198" t="inlineStr">
        <is>
          <t>14周</t>
        </is>
      </c>
      <c r="S3198" t="inlineStr">
        <is>
          <t>4.06</t>
        </is>
      </c>
      <c r="T3198" t="inlineStr">
        <is>
          <t>母婴亲子</t>
        </is>
      </c>
      <c r="U3198" t="inlineStr">
        <is>
          <t>玩具早教</t>
        </is>
      </c>
      <c r="V3198" s="3">
        <v>46112.78107638889</v>
      </c>
      <c r="W3198" t="inlineStr">
        <is>
          <t>2026-Q1</t>
        </is>
      </c>
    </row>
    <row r="3199" ht="25.5" customHeight="1">
      <c r="A3199" t="inlineStr">
        <is>
          <t>【现货】碎窗系列银蔷薇3.5寸小框 谷美亚克力小卡拍立得收纳</t>
        </is>
      </c>
      <c r="B3199" t="inlineStr">
        <is>
          <t>recvf2aASadBp0.jpg</t>
        </is>
      </c>
      <c r="C3199" s="2" t="str">
        <f>=HYPERLINK("https://xhslink.com/m/41l437yPM89", "https://xhslink.com/m/41l437yPM89")</f>
        <v>https://xhslink.com/m/41l437yPM89</v>
      </c>
      <c r="D3199"/>
      <c r="E3199">
        <v>1928</v>
      </c>
      <c r="F3199">
        <v>28.9</v>
      </c>
      <c r="G3199">
        <v>15.9</v>
      </c>
      <c r="H3199">
        <v>100</v>
      </c>
      <c r="I3199" t="inlineStr">
        <is>
          <t>卡牌</t>
        </is>
      </c>
      <c r="J3199" t="inlineStr">
        <is>
          <t>0.05</t>
        </is>
      </c>
      <c r="K3199"/>
      <c r="L3199" t="inlineStr">
        <is>
          <t>橱柜里有谷的店</t>
        </is>
      </c>
      <c r="M3199">
        <v>6637</v>
      </c>
      <c r="N3199">
        <v>3.96</v>
      </c>
      <c r="O3199">
        <v>15000</v>
      </c>
      <c r="P3199" t="inlineStr">
        <is>
          <t>69286df13dc53600014a3cc1</t>
        </is>
      </c>
      <c r="Q3199"/>
      <c r="R3199" t="inlineStr">
        <is>
          <t>14周</t>
        </is>
      </c>
      <c r="S3199" t="inlineStr">
        <is>
          <t>0.29</t>
        </is>
      </c>
      <c r="T3199" t="inlineStr">
        <is>
          <t>家居生活</t>
        </is>
      </c>
      <c r="U3199" t="inlineStr">
        <is>
          <t>家居日用</t>
        </is>
      </c>
      <c r="V3199" s="3">
        <v>46112.78107638889</v>
      </c>
      <c r="W3199" t="inlineStr">
        <is>
          <t>2026-Q1</t>
        </is>
      </c>
    </row>
    <row r="3200" ht="25.5" customHeight="1">
      <c r="A3200" t="inlineStr">
        <is>
          <t>李琴琴Lily·遮副乳修身显瘦内搭显身材紧身运动背心</t>
        </is>
      </c>
      <c r="B3200" t="inlineStr">
        <is>
          <t>recvf2aASa0wal.jpg</t>
        </is>
      </c>
      <c r="C3200" s="2" t="str">
        <f>=HYPERLINK("https://xhslink.com/m/4hUQosEMuqJ", "https://xhslink.com/m/4hUQosEMuqJ")</f>
        <v>https://xhslink.com/m/4hUQosEMuqJ</v>
      </c>
      <c r="D3200"/>
      <c r="E3200">
        <v>15000</v>
      </c>
      <c r="F3200">
        <v>99.9</v>
      </c>
      <c r="G3200">
        <v>59.9</v>
      </c>
      <c r="H3200">
        <v>100</v>
      </c>
      <c r="I3200" t="inlineStr">
        <is>
          <t>背心吊带</t>
        </is>
      </c>
      <c r="J3200" t="inlineStr">
        <is>
          <t>0.01</t>
        </is>
      </c>
      <c r="K3200"/>
      <c r="L3200" t="inlineStr">
        <is>
          <t>李琴琴Lily的店</t>
        </is>
      </c>
      <c r="M3200">
        <v>37000</v>
      </c>
      <c r="N3200">
        <v>4.68</v>
      </c>
      <c r="O3200">
        <v>387000</v>
      </c>
      <c r="P3200" t="inlineStr">
        <is>
          <t>67f60dec26cdaf000134620f</t>
        </is>
      </c>
      <c r="Q3200" t="inlineStr">
        <is>
          <t>🚫重复</t>
        </is>
      </c>
      <c r="R3200" t="inlineStr">
        <is>
          <t>14周</t>
        </is>
      </c>
      <c r="S3200" t="inlineStr">
        <is>
          <t>0.41</t>
        </is>
      </c>
      <c r="T3200" t="inlineStr">
        <is>
          <t>服饰穿搭</t>
        </is>
      </c>
      <c r="U3200" t="inlineStr">
        <is>
          <t>女装</t>
        </is>
      </c>
      <c r="V3200" s="3">
        <v>46112.78107638889</v>
      </c>
      <c r="W3200" t="inlineStr">
        <is>
          <t>2026-Q1</t>
        </is>
      </c>
    </row>
    <row r="3201" ht="25.5" customHeight="1">
      <c r="A3201" t="inlineStr">
        <is>
          <t>宽肩带工字上衣U领高弹螺纹基础百搭背心</t>
        </is>
      </c>
      <c r="B3201" t="inlineStr">
        <is>
          <t>recvf2aASazAEu.jpg</t>
        </is>
      </c>
      <c r="C3201" s="2" t="str">
        <f>=HYPERLINK("https://xhslink.com/m/8Qsv7OJWvGL", "https://xhslink.com/m/8Qsv7OJWvGL")</f>
        <v>https://xhslink.com/m/8Qsv7OJWvGL</v>
      </c>
      <c r="D3201"/>
      <c r="E3201">
        <v>5068</v>
      </c>
      <c r="F3201">
        <v>59</v>
      </c>
      <c r="G3201">
        <v>29</v>
      </c>
      <c r="H3201">
        <v>100</v>
      </c>
      <c r="I3201" t="inlineStr">
        <is>
          <t>背心吊带</t>
        </is>
      </c>
      <c r="J3201" t="inlineStr">
        <is>
          <t>0.02</t>
        </is>
      </c>
      <c r="K3201"/>
      <c r="L3201" t="inlineStr">
        <is>
          <t>来钱多多呀的店</t>
        </is>
      </c>
      <c r="M3201">
        <v>55000</v>
      </c>
      <c r="N3201">
        <v>4.66</v>
      </c>
      <c r="O3201">
        <v>781000</v>
      </c>
      <c r="P3201" t="inlineStr">
        <is>
          <t>686cbbb7ed4dcf0015746d79</t>
        </is>
      </c>
      <c r="Q3201" t="inlineStr">
        <is>
          <t>🚫重复</t>
        </is>
      </c>
      <c r="R3201" t="inlineStr">
        <is>
          <t>14周</t>
        </is>
      </c>
      <c r="S3201" t="inlineStr">
        <is>
          <t>0.09</t>
        </is>
      </c>
      <c r="T3201" t="inlineStr">
        <is>
          <t>服饰穿搭</t>
        </is>
      </c>
      <c r="U3201" t="inlineStr">
        <is>
          <t>女装</t>
        </is>
      </c>
      <c r="V3201" s="3">
        <v>46112.78107638889</v>
      </c>
      <c r="W3201" t="inlineStr">
        <is>
          <t>2026-Q1</t>
        </is>
      </c>
    </row>
    <row r="3202" ht="25.5" customHeight="1">
      <c r="A3202" t="inlineStr">
        <is>
          <t>一裤两穿 春秋冬情侣款户外机能登山徒步工装多口袋束脚休闲长裤</t>
        </is>
      </c>
      <c r="B3202" t="inlineStr">
        <is>
          <t>recvf2aASaCNqR.jpg</t>
        </is>
      </c>
      <c r="C3202" s="2" t="str">
        <f>=HYPERLINK("https://xhslink.com/m/HlJoxZKmtd", "https://xhslink.com/m/HlJoxZKmtd")</f>
        <v>https://xhslink.com/m/HlJoxZKmtd</v>
      </c>
      <c r="D3202"/>
      <c r="E3202">
        <v>30000</v>
      </c>
      <c r="F3202">
        <v>79</v>
      </c>
      <c r="G3202"/>
      <c r="H3202">
        <v>100</v>
      </c>
      <c r="I3202" t="inlineStr">
        <is>
          <t>运动裤</t>
        </is>
      </c>
      <c r="J3202" t="inlineStr">
        <is>
          <t>0.00</t>
        </is>
      </c>
      <c r="K3202" t="inlineStr">
        <is>
          <t>🔥低粉爆款</t>
        </is>
      </c>
      <c r="L3202" t="inlineStr">
        <is>
          <t>七七户外穿搭的店</t>
        </is>
      </c>
      <c r="M3202">
        <v>9600</v>
      </c>
      <c r="N3202">
        <v>4.49</v>
      </c>
      <c r="O3202">
        <v>37000</v>
      </c>
      <c r="P3202" t="inlineStr">
        <is>
          <t>67aa01390a6fff00152d1aac</t>
        </is>
      </c>
      <c r="Q3202" t="inlineStr">
        <is>
          <t>🚫重复</t>
        </is>
      </c>
      <c r="R3202" t="inlineStr">
        <is>
          <t>14周</t>
        </is>
      </c>
      <c r="S3202" t="inlineStr">
        <is>
          <t>3.12</t>
        </is>
      </c>
      <c r="T3202" t="inlineStr">
        <is>
          <t>服饰穿搭</t>
        </is>
      </c>
      <c r="U3202" t="inlineStr">
        <is>
          <t>女装</t>
        </is>
      </c>
      <c r="V3202" s="3">
        <v>46112.78107638889</v>
      </c>
      <c r="W3202" t="inlineStr">
        <is>
          <t>2026-Q1</t>
        </is>
      </c>
    </row>
    <row r="3203" ht="25.5" customHeight="1">
      <c r="A3203" t="inlineStr">
        <is>
          <t>美式复古风工装裤女秋夏高腰阔腿裤卫裤直筒可束脚抽绳速干运动裤</t>
        </is>
      </c>
      <c r="B3203" t="inlineStr">
        <is>
          <t>recvf2aASaTkTM.jpg</t>
        </is>
      </c>
      <c r="C3203" s="2" t="str">
        <f>=HYPERLINK("https://xhslink.com/m/wDQrXbMqJq", "https://xhslink.com/m/wDQrXbMqJq")</f>
        <v>https://xhslink.com/m/wDQrXbMqJq</v>
      </c>
      <c r="D3203"/>
      <c r="E3203">
        <v>25000</v>
      </c>
      <c r="F3203">
        <v>89</v>
      </c>
      <c r="G3203">
        <v>88</v>
      </c>
      <c r="H3203">
        <v>100</v>
      </c>
      <c r="I3203" t="inlineStr">
        <is>
          <t>运动裤</t>
        </is>
      </c>
      <c r="J3203" t="inlineStr">
        <is>
          <t>0.00</t>
        </is>
      </c>
      <c r="K3203" t="inlineStr">
        <is>
          <t>🔥低粉爆款</t>
        </is>
      </c>
      <c r="L3203" t="inlineStr">
        <is>
          <t>小羊七七的店</t>
        </is>
      </c>
      <c r="M3203">
        <v>2050</v>
      </c>
      <c r="N3203">
        <v>4.66</v>
      </c>
      <c r="O3203">
        <v>32000</v>
      </c>
      <c r="P3203" t="inlineStr">
        <is>
          <t>66a37cae2cdf150001124aec</t>
        </is>
      </c>
      <c r="Q3203" t="inlineStr">
        <is>
          <t>🚫重复</t>
        </is>
      </c>
      <c r="R3203" t="inlineStr">
        <is>
          <t>14周</t>
        </is>
      </c>
      <c r="S3203" t="inlineStr">
        <is>
          <t>12.20</t>
        </is>
      </c>
      <c r="T3203" t="inlineStr">
        <is>
          <t>服饰穿搭</t>
        </is>
      </c>
      <c r="U3203" t="inlineStr">
        <is>
          <t>女装</t>
        </is>
      </c>
      <c r="V3203" s="3">
        <v>46112.78107638889</v>
      </c>
      <c r="W3203" t="inlineStr">
        <is>
          <t>2026-Q1</t>
        </is>
      </c>
    </row>
    <row r="3204" ht="25.5" customHeight="1">
      <c r="A3204" t="inlineStr">
        <is>
          <t>直筒运动卫裤女春季2026新款高腰宽松女装窄版阔腿裤显瘦休闲裤子</t>
        </is>
      </c>
      <c r="B3204" t="inlineStr">
        <is>
          <t>recvf2aASa5aVL.jpg</t>
        </is>
      </c>
      <c r="C3204" s="2" t="str">
        <f>=HYPERLINK("https://xhslink.com/m/45v6KMGnpUD", "https://xhslink.com/m/45v6KMGnpUD")</f>
        <v>https://xhslink.com/m/45v6KMGnpUD</v>
      </c>
      <c r="D3204"/>
      <c r="E3204">
        <v>87000</v>
      </c>
      <c r="F3204">
        <v>114.2</v>
      </c>
      <c r="G3204">
        <v>79.9</v>
      </c>
      <c r="H3204">
        <v>100</v>
      </c>
      <c r="I3204" t="inlineStr">
        <is>
          <t>运动裤</t>
        </is>
      </c>
      <c r="J3204" t="inlineStr">
        <is>
          <t>0.00</t>
        </is>
      </c>
      <c r="K3204"/>
      <c r="L3204" t="inlineStr">
        <is>
          <t>小薯崽的店</t>
        </is>
      </c>
      <c r="M3204">
        <v>43000</v>
      </c>
      <c r="N3204">
        <v>4.56</v>
      </c>
      <c r="O3204">
        <v>339000</v>
      </c>
      <c r="P3204" t="inlineStr">
        <is>
          <t>66248a9919679e0001851161</t>
        </is>
      </c>
      <c r="Q3204" t="inlineStr">
        <is>
          <t>🚫重复</t>
        </is>
      </c>
      <c r="R3204" t="inlineStr">
        <is>
          <t>14周</t>
        </is>
      </c>
      <c r="S3204" t="inlineStr">
        <is>
          <t>2.02</t>
        </is>
      </c>
      <c r="T3204" t="inlineStr">
        <is>
          <t>服饰穿搭</t>
        </is>
      </c>
      <c r="U3204" t="inlineStr">
        <is>
          <t>女装</t>
        </is>
      </c>
      <c r="V3204" s="3">
        <v>46112.78107638889</v>
      </c>
      <c r="W3204" t="inlineStr">
        <is>
          <t>2026-Q1</t>
        </is>
      </c>
    </row>
    <row r="3205" ht="25.5" customHeight="1">
      <c r="A3205" t="inlineStr">
        <is>
          <t>【前3万单立减30】天丝牛仔裤2026高腰春夏新垂感休闲运动裤</t>
        </is>
      </c>
      <c r="B3205" t="inlineStr">
        <is>
          <t>recvf2aASalD1e.jpg</t>
        </is>
      </c>
      <c r="C3205" s="2" t="str">
        <f>=HYPERLINK("https://xhslink.com/m/6LEYpxvDNFn", "https://xhslink.com/m/6LEYpxvDNFn")</f>
        <v>https://xhslink.com/m/6LEYpxvDNFn</v>
      </c>
      <c r="D3205"/>
      <c r="E3205">
        <v>24000</v>
      </c>
      <c r="F3205">
        <v>89.9</v>
      </c>
      <c r="G3205">
        <v>59.9</v>
      </c>
      <c r="H3205">
        <v>100</v>
      </c>
      <c r="I3205" t="inlineStr">
        <is>
          <t>运动裤</t>
        </is>
      </c>
      <c r="J3205" t="inlineStr">
        <is>
          <t>0.00</t>
        </is>
      </c>
      <c r="K3205"/>
      <c r="L3205" t="inlineStr">
        <is>
          <t>舟北北服饰的店</t>
        </is>
      </c>
      <c r="M3205">
        <v>16000</v>
      </c>
      <c r="N3205">
        <v>4.46</v>
      </c>
      <c r="O3205">
        <v>329000</v>
      </c>
      <c r="P3205" t="inlineStr">
        <is>
          <t>67de1dc7132df900013c1172</t>
        </is>
      </c>
      <c r="Q3205" t="inlineStr">
        <is>
          <t>🚫重复</t>
        </is>
      </c>
      <c r="R3205" t="inlineStr">
        <is>
          <t>14周</t>
        </is>
      </c>
      <c r="S3205" t="inlineStr">
        <is>
          <t>1.50</t>
        </is>
      </c>
      <c r="T3205" t="inlineStr">
        <is>
          <t>服饰穿搭</t>
        </is>
      </c>
      <c r="U3205" t="inlineStr">
        <is>
          <t>女装</t>
        </is>
      </c>
      <c r="V3205" s="3">
        <v>46112.78107638889</v>
      </c>
      <c r="W3205" t="inlineStr">
        <is>
          <t>2026-Q1</t>
        </is>
      </c>
    </row>
    <row r="3206" ht="25.5" customHeight="1">
      <c r="A3206" t="inlineStr">
        <is>
          <t>美式复古风工装裤女秋夏高腰阔腿裤卫裤直筒可束脚抽绳速干运动裤</t>
        </is>
      </c>
      <c r="B3206" t="inlineStr">
        <is>
          <t>recvf2aASaq0dt.jpg</t>
        </is>
      </c>
      <c r="C3206" s="2" t="str">
        <f>=HYPERLINK("https://xhslink.com/m/5aOzIbTRW5d", "https://xhslink.com/m/5aOzIbTRW5d")</f>
        <v>https://xhslink.com/m/5aOzIbTRW5d</v>
      </c>
      <c r="D3206"/>
      <c r="E3206">
        <v>25000</v>
      </c>
      <c r="F3206">
        <v>89</v>
      </c>
      <c r="G3206">
        <v>88</v>
      </c>
      <c r="H3206">
        <v>100</v>
      </c>
      <c r="I3206" t="inlineStr">
        <is>
          <t>运动裤</t>
        </is>
      </c>
      <c r="J3206" t="inlineStr">
        <is>
          <t>0.00</t>
        </is>
      </c>
      <c r="K3206" t="inlineStr">
        <is>
          <t>🔥低粉爆款</t>
        </is>
      </c>
      <c r="L3206" t="inlineStr">
        <is>
          <t>小羊七七的店</t>
        </is>
      </c>
      <c r="M3206">
        <v>2050</v>
      </c>
      <c r="N3206">
        <v>4.66</v>
      </c>
      <c r="O3206">
        <v>32000</v>
      </c>
      <c r="P3206" t="inlineStr">
        <is>
          <t>66a37cc7aef4e300013aa367</t>
        </is>
      </c>
      <c r="Q3206" t="inlineStr">
        <is>
          <t>🚫重复</t>
        </is>
      </c>
      <c r="R3206" t="inlineStr">
        <is>
          <t>14周</t>
        </is>
      </c>
      <c r="S3206" t="inlineStr">
        <is>
          <t>12.20</t>
        </is>
      </c>
      <c r="T3206" t="inlineStr">
        <is>
          <t>服饰穿搭</t>
        </is>
      </c>
      <c r="U3206" t="inlineStr">
        <is>
          <t>女装</t>
        </is>
      </c>
      <c r="V3206" s="3">
        <v>46112.78107638889</v>
      </c>
      <c r="W3206" t="inlineStr">
        <is>
          <t>2026-Q1</t>
        </is>
      </c>
    </row>
    <row r="3207" ht="25.5" customHeight="1">
      <c r="A3207" t="inlineStr">
        <is>
          <t>灰色阔腿裤女秋季2025新款窄版高腰宽松垂感休闲瑜伽运动卫裤</t>
        </is>
      </c>
      <c r="B3207" t="inlineStr">
        <is>
          <t>recvf2aASa3bVm.jpg</t>
        </is>
      </c>
      <c r="C3207" s="2" t="str">
        <f>=HYPERLINK("https://xhslink.com/m/1ddl3wHYs3I", "https://xhslink.com/m/1ddl3wHYs3I")</f>
        <v>https://xhslink.com/m/1ddl3wHYs3I</v>
      </c>
      <c r="D3207"/>
      <c r="E3207">
        <v>33000</v>
      </c>
      <c r="F3207">
        <v>89</v>
      </c>
      <c r="G3207"/>
      <c r="H3207">
        <v>100</v>
      </c>
      <c r="I3207" t="inlineStr">
        <is>
          <t>运动裤</t>
        </is>
      </c>
      <c r="J3207" t="inlineStr">
        <is>
          <t>0.00</t>
        </is>
      </c>
      <c r="K3207" t="inlineStr">
        <is>
          <t>🔥低粉爆款</t>
        </is>
      </c>
      <c r="L3207" t="inlineStr">
        <is>
          <t>酸奶玉米汤的店</t>
        </is>
      </c>
      <c r="M3207">
        <v>2331</v>
      </c>
      <c r="N3207">
        <v>4.67</v>
      </c>
      <c r="O3207">
        <v>51000</v>
      </c>
      <c r="P3207" t="inlineStr">
        <is>
          <t>68b556f06f3f720001c79742</t>
        </is>
      </c>
      <c r="Q3207" t="inlineStr">
        <is>
          <t>🚫重复</t>
        </is>
      </c>
      <c r="R3207" t="inlineStr">
        <is>
          <t>14周</t>
        </is>
      </c>
      <c r="S3207" t="inlineStr">
        <is>
          <t>14.16</t>
        </is>
      </c>
      <c r="T3207" t="inlineStr">
        <is>
          <t>服饰穿搭</t>
        </is>
      </c>
      <c r="U3207" t="inlineStr">
        <is>
          <t>女装</t>
        </is>
      </c>
      <c r="V3207" s="3">
        <v>46112.78107638889</v>
      </c>
      <c r="W3207" t="inlineStr">
        <is>
          <t>2026-Q1</t>
        </is>
      </c>
    </row>
    <row r="3208" ht="25.5" customHeight="1">
      <c r="A3208" t="inlineStr">
        <is>
          <t>夏季速干纯色降落伞工装裤松紧腰抽绳宽松皱褶美式运动休闲风长裤</t>
        </is>
      </c>
      <c r="B3208" t="inlineStr">
        <is>
          <t>recvf2aASa9DA2.jpg</t>
        </is>
      </c>
      <c r="C3208" s="2" t="str">
        <f>=HYPERLINK("https://xhslink.com/m/5WwbAp0cnCT", "https://xhslink.com/m/5WwbAp0cnCT")</f>
        <v>https://xhslink.com/m/5WwbAp0cnCT</v>
      </c>
      <c r="D3208"/>
      <c r="E3208">
        <v>9151</v>
      </c>
      <c r="F3208">
        <v>76</v>
      </c>
      <c r="G3208"/>
      <c r="H3208">
        <v>100</v>
      </c>
      <c r="I3208" t="inlineStr">
        <is>
          <t>运动裤</t>
        </is>
      </c>
      <c r="J3208" t="inlineStr">
        <is>
          <t>0.01</t>
        </is>
      </c>
      <c r="K3208" t="inlineStr">
        <is>
          <t>🔥低粉爆款</t>
        </is>
      </c>
      <c r="L3208" t="inlineStr">
        <is>
          <t>鱼鱼Yuyu的店</t>
        </is>
      </c>
      <c r="M3208">
        <v>435</v>
      </c>
      <c r="N3208">
        <v>4.44</v>
      </c>
      <c r="O3208">
        <v>15000</v>
      </c>
      <c r="P3208" t="inlineStr">
        <is>
          <t>682490c658da9f00011e9b4d</t>
        </is>
      </c>
      <c r="Q3208"/>
      <c r="R3208" t="inlineStr">
        <is>
          <t>14周</t>
        </is>
      </c>
      <c r="S3208" t="inlineStr">
        <is>
          <t>21.04</t>
        </is>
      </c>
      <c r="T3208" t="inlineStr">
        <is>
          <t>服饰穿搭</t>
        </is>
      </c>
      <c r="U3208" t="inlineStr">
        <is>
          <t>女装</t>
        </is>
      </c>
      <c r="V3208" s="3">
        <v>46112.78107638889</v>
      </c>
      <c r="W3208" t="inlineStr">
        <is>
          <t>2026-Q1</t>
        </is>
      </c>
    </row>
    <row r="3209" ht="25.5" customHeight="1">
      <c r="A3209" t="inlineStr">
        <is>
          <t>美式工装裤女士高级感裤子女春秋高腰阔腿卫裤直筒休闲运动裤长裤</t>
        </is>
      </c>
      <c r="B3209" t="inlineStr">
        <is>
          <t>recvf2aASa6WmZ.jpg</t>
        </is>
      </c>
      <c r="C3209" s="2" t="str">
        <f>=HYPERLINK("https://xhslink.com/m/A5GBYDjS5N2", "https://xhslink.com/m/A5GBYDjS5N2")</f>
        <v>https://xhslink.com/m/A5GBYDjS5N2</v>
      </c>
      <c r="D3209"/>
      <c r="E3209">
        <v>3582</v>
      </c>
      <c r="F3209">
        <v>149.9</v>
      </c>
      <c r="G3209">
        <v>89.9</v>
      </c>
      <c r="H3209">
        <v>100</v>
      </c>
      <c r="I3209" t="inlineStr">
        <is>
          <t>运动裤</t>
        </is>
      </c>
      <c r="J3209" t="inlineStr">
        <is>
          <t>0.03</t>
        </is>
      </c>
      <c r="K3209" t="inlineStr">
        <is>
          <t>🔥低粉爆款</t>
        </is>
      </c>
      <c r="L3209" t="inlineStr">
        <is>
          <t>芭蕉公主Oo。的店</t>
        </is>
      </c>
      <c r="M3209">
        <v>280</v>
      </c>
      <c r="N3209">
        <v>4.54</v>
      </c>
      <c r="O3209">
        <v>3920</v>
      </c>
      <c r="P3209" t="inlineStr">
        <is>
          <t>684494ca6d19100001648994</t>
        </is>
      </c>
      <c r="Q3209" t="inlineStr">
        <is>
          <t>🚫重复</t>
        </is>
      </c>
      <c r="R3209" t="inlineStr">
        <is>
          <t>14周</t>
        </is>
      </c>
      <c r="S3209" t="inlineStr">
        <is>
          <t>12.79</t>
        </is>
      </c>
      <c r="T3209" t="inlineStr">
        <is>
          <t>服饰穿搭</t>
        </is>
      </c>
      <c r="U3209" t="inlineStr">
        <is>
          <t>女装</t>
        </is>
      </c>
      <c r="V3209" s="3">
        <v>46112.78107638889</v>
      </c>
      <c r="W3209" t="inlineStr">
        <is>
          <t>2026-Q1</t>
        </is>
      </c>
    </row>
    <row r="3210" ht="25.5" customHeight="1">
      <c r="A3210" t="inlineStr">
        <is>
          <t>【DS】L*L*ebb运动聚拢背心舒适百搭女</t>
        </is>
      </c>
      <c r="B3210" t="inlineStr">
        <is>
          <t>recvf2aASaKTw2.jpg</t>
        </is>
      </c>
      <c r="C3210" s="2" t="str">
        <f>=HYPERLINK("https://xhslink.com/m/2k7729Y9rkL", "https://xhslink.com/m/2k7729Y9rkL")</f>
        <v>https://xhslink.com/m/2k7729Y9rkL</v>
      </c>
      <c r="D3210"/>
      <c r="E3210">
        <v>28000</v>
      </c>
      <c r="F3210">
        <v>119.8</v>
      </c>
      <c r="G3210">
        <v>66.9</v>
      </c>
      <c r="H3210">
        <v>100</v>
      </c>
      <c r="I3210" t="inlineStr">
        <is>
          <t>运动背心</t>
        </is>
      </c>
      <c r="J3210" t="inlineStr">
        <is>
          <t>0.00</t>
        </is>
      </c>
      <c r="K3210"/>
      <c r="L3210" t="inlineStr">
        <is>
          <t>枫大树自制的店</t>
        </is>
      </c>
      <c r="M3210">
        <v>39000</v>
      </c>
      <c r="N3210">
        <v>4.56</v>
      </c>
      <c r="O3210">
        <v>62000</v>
      </c>
      <c r="P3210" t="inlineStr">
        <is>
          <t>69a509ca388d470001dcc9cc</t>
        </is>
      </c>
      <c r="Q3210"/>
      <c r="R3210" t="inlineStr">
        <is>
          <t>14周</t>
        </is>
      </c>
      <c r="S3210" t="inlineStr">
        <is>
          <t>0.72</t>
        </is>
      </c>
      <c r="T3210" t="inlineStr">
        <is>
          <t>服饰穿搭</t>
        </is>
      </c>
      <c r="U3210" t="inlineStr">
        <is>
          <t>女装</t>
        </is>
      </c>
      <c r="V3210" s="3">
        <v>46112.78107638889</v>
      </c>
      <c r="W3210" t="inlineStr">
        <is>
          <t>2026-Q1</t>
        </is>
      </c>
    </row>
    <row r="3211" ht="25.5" customHeight="1">
      <c r="A3211" t="inlineStr">
        <is>
          <t>【木子晴】户外山系三合一冲锋衣爬山运动可拆卸外套男女款登山服</t>
        </is>
      </c>
      <c r="B3211" t="inlineStr">
        <is>
          <t>recvf2aASadix0.jpg</t>
        </is>
      </c>
      <c r="C3211" s="2" t="str">
        <f>=HYPERLINK("https://xhslink.com/m/7m2UYNJGFzz", "https://xhslink.com/m/7m2UYNJGFzz")</f>
        <v>https://xhslink.com/m/7m2UYNJGFzz</v>
      </c>
      <c r="D3211"/>
      <c r="E3211">
        <v>38000</v>
      </c>
      <c r="F3211">
        <v>229</v>
      </c>
      <c r="G3211">
        <v>188</v>
      </c>
      <c r="H3211">
        <v>100</v>
      </c>
      <c r="I3211" t="inlineStr">
        <is>
          <t>登山穿搭</t>
        </is>
      </c>
      <c r="J3211" t="inlineStr">
        <is>
          <t>0.00</t>
        </is>
      </c>
      <c r="K3211" t="inlineStr">
        <is>
          <t>🔥低粉爆款</t>
        </is>
      </c>
      <c r="L3211" t="inlineStr">
        <is>
          <t>木子晴的店</t>
        </is>
      </c>
      <c r="M3211">
        <v>7693</v>
      </c>
      <c r="N3211">
        <v>4.6</v>
      </c>
      <c r="O3211">
        <v>55000</v>
      </c>
      <c r="P3211" t="inlineStr">
        <is>
          <t>686160d13a11a80001a3187f</t>
        </is>
      </c>
      <c r="Q3211"/>
      <c r="R3211" t="inlineStr">
        <is>
          <t>14周</t>
        </is>
      </c>
      <c r="S3211" t="inlineStr">
        <is>
          <t>4.94</t>
        </is>
      </c>
      <c r="T3211" t="inlineStr">
        <is>
          <t>服饰穿搭</t>
        </is>
      </c>
      <c r="U3211" t="inlineStr">
        <is>
          <t>女装</t>
        </is>
      </c>
      <c r="V3211" s="3">
        <v>46112.78107638889</v>
      </c>
      <c r="W3211" t="inlineStr">
        <is>
          <t>2026-Q1</t>
        </is>
      </c>
    </row>
    <row r="3212" ht="25.5" customHeight="1">
      <c r="A3212" t="inlineStr">
        <is>
          <t>跨境高强度工字背大码运动内衣女双层镂空底围调节式瑜伽健身文胸</t>
        </is>
      </c>
      <c r="B3212" t="inlineStr">
        <is>
          <t>recvf2aASaU61H.jpg</t>
        </is>
      </c>
      <c r="C3212" s="2" t="str">
        <f>=HYPERLINK("https://xhslink.com/m/6LhGTb75k8T", "https://xhslink.com/m/6LhGTb75k8T")</f>
        <v>https://xhslink.com/m/6LhGTb75k8T</v>
      </c>
      <c r="D3212"/>
      <c r="E3212">
        <v>2931</v>
      </c>
      <c r="F3212">
        <v>128</v>
      </c>
      <c r="G3212">
        <v>105.8</v>
      </c>
      <c r="H3212">
        <v>100</v>
      </c>
      <c r="I3212" t="inlineStr">
        <is>
          <t>运动内衣</t>
        </is>
      </c>
      <c r="J3212" t="inlineStr">
        <is>
          <t>0.03</t>
        </is>
      </c>
      <c r="K3212"/>
      <c r="L3212" t="inlineStr">
        <is>
          <t>FOCUS的店</t>
        </is>
      </c>
      <c r="M3212">
        <v>6028</v>
      </c>
      <c r="N3212">
        <v>4.62</v>
      </c>
      <c r="O3212">
        <v>21000</v>
      </c>
      <c r="P3212" t="inlineStr">
        <is>
          <t>66f20992c1ece6000176e08f</t>
        </is>
      </c>
      <c r="Q3212"/>
      <c r="R3212" t="inlineStr">
        <is>
          <t>14周</t>
        </is>
      </c>
      <c r="S3212" t="inlineStr">
        <is>
          <t>0.49</t>
        </is>
      </c>
      <c r="T3212" t="inlineStr">
        <is>
          <t>运动潮玩</t>
        </is>
      </c>
      <c r="U3212" t="inlineStr">
        <is>
          <t>运动户外装备</t>
        </is>
      </c>
      <c r="V3212" s="3">
        <v>46112.78107638889</v>
      </c>
      <c r="W3212" t="inlineStr">
        <is>
          <t>2026-Q1</t>
        </is>
      </c>
    </row>
    <row r="3213" ht="25.5" customHeight="1">
      <c r="A3213" t="inlineStr">
        <is>
          <t>【单肩】拼色运动文胸</t>
        </is>
      </c>
      <c r="B3213" t="inlineStr">
        <is>
          <t>recvf2aASaCPUQ.jpg</t>
        </is>
      </c>
      <c r="C3213" s="2" t="str">
        <f>=HYPERLINK("https://xhslink.com/m/1vNBgYVCSWM", "https://xhslink.com/m/1vNBgYVCSWM")</f>
        <v>https://xhslink.com/m/1vNBgYVCSWM</v>
      </c>
      <c r="D3213"/>
      <c r="E3213">
        <v>1459</v>
      </c>
      <c r="F3213">
        <v>85</v>
      </c>
      <c r="G3213">
        <v>75</v>
      </c>
      <c r="H3213">
        <v>100</v>
      </c>
      <c r="I3213" t="inlineStr">
        <is>
          <t>运动内衣</t>
        </is>
      </c>
      <c r="J3213" t="inlineStr">
        <is>
          <t>0.07</t>
        </is>
      </c>
      <c r="K3213"/>
      <c r="L3213" t="inlineStr">
        <is>
          <t>肖大大 Chic Sport的店</t>
        </is>
      </c>
      <c r="M3213">
        <v>36000</v>
      </c>
      <c r="N3213">
        <v>4.61</v>
      </c>
      <c r="O3213">
        <v>14000</v>
      </c>
      <c r="P3213" t="inlineStr">
        <is>
          <t>68b44e488ec6fa0001721569</t>
        </is>
      </c>
      <c r="Q3213" t="inlineStr">
        <is>
          <t>🚫重复</t>
        </is>
      </c>
      <c r="R3213" t="inlineStr">
        <is>
          <t>14周</t>
        </is>
      </c>
      <c r="S3213" t="inlineStr">
        <is>
          <t>0.04</t>
        </is>
      </c>
      <c r="T3213" t="inlineStr">
        <is>
          <t>服饰穿搭</t>
        </is>
      </c>
      <c r="U3213" t="inlineStr">
        <is>
          <t>女装</t>
        </is>
      </c>
      <c r="V3213" s="3">
        <v>46112.78107638889</v>
      </c>
      <c r="W3213" t="inlineStr">
        <is>
          <t>2026-Q1</t>
        </is>
      </c>
    </row>
    <row r="3214" ht="25.5" customHeight="1">
      <c r="A3214" t="inlineStr">
        <is>
          <t>HEMADANDUN · 山系三防三合一冲锋衣外套男女连帽夹克户外旅游登山冲锋衣</t>
        </is>
      </c>
      <c r="B3214" t="inlineStr">
        <is>
          <t>recvf2aASaTxCA.jpg</t>
        </is>
      </c>
      <c r="C3214" s="2" t="str">
        <f>=HYPERLINK("https://xhslink.com/m/5zrrrUGG8h8", "https://xhslink.com/m/5zrrrUGG8h8")</f>
        <v>https://xhslink.com/m/5zrrrUGG8h8</v>
      </c>
      <c r="D3214"/>
      <c r="E3214">
        <v>17000</v>
      </c>
      <c r="F3214">
        <v>189</v>
      </c>
      <c r="G3214">
        <v>129</v>
      </c>
      <c r="H3214">
        <v>100</v>
      </c>
      <c r="I3214" t="inlineStr">
        <is>
          <t>户外穿搭</t>
        </is>
      </c>
      <c r="J3214" t="inlineStr">
        <is>
          <t>0.01</t>
        </is>
      </c>
      <c r="K3214" t="inlineStr">
        <is>
          <t>🔥低粉爆款</t>
        </is>
      </c>
      <c r="L3214" t="inlineStr">
        <is>
          <t>三喜白GNOCCHI的店</t>
        </is>
      </c>
      <c r="M3214">
        <v>1859</v>
      </c>
      <c r="N3214">
        <v>4.52</v>
      </c>
      <c r="O3214">
        <v>24000</v>
      </c>
      <c r="P3214" t="inlineStr">
        <is>
          <t>6892b2b78fe34700012ee013</t>
        </is>
      </c>
      <c r="Q3214" t="inlineStr">
        <is>
          <t>🚫重复</t>
        </is>
      </c>
      <c r="R3214" t="inlineStr">
        <is>
          <t>14周</t>
        </is>
      </c>
      <c r="S3214" t="inlineStr">
        <is>
          <t>9.14</t>
        </is>
      </c>
      <c r="T3214" t="inlineStr">
        <is>
          <t>服饰穿搭</t>
        </is>
      </c>
      <c r="U3214" t="inlineStr">
        <is>
          <t>女装</t>
        </is>
      </c>
      <c r="V3214" s="3">
        <v>46112.78107638889</v>
      </c>
      <c r="W3214" t="inlineStr">
        <is>
          <t>2026-Q1</t>
        </is>
      </c>
    </row>
    <row r="3215" ht="25.5" customHeight="1">
      <c r="A3215" t="inlineStr">
        <is>
          <t>URZA&amp;TAFR · 男装女装防风连帽外套秋冬新款户外休闲夹克工装风冲锋衣登山服</t>
        </is>
      </c>
      <c r="B3215" t="inlineStr">
        <is>
          <t>recvf2aASauDmm.jpg</t>
        </is>
      </c>
      <c r="C3215" s="2" t="str">
        <f>=HYPERLINK("https://xhslink.com/m/7ZNnHiH01FD", "https://xhslink.com/m/7ZNnHiH01FD")</f>
        <v>https://xhslink.com/m/7ZNnHiH01FD</v>
      </c>
      <c r="D3215"/>
      <c r="E3215">
        <v>745</v>
      </c>
      <c r="F3215">
        <v>129</v>
      </c>
      <c r="G3215"/>
      <c r="H3215">
        <v>100</v>
      </c>
      <c r="I3215" t="inlineStr">
        <is>
          <t>户外穿搭</t>
        </is>
      </c>
      <c r="J3215" t="inlineStr">
        <is>
          <t>0.13</t>
        </is>
      </c>
      <c r="K3215"/>
      <c r="L3215" t="inlineStr">
        <is>
          <t>山野服饰的店</t>
        </is>
      </c>
      <c r="M3215">
        <v>7014</v>
      </c>
      <c r="N3215">
        <v>4.53</v>
      </c>
      <c r="O3215">
        <v>46000</v>
      </c>
      <c r="P3215" t="inlineStr">
        <is>
          <t>68a1edd93304730001a2439e</t>
        </is>
      </c>
      <c r="Q3215"/>
      <c r="R3215" t="inlineStr">
        <is>
          <t>14周</t>
        </is>
      </c>
      <c r="S3215" t="inlineStr">
        <is>
          <t>0.11</t>
        </is>
      </c>
      <c r="T3215" t="inlineStr">
        <is>
          <t>服饰穿搭</t>
        </is>
      </c>
      <c r="U3215" t="inlineStr">
        <is>
          <t>女装</t>
        </is>
      </c>
      <c r="V3215" s="3">
        <v>46112.78107638889</v>
      </c>
      <c r="W3215" t="inlineStr">
        <is>
          <t>2026-Q1</t>
        </is>
      </c>
    </row>
    <row r="3216" ht="25.5" customHeight="1">
      <c r="A3216" t="inlineStr">
        <is>
          <t>【大米饭】有点小遮副乳的方领背心 夏季运动休闲可单穿小背心</t>
        </is>
      </c>
      <c r="B3216" t="inlineStr">
        <is>
          <t>recvf2aASan1D2.jpg</t>
        </is>
      </c>
      <c r="C3216" s="2" t="str">
        <f>=HYPERLINK("https://xhslink.com/m/9hmtZKhMdDq", "https://xhslink.com/m/9hmtZKhMdDq")</f>
        <v>https://xhslink.com/m/9hmtZKhMdDq</v>
      </c>
      <c r="D3216"/>
      <c r="E3216">
        <v>1403</v>
      </c>
      <c r="F3216">
        <v>36</v>
      </c>
      <c r="G3216">
        <v>31</v>
      </c>
      <c r="H3216">
        <v>100</v>
      </c>
      <c r="I3216" t="inlineStr">
        <is>
          <t>吊带内搭</t>
        </is>
      </c>
      <c r="J3216" t="inlineStr">
        <is>
          <t>0.07</t>
        </is>
      </c>
      <c r="K3216"/>
      <c r="L3216" t="inlineStr">
        <is>
          <t>大米饭制衣厂（厂长版）的店</t>
        </is>
      </c>
      <c r="M3216">
        <v>62000</v>
      </c>
      <c r="N3216">
        <v>4.68</v>
      </c>
      <c r="O3216">
        <v>151000</v>
      </c>
      <c r="P3216" t="inlineStr">
        <is>
          <t>6832b6b16aec03001560d5ee</t>
        </is>
      </c>
      <c r="Q3216" t="inlineStr">
        <is>
          <t>🚫重复</t>
        </is>
      </c>
      <c r="R3216" t="inlineStr">
        <is>
          <t>14周</t>
        </is>
      </c>
      <c r="S3216" t="inlineStr">
        <is>
          <t>0.02</t>
        </is>
      </c>
      <c r="T3216" t="inlineStr">
        <is>
          <t>服饰穿搭</t>
        </is>
      </c>
      <c r="U3216" t="inlineStr">
        <is>
          <t>女装</t>
        </is>
      </c>
      <c r="V3216" s="3">
        <v>46112.78107638889</v>
      </c>
      <c r="W3216" t="inlineStr">
        <is>
          <t>2026-Q1</t>
        </is>
      </c>
    </row>
    <row r="3217" ht="25.5" customHeight="1">
      <c r="A3217" t="inlineStr">
        <is>
          <t>ZHR则则 · 沈月黄子弘凡李耕耘同款！超星元【7cm】银色老爹鞋女春厚底增高</t>
        </is>
      </c>
      <c r="B3217" t="inlineStr">
        <is>
          <t>recvf2aASaEcCo.jpg</t>
        </is>
      </c>
      <c r="C3217" s="2" t="str">
        <f>=HYPERLINK("https://xhslink.com/m/AR1QFd7x5bd", "https://xhslink.com/m/AR1QFd7x5bd")</f>
        <v>https://xhslink.com/m/AR1QFd7x5bd</v>
      </c>
      <c r="D3217"/>
      <c r="E3217">
        <v>29000</v>
      </c>
      <c r="F3217">
        <v>200</v>
      </c>
      <c r="G3217">
        <v>159</v>
      </c>
      <c r="H3217">
        <v>100</v>
      </c>
      <c r="I3217" t="inlineStr">
        <is>
          <t>运动鞋</t>
        </is>
      </c>
      <c r="J3217" t="inlineStr">
        <is>
          <t>0.00</t>
        </is>
      </c>
      <c r="K3217"/>
      <c r="L3217" t="inlineStr">
        <is>
          <t>ZHR旗舰店</t>
        </is>
      </c>
      <c r="M3217">
        <v>33000</v>
      </c>
      <c r="N3217">
        <v>4.44</v>
      </c>
      <c r="O3217">
        <v>145000</v>
      </c>
      <c r="P3217" t="inlineStr">
        <is>
          <t>6764dd94b1267e0001a84ded</t>
        </is>
      </c>
      <c r="Q3217" t="inlineStr">
        <is>
          <t>🚫重复</t>
        </is>
      </c>
      <c r="R3217" t="inlineStr">
        <is>
          <t>14周</t>
        </is>
      </c>
      <c r="S3217" t="inlineStr">
        <is>
          <t>0.88</t>
        </is>
      </c>
      <c r="T3217" t="inlineStr">
        <is>
          <t>服饰穿搭</t>
        </is>
      </c>
      <c r="U3217" t="inlineStr">
        <is>
          <t>鞋靴箱包</t>
        </is>
      </c>
      <c r="V3217" s="3">
        <v>46112.78107638889</v>
      </c>
      <c r="W3217" t="inlineStr">
        <is>
          <t>2026-Q1</t>
        </is>
      </c>
    </row>
    <row r="3218" ht="25.5" customHeight="1">
      <c r="A3218" t="inlineStr">
        <is>
          <t>2026年新款复古风运动鞋女春季透气网面德训鞋休闲百搭鞋子</t>
        </is>
      </c>
      <c r="B3218" t="inlineStr">
        <is>
          <t>recvf2aASa8uN6.jpg</t>
        </is>
      </c>
      <c r="C3218" s="2" t="str">
        <f>=HYPERLINK("https://xhslink.com/m/3FlhXJVQWOH", "https://xhslink.com/m/3FlhXJVQWOH")</f>
        <v>https://xhslink.com/m/3FlhXJVQWOH</v>
      </c>
      <c r="D3218"/>
      <c r="E3218">
        <v>6230</v>
      </c>
      <c r="F3218">
        <v>98</v>
      </c>
      <c r="G3218">
        <v>78</v>
      </c>
      <c r="H3218">
        <v>100</v>
      </c>
      <c r="I3218" t="inlineStr">
        <is>
          <t>鞋靴</t>
        </is>
      </c>
      <c r="J3218" t="inlineStr">
        <is>
          <t>0.02</t>
        </is>
      </c>
      <c r="K3218"/>
      <c r="L3218" t="inlineStr">
        <is>
          <t>粤鹤的店</t>
        </is>
      </c>
      <c r="M3218">
        <v>34000</v>
      </c>
      <c r="N3218">
        <v>4.48</v>
      </c>
      <c r="O3218">
        <v>179000</v>
      </c>
      <c r="P3218" t="inlineStr">
        <is>
          <t>68785cc60e13d50001e337e2</t>
        </is>
      </c>
      <c r="Q3218" t="inlineStr">
        <is>
          <t>🚫重复</t>
        </is>
      </c>
      <c r="R3218" t="inlineStr">
        <is>
          <t>14周</t>
        </is>
      </c>
      <c r="S3218" t="inlineStr">
        <is>
          <t>0.18</t>
        </is>
      </c>
      <c r="T3218" t="inlineStr">
        <is>
          <t>服饰穿搭</t>
        </is>
      </c>
      <c r="U3218" t="inlineStr">
        <is>
          <t>鞋靴箱包</t>
        </is>
      </c>
      <c r="V3218" s="3">
        <v>46112.78107638889</v>
      </c>
      <c r="W3218" t="inlineStr">
        <is>
          <t>2026-Q1</t>
        </is>
      </c>
    </row>
    <row r="3219" ht="25.5" customHeight="1">
      <c r="A3219" t="inlineStr">
        <is>
          <t>骆驼 · 【银月】老爹鞋25新款7cm增高爆款女款厚底运动休闲鞋夏季穿搭</t>
        </is>
      </c>
      <c r="B3219" t="inlineStr">
        <is>
          <t>recvf2aASaGF3W.jpg</t>
        </is>
      </c>
      <c r="C3219" s="2" t="str">
        <f>=HYPERLINK("https://xhslink.com/m/VLPHTH9V9I", "https://xhslink.com/m/VLPHTH9V9I")</f>
        <v>https://xhslink.com/m/VLPHTH9V9I</v>
      </c>
      <c r="D3219"/>
      <c r="E3219">
        <v>7561</v>
      </c>
      <c r="F3219">
        <v>279</v>
      </c>
      <c r="G3219"/>
      <c r="H3219">
        <v>100</v>
      </c>
      <c r="I3219" t="inlineStr">
        <is>
          <t>鞋靴</t>
        </is>
      </c>
      <c r="J3219" t="inlineStr">
        <is>
          <t>0.01</t>
        </is>
      </c>
      <c r="K3219"/>
      <c r="L3219" t="inlineStr">
        <is>
          <t>骆驼时尚旗舰店</t>
        </is>
      </c>
      <c r="M3219">
        <v>56000</v>
      </c>
      <c r="N3219">
        <v>4.39</v>
      </c>
      <c r="O3219">
        <v>28000</v>
      </c>
      <c r="P3219" t="inlineStr">
        <is>
          <t>68b9670c2773df0001c81076</t>
        </is>
      </c>
      <c r="Q3219" t="inlineStr">
        <is>
          <t>🚫重复</t>
        </is>
      </c>
      <c r="R3219" t="inlineStr">
        <is>
          <t>14周</t>
        </is>
      </c>
      <c r="S3219" t="inlineStr">
        <is>
          <t>0.14</t>
        </is>
      </c>
      <c r="T3219" t="inlineStr">
        <is>
          <t>服饰穿搭</t>
        </is>
      </c>
      <c r="U3219" t="inlineStr">
        <is>
          <t>鞋靴箱包</t>
        </is>
      </c>
      <c r="V3219" s="3">
        <v>46112.78107638889</v>
      </c>
      <c r="W3219" t="inlineStr">
        <is>
          <t>2026-Q1</t>
        </is>
      </c>
    </row>
    <row r="3220" ht="25.5" customHeight="1">
      <c r="A3220" t="inlineStr">
        <is>
          <t>斯凯奇 · 雏菊小白鞋2026新款女夏季透气网面轻便百搭休闲运动鞋厚底159579</t>
        </is>
      </c>
      <c r="B3220" t="inlineStr">
        <is>
          <t>recvf2aASa8wGE.jpg</t>
        </is>
      </c>
      <c r="C3220" s="2" t="str">
        <f>=HYPERLINK("https://xhslink.com/m/AGzEt061XGw", "https://xhslink.com/m/AGzEt061XGw")</f>
        <v>https://xhslink.com/m/AGzEt061XGw</v>
      </c>
      <c r="D3220"/>
      <c r="E3220">
        <v>506</v>
      </c>
      <c r="F3220">
        <v>329</v>
      </c>
      <c r="G3220">
        <v>324</v>
      </c>
      <c r="H3220">
        <v>100</v>
      </c>
      <c r="I3220" t="inlineStr">
        <is>
          <t>鞋靴</t>
        </is>
      </c>
      <c r="J3220" t="inlineStr">
        <is>
          <t>0.20</t>
        </is>
      </c>
      <c r="K3220"/>
      <c r="L3220" t="inlineStr">
        <is>
          <t>斯凯奇SKECHERS旗舰店</t>
        </is>
      </c>
      <c r="M3220">
        <v>129000</v>
      </c>
      <c r="N3220">
        <v>4.7</v>
      </c>
      <c r="O3220">
        <v>76000</v>
      </c>
      <c r="P3220" t="inlineStr">
        <is>
          <t>6990053a64479e0001a78f97</t>
        </is>
      </c>
      <c r="Q3220"/>
      <c r="R3220" t="inlineStr">
        <is>
          <t>14周</t>
        </is>
      </c>
      <c r="S3220" t="inlineStr">
        <is>
          <t>0.00</t>
        </is>
      </c>
      <c r="T3220" t="inlineStr">
        <is>
          <t>服饰穿搭</t>
        </is>
      </c>
      <c r="U3220" t="inlineStr">
        <is>
          <t>鞋靴箱包</t>
        </is>
      </c>
      <c r="V3220" s="3">
        <v>46112.78107638889</v>
      </c>
      <c r="W3220" t="inlineStr">
        <is>
          <t>2026-Q1</t>
        </is>
      </c>
    </row>
    <row r="3221" ht="25.5" customHeight="1">
      <c r="A3221" t="inlineStr">
        <is>
          <t>高能感新生儿双层保暖套装两件套男女宝宝背带春秋季外出套装</t>
        </is>
      </c>
      <c r="B3221" t="inlineStr">
        <is>
          <t>recvf2aASa6EDZ.jpg</t>
        </is>
      </c>
      <c r="C3221" s="2" t="str">
        <f>=HYPERLINK("https://xhslink.com/m/5eQY0kY2COk", "https://xhslink.com/m/5eQY0kY2COk")</f>
        <v>https://xhslink.com/m/5eQY0kY2COk</v>
      </c>
      <c r="D3221"/>
      <c r="E3221">
        <v>17000</v>
      </c>
      <c r="F3221">
        <v>49.9</v>
      </c>
      <c r="G3221">
        <v>39.9</v>
      </c>
      <c r="H3221">
        <v>100</v>
      </c>
      <c r="I3221" t="inlineStr">
        <is>
          <t>婴儿穿搭</t>
        </is>
      </c>
      <c r="J3221" t="inlineStr">
        <is>
          <t>0.01</t>
        </is>
      </c>
      <c r="K3221"/>
      <c r="L3221" t="inlineStr">
        <is>
          <t>纯棉控-母婴优选的店</t>
        </is>
      </c>
      <c r="M3221">
        <v>42000</v>
      </c>
      <c r="N3221">
        <v>4.45</v>
      </c>
      <c r="O3221">
        <v>165000</v>
      </c>
      <c r="P3221" t="inlineStr">
        <is>
          <t>66ec0282725af10001c51d50</t>
        </is>
      </c>
      <c r="Q3221"/>
      <c r="R3221" t="inlineStr">
        <is>
          <t>14周</t>
        </is>
      </c>
      <c r="S3221" t="inlineStr">
        <is>
          <t>0.40</t>
        </is>
      </c>
      <c r="T3221" t="inlineStr">
        <is>
          <t>母婴亲子</t>
        </is>
      </c>
      <c r="U3221" t="inlineStr">
        <is>
          <t>童装童鞋</t>
        </is>
      </c>
      <c r="V3221" s="3">
        <v>46112.78107638889</v>
      </c>
      <c r="W3221" t="inlineStr">
        <is>
          <t>2026-Q1</t>
        </is>
      </c>
    </row>
    <row r="3222" ht="25.5" customHeight="1">
      <c r="A3222" t="inlineStr">
        <is>
          <t>0蔗糖轻食好吃沙拉汁蔬菜水果奇亚籽</t>
        </is>
      </c>
      <c r="B3222" t="inlineStr">
        <is>
          <t>recvf5pAkIK9my.jpg</t>
        </is>
      </c>
      <c r="C3222" s="2" t="str">
        <f>=HYPERLINK("https://xhslink.com/m/1mUCp0vHBuY", "https://xhslink.com/m/1mUCp0vHBuY")</f>
        <v>https://xhslink.com/m/1mUCp0vHBuY</v>
      </c>
      <c r="D3222"/>
      <c r="E3222">
        <v>36000</v>
      </c>
      <c r="F3222">
        <v>19.9</v>
      </c>
      <c r="G3222">
        <v>9.9</v>
      </c>
      <c r="H3222">
        <v>100</v>
      </c>
      <c r="I3222" t="inlineStr">
        <is>
          <t>减脂零食</t>
        </is>
      </c>
      <c r="J3222" t="inlineStr">
        <is>
          <t>0.00</t>
        </is>
      </c>
      <c r="K3222" t="inlineStr">
        <is>
          <t>🔥低粉爆款</t>
        </is>
      </c>
      <c r="L3222" t="inlineStr">
        <is>
          <t>古滋味m的店</t>
        </is>
      </c>
      <c r="M3222">
        <v>384</v>
      </c>
      <c r="N3222">
        <v>4.4</v>
      </c>
      <c r="O3222">
        <v>41000</v>
      </c>
      <c r="P3222" t="inlineStr">
        <is>
          <t>662b10b17feea700015d02fc</t>
        </is>
      </c>
      <c r="Q3222"/>
      <c r="R3222" t="inlineStr">
        <is>
          <t>14周</t>
        </is>
      </c>
      <c r="S3222" t="inlineStr">
        <is>
          <t>93.75</t>
        </is>
      </c>
      <c r="T3222" t="inlineStr">
        <is>
          <t>美食滋补</t>
        </is>
      </c>
      <c r="U3222" t="inlineStr">
        <is>
          <t>休闲零食</t>
        </is>
      </c>
      <c r="V3222" s="3">
        <v>46112.78107638889</v>
      </c>
      <c r="W3222" t="inlineStr">
        <is>
          <t>2026-Q1</t>
        </is>
      </c>
    </row>
    <row r="3223" ht="25.5" customHeight="1">
      <c r="A3223" t="inlineStr">
        <is>
          <t>加点滋味 · 乌冬面碳水饱腹发酵150g火锅配料</t>
        </is>
      </c>
      <c r="B3223" t="inlineStr">
        <is>
          <t>recvf5pAkIs70N.jpg</t>
        </is>
      </c>
      <c r="C3223" s="2" t="str">
        <f>=HYPERLINK("https://xhslink.com/m/6s3zDjuHGSz", "https://xhslink.com/m/6s3zDjuHGSz")</f>
        <v>https://xhslink.com/m/6s3zDjuHGSz</v>
      </c>
      <c r="D3223"/>
      <c r="E3223">
        <v>39000</v>
      </c>
      <c r="F3223">
        <v>19.9</v>
      </c>
      <c r="G3223"/>
      <c r="H3223">
        <v>100</v>
      </c>
      <c r="I3223" t="inlineStr">
        <is>
          <t>减脂零食</t>
        </is>
      </c>
      <c r="J3223" t="inlineStr">
        <is>
          <t>0.00</t>
        </is>
      </c>
      <c r="K3223"/>
      <c r="L3223" t="inlineStr">
        <is>
          <t>加点滋味旗舰店</t>
        </is>
      </c>
      <c r="M3223">
        <v>24000</v>
      </c>
      <c r="N3223">
        <v>4.61</v>
      </c>
      <c r="O3223">
        <v>388000</v>
      </c>
      <c r="P3223" t="inlineStr">
        <is>
          <t>66d7cbfb0cfd4b000154afab</t>
        </is>
      </c>
      <c r="Q3223" t="inlineStr">
        <is>
          <t>🚫重复</t>
        </is>
      </c>
      <c r="R3223" t="inlineStr">
        <is>
          <t>14周</t>
        </is>
      </c>
      <c r="S3223" t="inlineStr">
        <is>
          <t>1.62</t>
        </is>
      </c>
      <c r="T3223" t="inlineStr">
        <is>
          <t>美食滋补</t>
        </is>
      </c>
      <c r="U3223" t="inlineStr">
        <is>
          <t>休闲零食</t>
        </is>
      </c>
      <c r="V3223" s="3">
        <v>46112.78107638889</v>
      </c>
      <c r="W3223" t="inlineStr">
        <is>
          <t>2026-Q1</t>
        </is>
      </c>
    </row>
    <row r="3224" ht="25.5" customHeight="1">
      <c r="A3224" t="inlineStr">
        <is>
          <t>法式咖色polo衫翻领针织打底衫女秋冬毛衣内搭高级感气质长袖上衣</t>
        </is>
      </c>
      <c r="B3224" t="inlineStr">
        <is>
          <t>recvf5pAkIagbq.jpg</t>
        </is>
      </c>
      <c r="C3224" s="2" t="str">
        <f>=HYPERLINK("https://xhslink.com/m/9HwPBVrGaS8", "https://xhslink.com/m/9HwPBVrGaS8")</f>
        <v>https://xhslink.com/m/9HwPBVrGaS8</v>
      </c>
      <c r="D3224"/>
      <c r="E3224">
        <v>12000</v>
      </c>
      <c r="F3224">
        <v>79.9</v>
      </c>
      <c r="G3224">
        <v>59.8</v>
      </c>
      <c r="H3224">
        <v>100</v>
      </c>
      <c r="I3224" t="inlineStr">
        <is>
          <t>打底衫</t>
        </is>
      </c>
      <c r="J3224" t="inlineStr">
        <is>
          <t>0.01</t>
        </is>
      </c>
      <c r="K3224" t="inlineStr">
        <is>
          <t>🔥低粉爆款</t>
        </is>
      </c>
      <c r="L3224" t="inlineStr">
        <is>
          <t>XIAO元爱穿搭的店</t>
        </is>
      </c>
      <c r="M3224">
        <v>671</v>
      </c>
      <c r="N3224">
        <v>4.44</v>
      </c>
      <c r="O3224">
        <v>15000</v>
      </c>
      <c r="P3224" t="inlineStr">
        <is>
          <t>69693c8e5c204c00019984af</t>
        </is>
      </c>
      <c r="Q3224" t="inlineStr">
        <is>
          <t>🚫重复</t>
        </is>
      </c>
      <c r="R3224" t="inlineStr">
        <is>
          <t>14周</t>
        </is>
      </c>
      <c r="S3224" t="inlineStr">
        <is>
          <t>17.88</t>
        </is>
      </c>
      <c r="T3224" t="inlineStr">
        <is>
          <t>服饰穿搭</t>
        </is>
      </c>
      <c r="U3224" t="inlineStr">
        <is>
          <t>女装</t>
        </is>
      </c>
      <c r="V3224" s="3">
        <v>46112.78107638889</v>
      </c>
      <c r="W3224" t="inlineStr">
        <is>
          <t>2026-Q1</t>
        </is>
      </c>
    </row>
    <row r="3225" ht="25.5" customHeight="1">
      <c r="A3225" t="inlineStr">
        <is>
          <t>TANGTANG 【纸片人】毛边卷边UV领纯棉修身显瘦圆领长袖T恤打底衫</t>
        </is>
      </c>
      <c r="B3225" t="inlineStr">
        <is>
          <t>recvf5pAkIkyaU.jpg</t>
        </is>
      </c>
      <c r="C3225" s="2" t="str">
        <f>=HYPERLINK("https://xhslink.com/m/24oMiwVgzpu", "https://xhslink.com/m/24oMiwVgzpu")</f>
        <v>https://xhslink.com/m/24oMiwVgzpu</v>
      </c>
      <c r="D3225"/>
      <c r="E3225">
        <v>1139</v>
      </c>
      <c r="F3225">
        <v>109</v>
      </c>
      <c r="G3225">
        <v>79</v>
      </c>
      <c r="H3225">
        <v>100</v>
      </c>
      <c r="I3225" t="inlineStr">
        <is>
          <t>打底衫</t>
        </is>
      </c>
      <c r="J3225" t="inlineStr">
        <is>
          <t>0.09</t>
        </is>
      </c>
      <c r="K3225"/>
      <c r="L3225" t="inlineStr">
        <is>
          <t>Tangtang舒展穿搭的店</t>
        </is>
      </c>
      <c r="M3225">
        <v>193000</v>
      </c>
      <c r="N3225">
        <v>4.55</v>
      </c>
      <c r="O3225">
        <v>321000</v>
      </c>
      <c r="P3225" t="inlineStr">
        <is>
          <t>69b26d0905ddcd0001bfd0ce</t>
        </is>
      </c>
      <c r="Q3225" t="inlineStr">
        <is>
          <t>🚫重复</t>
        </is>
      </c>
      <c r="R3225" t="inlineStr">
        <is>
          <t>14周</t>
        </is>
      </c>
      <c r="S3225" t="inlineStr">
        <is>
          <t>0.01</t>
        </is>
      </c>
      <c r="T3225" t="inlineStr">
        <is>
          <t>服饰穿搭</t>
        </is>
      </c>
      <c r="U3225" t="inlineStr">
        <is>
          <t>女装</t>
        </is>
      </c>
      <c r="V3225" s="3">
        <v>46112.78107638889</v>
      </c>
      <c r="W3225" t="inlineStr">
        <is>
          <t>2026-Q1</t>
        </is>
      </c>
    </row>
    <row r="3226" ht="25.5" customHeight="1">
      <c r="A3226" t="inlineStr">
        <is>
          <t>日系裤子小个子九分烟管裤女春秋宽松休闲裤</t>
        </is>
      </c>
      <c r="B3226" t="inlineStr">
        <is>
          <t>recvf5pAkIxksU.jpg</t>
        </is>
      </c>
      <c r="C3226" s="2" t="str">
        <f>=HYPERLINK("https://xhslink.com/m/9aEiQJlX1sH", "https://xhslink.com/m/9aEiQJlX1sH")</f>
        <v>https://xhslink.com/m/9aEiQJlX1sH</v>
      </c>
      <c r="D3226"/>
      <c r="E3226">
        <v>36000</v>
      </c>
      <c r="F3226">
        <v>89</v>
      </c>
      <c r="G3226">
        <v>86</v>
      </c>
      <c r="H3226">
        <v>100</v>
      </c>
      <c r="I3226" t="inlineStr">
        <is>
          <t>休闲裤</t>
        </is>
      </c>
      <c r="J3226" t="inlineStr">
        <is>
          <t>0.00</t>
        </is>
      </c>
      <c r="K3226"/>
      <c r="L3226" t="inlineStr">
        <is>
          <t>景景穿搭分享的店</t>
        </is>
      </c>
      <c r="M3226">
        <v>14000</v>
      </c>
      <c r="N3226">
        <v>4.5</v>
      </c>
      <c r="O3226">
        <v>110000</v>
      </c>
      <c r="P3226" t="inlineStr">
        <is>
          <t>67c536dfd61c3f0015727712</t>
        </is>
      </c>
      <c r="Q3226" t="inlineStr">
        <is>
          <t>🚫重复</t>
        </is>
      </c>
      <c r="R3226" t="inlineStr">
        <is>
          <t>14周</t>
        </is>
      </c>
      <c r="S3226" t="inlineStr">
        <is>
          <t>2.57</t>
        </is>
      </c>
      <c r="T3226" t="inlineStr">
        <is>
          <t>服饰穿搭</t>
        </is>
      </c>
      <c r="U3226" t="inlineStr">
        <is>
          <t>女装</t>
        </is>
      </c>
      <c r="V3226" s="3">
        <v>46112.78107638889</v>
      </c>
      <c r="W3226" t="inlineStr">
        <is>
          <t>2026-Q1</t>
        </is>
      </c>
    </row>
    <row r="3227" ht="25.5" customHeight="1">
      <c r="A3227" t="inlineStr">
        <is>
          <t>开春王炸神裤！阔腿裤女春夏新款垂感直筒宽松慵懒感裤子</t>
        </is>
      </c>
      <c r="B3227" t="inlineStr">
        <is>
          <t>recvf5pAkILeio.jpg</t>
        </is>
      </c>
      <c r="C3227" s="2" t="str">
        <f>=HYPERLINK("https://xhslink.com/m/7t7dRIQLdLn", "https://xhslink.com/m/7t7dRIQLdLn")</f>
        <v>https://xhslink.com/m/7t7dRIQLdLn</v>
      </c>
      <c r="D3227"/>
      <c r="E3227">
        <v>11000</v>
      </c>
      <c r="F3227">
        <v>79.9</v>
      </c>
      <c r="G3227"/>
      <c r="H3227">
        <v>100</v>
      </c>
      <c r="I3227" t="inlineStr">
        <is>
          <t>休闲裤</t>
        </is>
      </c>
      <c r="J3227" t="inlineStr">
        <is>
          <t>0.01</t>
        </is>
      </c>
      <c r="K3227"/>
      <c r="L3227" t="inlineStr">
        <is>
          <t>猫猫不耶的店</t>
        </is>
      </c>
      <c r="M3227">
        <v>22000</v>
      </c>
      <c r="N3227">
        <v>4.38</v>
      </c>
      <c r="O3227">
        <v>392000</v>
      </c>
      <c r="P3227" t="inlineStr">
        <is>
          <t>67b88dadeef1820001e13ff3</t>
        </is>
      </c>
      <c r="Q3227" t="inlineStr">
        <is>
          <t>🚫重复</t>
        </is>
      </c>
      <c r="R3227" t="inlineStr">
        <is>
          <t>14周</t>
        </is>
      </c>
      <c r="S3227" t="inlineStr">
        <is>
          <t>0.50</t>
        </is>
      </c>
      <c r="T3227" t="inlineStr">
        <is>
          <t>服饰穿搭</t>
        </is>
      </c>
      <c r="U3227" t="inlineStr">
        <is>
          <t>女装</t>
        </is>
      </c>
      <c r="V3227" s="3">
        <v>46112.78107638889</v>
      </c>
      <c r="W3227" t="inlineStr">
        <is>
          <t>2026-Q1</t>
        </is>
      </c>
    </row>
    <row r="3228" ht="25.5" customHeight="1">
      <c r="A3228" t="inlineStr">
        <is>
          <t>心跳小鹿 · 秋冬款高品质珠地棉黑白撞色条纹裤高腰阔腿裤拖地裤百搭经典修身</t>
        </is>
      </c>
      <c r="B3228" t="inlineStr">
        <is>
          <t>recvf5pAkI0uBi.jpg</t>
        </is>
      </c>
      <c r="C3228" s="2" t="str">
        <f>=HYPERLINK("https://xhslink.com/m/2yZFZyHQS89", "https://xhslink.com/m/2yZFZyHQS89")</f>
        <v>https://xhslink.com/m/2yZFZyHQS89</v>
      </c>
      <c r="D3228"/>
      <c r="E3228">
        <v>52000</v>
      </c>
      <c r="F3228">
        <v>68.9</v>
      </c>
      <c r="G3228">
        <v>32.9</v>
      </c>
      <c r="H3228">
        <v>100</v>
      </c>
      <c r="I3228" t="inlineStr">
        <is>
          <t>休闲裤</t>
        </is>
      </c>
      <c r="J3228" t="inlineStr">
        <is>
          <t>0.00</t>
        </is>
      </c>
      <c r="K3228"/>
      <c r="L3228" t="inlineStr">
        <is>
          <t>张的好看的店</t>
        </is>
      </c>
      <c r="M3228">
        <v>32000</v>
      </c>
      <c r="N3228">
        <v>4.55</v>
      </c>
      <c r="O3228">
        <v>544000</v>
      </c>
      <c r="P3228" t="inlineStr">
        <is>
          <t>64d0a89dbbb8dc0001bb40a0</t>
        </is>
      </c>
      <c r="Q3228"/>
      <c r="R3228" t="inlineStr">
        <is>
          <t>14周</t>
        </is>
      </c>
      <c r="S3228" t="inlineStr">
        <is>
          <t>1.62</t>
        </is>
      </c>
      <c r="T3228" t="inlineStr">
        <is>
          <t>服饰穿搭</t>
        </is>
      </c>
      <c r="U3228" t="inlineStr">
        <is>
          <t>女装</t>
        </is>
      </c>
      <c r="V3228" s="3">
        <v>46112.78107638889</v>
      </c>
      <c r="W3228" t="inlineStr">
        <is>
          <t>2026-Q1</t>
        </is>
      </c>
    </row>
    <row r="3229" ht="25.5" customHeight="1">
      <c r="A3229" t="inlineStr">
        <is>
          <t>yujia.studio莫代尔百搭显瘦松紧腰休闲直筒长裤</t>
        </is>
      </c>
      <c r="B3229" t="inlineStr">
        <is>
          <t>recvf5pAkIQwV5.jpg</t>
        </is>
      </c>
      <c r="C3229" s="2" t="str">
        <f>=HYPERLINK("https://xhslink.com/m/6Uc0YOvIQuP", "https://xhslink.com/m/6Uc0YOvIQuP")</f>
        <v>https://xhslink.com/m/6Uc0YOvIQuP</v>
      </c>
      <c r="D3229"/>
      <c r="E3229">
        <v>18000</v>
      </c>
      <c r="F3229">
        <v>288</v>
      </c>
      <c r="G3229">
        <v>238</v>
      </c>
      <c r="H3229">
        <v>100</v>
      </c>
      <c r="I3229" t="inlineStr">
        <is>
          <t>休闲裤</t>
        </is>
      </c>
      <c r="J3229" t="inlineStr">
        <is>
          <t>0.01</t>
        </is>
      </c>
      <c r="K3229" t="inlineStr">
        <is>
          <t>🔥低粉爆款</t>
        </is>
      </c>
      <c r="L3229" t="inlineStr">
        <is>
          <t>Yujia.studio的店</t>
        </is>
      </c>
      <c r="M3229">
        <v>5476</v>
      </c>
      <c r="N3229">
        <v>4.75</v>
      </c>
      <c r="O3229">
        <v>88000</v>
      </c>
      <c r="P3229" t="inlineStr">
        <is>
          <t>696b0f78b1cba400016dd84e</t>
        </is>
      </c>
      <c r="Q3229"/>
      <c r="R3229" t="inlineStr">
        <is>
          <t>14周</t>
        </is>
      </c>
      <c r="S3229" t="inlineStr">
        <is>
          <t>3.29</t>
        </is>
      </c>
      <c r="T3229" t="inlineStr">
        <is>
          <t>服饰穿搭</t>
        </is>
      </c>
      <c r="U3229" t="inlineStr">
        <is>
          <t>女装</t>
        </is>
      </c>
      <c r="V3229" s="3">
        <v>46112.78107638889</v>
      </c>
      <c r="W3229" t="inlineStr">
        <is>
          <t>2026-Q1</t>
        </is>
      </c>
    </row>
    <row r="3230" ht="25.5" customHeight="1">
      <c r="A3230" t="inlineStr">
        <is>
          <t>【镇店阔腿裤】基础款百搭白色裤子黑裤子，高腰显瘦休闲风牛仔裤</t>
        </is>
      </c>
      <c r="B3230" t="inlineStr">
        <is>
          <t>recvf5pAkIMInt.jpg</t>
        </is>
      </c>
      <c r="C3230" s="2" t="str">
        <f>=HYPERLINK("https://xhslink.com/m/AdDKZflTqBc", "https://xhslink.com/m/AdDKZflTqBc")</f>
        <v>https://xhslink.com/m/AdDKZflTqBc</v>
      </c>
      <c r="D3230"/>
      <c r="E3230">
        <v>20000</v>
      </c>
      <c r="F3230">
        <v>139</v>
      </c>
      <c r="G3230">
        <v>119</v>
      </c>
      <c r="H3230">
        <v>100</v>
      </c>
      <c r="I3230" t="inlineStr">
        <is>
          <t>休闲裤</t>
        </is>
      </c>
      <c r="J3230" t="inlineStr">
        <is>
          <t>0.01</t>
        </is>
      </c>
      <c r="K3230" t="inlineStr">
        <is>
          <t>🔥低粉爆款</t>
        </is>
      </c>
      <c r="L3230" t="inlineStr">
        <is>
          <t>林粒粒的店</t>
        </is>
      </c>
      <c r="M3230">
        <v>6453</v>
      </c>
      <c r="N3230">
        <v>4.54</v>
      </c>
      <c r="O3230">
        <v>24000</v>
      </c>
      <c r="P3230" t="inlineStr">
        <is>
          <t>66d61aba98027b000193decd</t>
        </is>
      </c>
      <c r="Q3230" t="inlineStr">
        <is>
          <t>🚫重复</t>
        </is>
      </c>
      <c r="R3230" t="inlineStr">
        <is>
          <t>14周</t>
        </is>
      </c>
      <c r="S3230" t="inlineStr">
        <is>
          <t>3.10</t>
        </is>
      </c>
      <c r="T3230" t="inlineStr">
        <is>
          <t>服饰穿搭</t>
        </is>
      </c>
      <c r="U3230" t="inlineStr">
        <is>
          <t>女装</t>
        </is>
      </c>
      <c r="V3230" s="3">
        <v>46112.78107638889</v>
      </c>
      <c r="W3230" t="inlineStr">
        <is>
          <t>2026-Q1</t>
        </is>
      </c>
    </row>
    <row r="3231" ht="25.5" customHeight="1">
      <c r="A3231" t="inlineStr">
        <is>
          <t>美式复古风工装裤女秋夏高腰阔腿裤卫裤直筒可束脚抽绳速干运动裤</t>
        </is>
      </c>
      <c r="B3231" t="inlineStr">
        <is>
          <t>recvf5pAkIAafF.jpg</t>
        </is>
      </c>
      <c r="C3231" s="2" t="str">
        <f>=HYPERLINK("https://xhslink.com/m/3fCCLX7IU5I", "https://xhslink.com/m/3fCCLX7IU5I")</f>
        <v>https://xhslink.com/m/3fCCLX7IU5I</v>
      </c>
      <c r="D3231"/>
      <c r="E3231">
        <v>5211</v>
      </c>
      <c r="F3231">
        <v>135</v>
      </c>
      <c r="G3231">
        <v>89</v>
      </c>
      <c r="H3231">
        <v>100</v>
      </c>
      <c r="I3231" t="inlineStr">
        <is>
          <t>休闲裤</t>
        </is>
      </c>
      <c r="J3231" t="inlineStr">
        <is>
          <t>0.02</t>
        </is>
      </c>
      <c r="K3231" t="inlineStr">
        <is>
          <t>🔥低粉爆款</t>
        </is>
      </c>
      <c r="L3231" t="inlineStr">
        <is>
          <t>StarMuse糕糕的店</t>
        </is>
      </c>
      <c r="M3231">
        <v>148</v>
      </c>
      <c r="N3231">
        <v>4.47</v>
      </c>
      <c r="O3231">
        <v>5702</v>
      </c>
      <c r="P3231" t="inlineStr">
        <is>
          <t>68679e321a0f1300154c539a</t>
        </is>
      </c>
      <c r="Q3231" t="inlineStr">
        <is>
          <t>🚫重复</t>
        </is>
      </c>
      <c r="R3231" t="inlineStr">
        <is>
          <t>14周</t>
        </is>
      </c>
      <c r="S3231" t="inlineStr">
        <is>
          <t>35.21</t>
        </is>
      </c>
      <c r="T3231" t="inlineStr">
        <is>
          <t>服饰穿搭</t>
        </is>
      </c>
      <c r="U3231" t="inlineStr">
        <is>
          <t>女装</t>
        </is>
      </c>
      <c r="V3231" s="3">
        <v>46112.78107638889</v>
      </c>
      <c r="W3231" t="inlineStr">
        <is>
          <t>2026-Q1</t>
        </is>
      </c>
    </row>
    <row r="3232" ht="25.5" customHeight="1">
      <c r="A3232" t="inlineStr">
        <is>
          <t>夏日纸片裤 轻薄凉感小个子速干九分抗皱松弛感休闲裤显瘦阔腿裤</t>
        </is>
      </c>
      <c r="B3232" t="inlineStr">
        <is>
          <t>recvf5pAkIKSjq.jpg</t>
        </is>
      </c>
      <c r="C3232" s="2" t="str">
        <f>=HYPERLINK("https://xhslink.com/m/3mXMCc0HyBS", "https://xhslink.com/m/3mXMCc0HyBS")</f>
        <v>https://xhslink.com/m/3mXMCc0HyBS</v>
      </c>
      <c r="D3232"/>
      <c r="E3232">
        <v>2602</v>
      </c>
      <c r="F3232">
        <v>79.9</v>
      </c>
      <c r="G3232"/>
      <c r="H3232">
        <v>100</v>
      </c>
      <c r="I3232" t="inlineStr">
        <is>
          <t>休闲裤</t>
        </is>
      </c>
      <c r="J3232" t="inlineStr">
        <is>
          <t>0.04</t>
        </is>
      </c>
      <c r="K3232" t="inlineStr">
        <is>
          <t>🔥低粉爆款</t>
        </is>
      </c>
      <c r="L3232" t="inlineStr">
        <is>
          <t>全年无休小泡芙的店</t>
        </is>
      </c>
      <c r="M3232">
        <v>832</v>
      </c>
      <c r="N3232">
        <v>4.61</v>
      </c>
      <c r="O3232">
        <v>7007</v>
      </c>
      <c r="P3232" t="inlineStr">
        <is>
          <t>685ff5223970ba00014e9b73</t>
        </is>
      </c>
      <c r="Q3232"/>
      <c r="R3232" t="inlineStr">
        <is>
          <t>14周</t>
        </is>
      </c>
      <c r="S3232" t="inlineStr">
        <is>
          <t>3.13</t>
        </is>
      </c>
      <c r="T3232" t="inlineStr">
        <is>
          <t>服饰穿搭</t>
        </is>
      </c>
      <c r="U3232" t="inlineStr">
        <is>
          <t>女装</t>
        </is>
      </c>
      <c r="V3232" s="3">
        <v>46112.78107638889</v>
      </c>
      <c r="W3232" t="inlineStr">
        <is>
          <t>2026-Q1</t>
        </is>
      </c>
    </row>
    <row r="3233" ht="25.5" customHeight="1">
      <c r="A3233" t="inlineStr">
        <is>
          <t>藏青色工装裤2026女春夏宽松直筒休闲阔腿裤</t>
        </is>
      </c>
      <c r="B3233" t="inlineStr">
        <is>
          <t>recvf5pAkIj1PK.jpg</t>
        </is>
      </c>
      <c r="C3233" s="2" t="str">
        <f>=HYPERLINK("https://xhslink.com/m/7QKZJkXBSlG", "https://xhslink.com/m/7QKZJkXBSlG")</f>
        <v>https://xhslink.com/m/7QKZJkXBSlG</v>
      </c>
      <c r="D3233"/>
      <c r="E3233">
        <v>25000</v>
      </c>
      <c r="F3233">
        <v>89.9</v>
      </c>
      <c r="G3233">
        <v>59.9</v>
      </c>
      <c r="H3233">
        <v>100</v>
      </c>
      <c r="I3233" t="inlineStr">
        <is>
          <t>直筒裤</t>
        </is>
      </c>
      <c r="J3233" t="inlineStr">
        <is>
          <t>0.00</t>
        </is>
      </c>
      <c r="K3233"/>
      <c r="L3233" t="inlineStr">
        <is>
          <t>夏野桃服饰的店</t>
        </is>
      </c>
      <c r="M3233">
        <v>9276</v>
      </c>
      <c r="N3233">
        <v>4.5</v>
      </c>
      <c r="O3233">
        <v>220000</v>
      </c>
      <c r="P3233" t="inlineStr">
        <is>
          <t>67f0e373beccb1001557ab2f</t>
        </is>
      </c>
      <c r="Q3233" t="inlineStr">
        <is>
          <t>🚫重复</t>
        </is>
      </c>
      <c r="R3233" t="inlineStr">
        <is>
          <t>14周</t>
        </is>
      </c>
      <c r="S3233" t="inlineStr">
        <is>
          <t>2.70</t>
        </is>
      </c>
      <c r="T3233" t="inlineStr">
        <is>
          <t>服饰穿搭</t>
        </is>
      </c>
      <c r="U3233" t="inlineStr">
        <is>
          <t>女装</t>
        </is>
      </c>
      <c r="V3233" s="3">
        <v>46112.78107638889</v>
      </c>
      <c r="W3233" t="inlineStr">
        <is>
          <t>2026-Q1</t>
        </is>
      </c>
    </row>
    <row r="3234" ht="25.5" customHeight="1">
      <c r="A3234" t="inlineStr">
        <is>
          <t>【下个路口】高弹力复古爆款春夏直筒牛仔裤女2026新款显瘦窄版裤</t>
        </is>
      </c>
      <c r="B3234" t="inlineStr">
        <is>
          <t>recvf5pAkIzkMo.jpg</t>
        </is>
      </c>
      <c r="C3234" s="2" t="str">
        <f>=HYPERLINK("https://xhslink.com/m/9zL9tSyYSum", "https://xhslink.com/m/9zL9tSyYSum")</f>
        <v>https://xhslink.com/m/9zL9tSyYSum</v>
      </c>
      <c r="D3234"/>
      <c r="E3234">
        <v>88000</v>
      </c>
      <c r="F3234">
        <v>79.99</v>
      </c>
      <c r="G3234"/>
      <c r="H3234">
        <v>100</v>
      </c>
      <c r="I3234" t="inlineStr">
        <is>
          <t>直筒裤</t>
        </is>
      </c>
      <c r="J3234" t="inlineStr">
        <is>
          <t>0.00</t>
        </is>
      </c>
      <c r="K3234"/>
      <c r="L3234" t="inlineStr">
        <is>
          <t>李空空的店</t>
        </is>
      </c>
      <c r="M3234">
        <v>102000</v>
      </c>
      <c r="N3234">
        <v>4.6</v>
      </c>
      <c r="O3234">
        <v>559000</v>
      </c>
      <c r="P3234" t="inlineStr">
        <is>
          <t>654b0dabfbea800001f92977</t>
        </is>
      </c>
      <c r="Q3234" t="inlineStr">
        <is>
          <t>🚫重复</t>
        </is>
      </c>
      <c r="R3234" t="inlineStr">
        <is>
          <t>14周</t>
        </is>
      </c>
      <c r="S3234" t="inlineStr">
        <is>
          <t>0.86</t>
        </is>
      </c>
      <c r="T3234" t="inlineStr">
        <is>
          <t>服饰穿搭</t>
        </is>
      </c>
      <c r="U3234" t="inlineStr">
        <is>
          <t>女装</t>
        </is>
      </c>
      <c r="V3234" s="3">
        <v>46112.78107638889</v>
      </c>
      <c r="W3234" t="inlineStr">
        <is>
          <t>2026-Q1</t>
        </is>
      </c>
    </row>
    <row r="3235" ht="25.5" customHeight="1">
      <c r="A3235" t="inlineStr">
        <is>
          <t>直筒裤窄版阔腿裤显瘦牛仔裤女加长版</t>
        </is>
      </c>
      <c r="B3235" t="inlineStr">
        <is>
          <t>recvf5pAkI4Stn.jpg</t>
        </is>
      </c>
      <c r="C3235" s="2" t="str">
        <f>=HYPERLINK("https://xhslink.com/m/1ExeZDkbL2U", "https://xhslink.com/m/1ExeZDkbL2U")</f>
        <v>https://xhslink.com/m/1ExeZDkbL2U</v>
      </c>
      <c r="D3235"/>
      <c r="E3235">
        <v>54000</v>
      </c>
      <c r="F3235">
        <v>90</v>
      </c>
      <c r="G3235">
        <v>79</v>
      </c>
      <c r="H3235">
        <v>100</v>
      </c>
      <c r="I3235" t="inlineStr">
        <is>
          <t>直筒裤</t>
        </is>
      </c>
      <c r="J3235" t="inlineStr">
        <is>
          <t>0.00</t>
        </is>
      </c>
      <c r="K3235"/>
      <c r="L3235" t="inlineStr">
        <is>
          <t>a奶爸小店的店</t>
        </is>
      </c>
      <c r="M3235">
        <v>25000</v>
      </c>
      <c r="N3235">
        <v>4.59</v>
      </c>
      <c r="O3235">
        <v>282000</v>
      </c>
      <c r="P3235" t="inlineStr">
        <is>
          <t>6576b6c275af9d0001659e3c</t>
        </is>
      </c>
      <c r="Q3235" t="inlineStr">
        <is>
          <t>🚫重复</t>
        </is>
      </c>
      <c r="R3235" t="inlineStr">
        <is>
          <t>14周</t>
        </is>
      </c>
      <c r="S3235" t="inlineStr">
        <is>
          <t>2.16</t>
        </is>
      </c>
      <c r="T3235" t="inlineStr">
        <is>
          <t>服饰穿搭</t>
        </is>
      </c>
      <c r="U3235" t="inlineStr">
        <is>
          <t>女装</t>
        </is>
      </c>
      <c r="V3235" s="3">
        <v>46112.78107638889</v>
      </c>
      <c r="W3235" t="inlineStr">
        <is>
          <t>2026-Q1</t>
        </is>
      </c>
    </row>
    <row r="3236" ht="25.5" customHeight="1">
      <c r="A3236" t="inlineStr">
        <is>
          <t>春季新款运动裤女2026窄版显瘦宽松阔腿直筒百搭高腰休闲裤</t>
        </is>
      </c>
      <c r="B3236" t="inlineStr">
        <is>
          <t>recvf5pAkIW7sS.jpg</t>
        </is>
      </c>
      <c r="C3236" s="2" t="str">
        <f>=HYPERLINK("https://xhslink.com/m/2evl9t8EtNO", "https://xhslink.com/m/2evl9t8EtNO")</f>
        <v>https://xhslink.com/m/2evl9t8EtNO</v>
      </c>
      <c r="D3236"/>
      <c r="E3236">
        <v>9864</v>
      </c>
      <c r="F3236">
        <v>89</v>
      </c>
      <c r="G3236"/>
      <c r="H3236">
        <v>100</v>
      </c>
      <c r="I3236" t="inlineStr">
        <is>
          <t>直筒裤</t>
        </is>
      </c>
      <c r="J3236" t="inlineStr">
        <is>
          <t>0.01</t>
        </is>
      </c>
      <c r="K3236" t="inlineStr">
        <is>
          <t>🔥低粉爆款</t>
        </is>
      </c>
      <c r="L3236" t="inlineStr">
        <is>
          <t>酸奶玉米汤的店</t>
        </is>
      </c>
      <c r="M3236">
        <v>2333</v>
      </c>
      <c r="N3236">
        <v>4.68</v>
      </c>
      <c r="O3236">
        <v>51000</v>
      </c>
      <c r="P3236" t="inlineStr">
        <is>
          <t>689e8f9233fcf800015044d5</t>
        </is>
      </c>
      <c r="Q3236" t="inlineStr">
        <is>
          <t>🚫重复</t>
        </is>
      </c>
      <c r="R3236" t="inlineStr">
        <is>
          <t>14周</t>
        </is>
      </c>
      <c r="S3236" t="inlineStr">
        <is>
          <t>4.23</t>
        </is>
      </c>
      <c r="T3236" t="inlineStr">
        <is>
          <t>服饰穿搭</t>
        </is>
      </c>
      <c r="U3236" t="inlineStr">
        <is>
          <t>女装</t>
        </is>
      </c>
      <c r="V3236" s="3">
        <v>46112.78107638889</v>
      </c>
      <c r="W3236" t="inlineStr">
        <is>
          <t>2026-Q1</t>
        </is>
      </c>
    </row>
    <row r="3237" ht="25.5" customHeight="1">
      <c r="A3237" t="inlineStr">
        <is>
          <t>Goo大吉·【复古蓝小阔腿】高腰显瘦弹力微喇叭直筒阔腿拖地裤子</t>
        </is>
      </c>
      <c r="B3237" t="inlineStr">
        <is>
          <t>recvf5pAkI0vAb.jpg</t>
        </is>
      </c>
      <c r="C3237" s="2" t="str">
        <f>=HYPERLINK("https://xhslink.com/m/AgVwrwhbvt5", "https://xhslink.com/m/AgVwrwhbvt5")</f>
        <v>https://xhslink.com/m/AgVwrwhbvt5</v>
      </c>
      <c r="D3237"/>
      <c r="E3237">
        <v>51000</v>
      </c>
      <c r="F3237">
        <v>105</v>
      </c>
      <c r="G3237">
        <v>88</v>
      </c>
      <c r="H3237">
        <v>100</v>
      </c>
      <c r="I3237" t="inlineStr">
        <is>
          <t>直筒裤</t>
        </is>
      </c>
      <c r="J3237" t="inlineStr">
        <is>
          <t>0.00</t>
        </is>
      </c>
      <c r="K3237"/>
      <c r="L3237" t="inlineStr">
        <is>
          <t>Goo大吉的店</t>
        </is>
      </c>
      <c r="M3237">
        <v>57000</v>
      </c>
      <c r="N3237">
        <v>4.55</v>
      </c>
      <c r="O3237">
        <v>247000</v>
      </c>
      <c r="P3237" t="inlineStr">
        <is>
          <t>689db70f4eed2d0001cbbf49</t>
        </is>
      </c>
      <c r="Q3237" t="inlineStr">
        <is>
          <t>🚫重复</t>
        </is>
      </c>
      <c r="R3237" t="inlineStr">
        <is>
          <t>14周</t>
        </is>
      </c>
      <c r="S3237" t="inlineStr">
        <is>
          <t>0.89</t>
        </is>
      </c>
      <c r="T3237" t="inlineStr">
        <is>
          <t>服饰穿搭</t>
        </is>
      </c>
      <c r="U3237" t="inlineStr">
        <is>
          <t>女装</t>
        </is>
      </c>
      <c r="V3237" s="3">
        <v>46112.78107638889</v>
      </c>
      <c r="W3237" t="inlineStr">
        <is>
          <t>2026-Q1</t>
        </is>
      </c>
    </row>
    <row r="3238" ht="25.5" customHeight="1">
      <c r="A3238" t="inlineStr">
        <is>
          <t>白色175高个子高腰显瘦显高弹力直筒修身喇叭裤微喇牛仔裤女春季</t>
        </is>
      </c>
      <c r="B3238" t="inlineStr">
        <is>
          <t>recvf5pAkIGNOc.jpg</t>
        </is>
      </c>
      <c r="C3238" s="2" t="str">
        <f>=HYPERLINK("https://xhslink.com/m/2atJ5mp2EgH", "https://xhslink.com/m/2atJ5mp2EgH")</f>
        <v>https://xhslink.com/m/2atJ5mp2EgH</v>
      </c>
      <c r="D3238"/>
      <c r="E3238">
        <v>11000</v>
      </c>
      <c r="F3238">
        <v>109</v>
      </c>
      <c r="G3238">
        <v>89</v>
      </c>
      <c r="H3238">
        <v>100</v>
      </c>
      <c r="I3238" t="inlineStr">
        <is>
          <t>直筒裤</t>
        </is>
      </c>
      <c r="J3238" t="inlineStr">
        <is>
          <t>0.01</t>
        </is>
      </c>
      <c r="K3238"/>
      <c r="L3238" t="inlineStr">
        <is>
          <t>六六吃不胖的店</t>
        </is>
      </c>
      <c r="M3238">
        <v>5358</v>
      </c>
      <c r="N3238">
        <v>4.47</v>
      </c>
      <c r="O3238">
        <v>64000</v>
      </c>
      <c r="P3238" t="inlineStr">
        <is>
          <t>67d3c50d2af7ec0015956068</t>
        </is>
      </c>
      <c r="Q3238" t="inlineStr">
        <is>
          <t>🚫重复</t>
        </is>
      </c>
      <c r="R3238" t="inlineStr">
        <is>
          <t>14周</t>
        </is>
      </c>
      <c r="S3238" t="inlineStr">
        <is>
          <t>2.05</t>
        </is>
      </c>
      <c r="T3238" t="inlineStr">
        <is>
          <t>服饰穿搭</t>
        </is>
      </c>
      <c r="U3238" t="inlineStr">
        <is>
          <t>女装</t>
        </is>
      </c>
      <c r="V3238" s="3">
        <v>46112.78107638889</v>
      </c>
      <c r="W3238" t="inlineStr">
        <is>
          <t>2026-Q1</t>
        </is>
      </c>
    </row>
    <row r="3239" ht="25.5" customHeight="1">
      <c r="A3239" t="inlineStr">
        <is>
          <t>【经典百搭】软牛仔窄版直筒裤三裤长高腰显瘦阔腿通勤牛仔裤</t>
        </is>
      </c>
      <c r="B3239" t="inlineStr">
        <is>
          <t>recvf5pAkIkGoK.jpg</t>
        </is>
      </c>
      <c r="C3239" s="2" t="str">
        <f>=HYPERLINK("https://xhslink.com/m/1LtduW5IlCT", "https://xhslink.com/m/1LtduW5IlCT")</f>
        <v>https://xhslink.com/m/1LtduW5IlCT</v>
      </c>
      <c r="D3239"/>
      <c r="E3239">
        <v>30000</v>
      </c>
      <c r="F3239">
        <v>109.99</v>
      </c>
      <c r="G3239">
        <v>89.99</v>
      </c>
      <c r="H3239">
        <v>100</v>
      </c>
      <c r="I3239" t="inlineStr">
        <is>
          <t>直筒裤</t>
        </is>
      </c>
      <c r="J3239" t="inlineStr">
        <is>
          <t>0.00</t>
        </is>
      </c>
      <c r="K3239" t="inlineStr">
        <is>
          <t>🔥低粉爆款</t>
        </is>
      </c>
      <c r="L3239" t="inlineStr">
        <is>
          <t>小晴天1的店</t>
        </is>
      </c>
      <c r="M3239">
        <v>4396</v>
      </c>
      <c r="N3239">
        <v>4.43</v>
      </c>
      <c r="O3239">
        <v>68000</v>
      </c>
      <c r="P3239" t="inlineStr">
        <is>
          <t>671614cd8be3b700018b8361</t>
        </is>
      </c>
      <c r="Q3239" t="inlineStr">
        <is>
          <t>🚫重复</t>
        </is>
      </c>
      <c r="R3239" t="inlineStr">
        <is>
          <t>14周</t>
        </is>
      </c>
      <c r="S3239" t="inlineStr">
        <is>
          <t>6.82</t>
        </is>
      </c>
      <c r="T3239" t="inlineStr">
        <is>
          <t>服饰穿搭</t>
        </is>
      </c>
      <c r="U3239" t="inlineStr">
        <is>
          <t>女装</t>
        </is>
      </c>
      <c r="V3239" s="3">
        <v>46112.78107638889</v>
      </c>
      <c r="W3239" t="inlineStr">
        <is>
          <t>2026-Q1</t>
        </is>
      </c>
    </row>
    <row r="3240" ht="25.5" customHeight="1">
      <c r="A3240" t="inlineStr">
        <is>
          <t>【逃跑计划】小个子梨形身材高腰牛仔裤女显瘦直筒垂感宽松阔腿裤</t>
        </is>
      </c>
      <c r="B3240" t="inlineStr">
        <is>
          <t>recvf5pAkIRhhZ.jpg</t>
        </is>
      </c>
      <c r="C3240" s="2" t="str">
        <f>=HYPERLINK("https://xhslink.com/m/7IkTYYDraT6", "https://xhslink.com/m/7IkTYYDraT6")</f>
        <v>https://xhslink.com/m/7IkTYYDraT6</v>
      </c>
      <c r="D3240"/>
      <c r="E3240">
        <v>41000</v>
      </c>
      <c r="F3240">
        <v>89.99</v>
      </c>
      <c r="G3240"/>
      <c r="H3240">
        <v>100</v>
      </c>
      <c r="I3240" t="inlineStr">
        <is>
          <t>直筒裤</t>
        </is>
      </c>
      <c r="J3240" t="inlineStr">
        <is>
          <t>0.00</t>
        </is>
      </c>
      <c r="K3240"/>
      <c r="L3240" t="inlineStr">
        <is>
          <t>李空空的店</t>
        </is>
      </c>
      <c r="M3240">
        <v>102000</v>
      </c>
      <c r="N3240">
        <v>4.6</v>
      </c>
      <c r="O3240">
        <v>559000</v>
      </c>
      <c r="P3240" t="inlineStr">
        <is>
          <t>666ad210cd6d1400016f1120</t>
        </is>
      </c>
      <c r="Q3240" t="inlineStr">
        <is>
          <t>🚫重复</t>
        </is>
      </c>
      <c r="R3240" t="inlineStr">
        <is>
          <t>14周</t>
        </is>
      </c>
      <c r="S3240" t="inlineStr">
        <is>
          <t>0.40</t>
        </is>
      </c>
      <c r="T3240" t="inlineStr">
        <is>
          <t>服饰穿搭</t>
        </is>
      </c>
      <c r="U3240" t="inlineStr">
        <is>
          <t>女装</t>
        </is>
      </c>
      <c r="V3240" s="3">
        <v>46112.78107638889</v>
      </c>
      <c r="W3240" t="inlineStr">
        <is>
          <t>2026-Q1</t>
        </is>
      </c>
    </row>
    <row r="3241" ht="25.5" customHeight="1">
      <c r="A3241" t="inlineStr">
        <is>
          <t>【显瘦必入！】窄版直筒牛仔裤 弹力面料不勒肉 版型绝了！！</t>
        </is>
      </c>
      <c r="B3241" t="inlineStr">
        <is>
          <t>recvf5pAkIDNUP.jpg</t>
        </is>
      </c>
      <c r="C3241" s="2" t="str">
        <f>=HYPERLINK("https://xhslink.com/m/5FnywjPbhzs", "https://xhslink.com/m/5FnywjPbhzs")</f>
        <v>https://xhslink.com/m/5FnywjPbhzs</v>
      </c>
      <c r="D3241"/>
      <c r="E3241">
        <v>13000</v>
      </c>
      <c r="F3241">
        <v>169</v>
      </c>
      <c r="G3241">
        <v>139</v>
      </c>
      <c r="H3241">
        <v>100</v>
      </c>
      <c r="I3241" t="inlineStr">
        <is>
          <t>直筒裤</t>
        </is>
      </c>
      <c r="J3241" t="inlineStr">
        <is>
          <t>0.01</t>
        </is>
      </c>
      <c r="K3241"/>
      <c r="L3241" t="inlineStr">
        <is>
          <t>150斤的小陈的店</t>
        </is>
      </c>
      <c r="M3241">
        <v>26000</v>
      </c>
      <c r="N3241">
        <v>4.72</v>
      </c>
      <c r="O3241">
        <v>70000</v>
      </c>
      <c r="P3241" t="inlineStr">
        <is>
          <t>68d77eefed3b2f0001ceb6f8</t>
        </is>
      </c>
      <c r="Q3241" t="inlineStr">
        <is>
          <t>🚫重复</t>
        </is>
      </c>
      <c r="R3241" t="inlineStr">
        <is>
          <t>14周</t>
        </is>
      </c>
      <c r="S3241" t="inlineStr">
        <is>
          <t>0.50</t>
        </is>
      </c>
      <c r="T3241" t="inlineStr">
        <is>
          <t>服饰穿搭</t>
        </is>
      </c>
      <c r="U3241" t="inlineStr">
        <is>
          <t>女装</t>
        </is>
      </c>
      <c r="V3241" s="3">
        <v>46112.78107638889</v>
      </c>
      <c r="W3241" t="inlineStr">
        <is>
          <t>2026-Q1</t>
        </is>
      </c>
    </row>
    <row r="3242" ht="25.5" customHeight="1">
      <c r="A3242" t="inlineStr">
        <is>
          <t>【一穿就会爱上】美式复古高腰阔腿裤直筒七分裤牛仔裤女裤牛子裤</t>
        </is>
      </c>
      <c r="B3242" t="inlineStr">
        <is>
          <t>recvf5pAkI1Laj.jpg</t>
        </is>
      </c>
      <c r="C3242" s="2" t="str">
        <f>=HYPERLINK("https://xhslink.com/m/44UDLnwXbZU", "https://xhslink.com/m/44UDLnwXbZU")</f>
        <v>https://xhslink.com/m/44UDLnwXbZU</v>
      </c>
      <c r="D3242"/>
      <c r="E3242">
        <v>4718</v>
      </c>
      <c r="F3242">
        <v>108</v>
      </c>
      <c r="G3242">
        <v>78</v>
      </c>
      <c r="H3242">
        <v>100</v>
      </c>
      <c r="I3242" t="inlineStr">
        <is>
          <t>直筒裤</t>
        </is>
      </c>
      <c r="J3242" t="inlineStr">
        <is>
          <t>0.02</t>
        </is>
      </c>
      <c r="K3242" t="inlineStr">
        <is>
          <t>🔥低粉爆款</t>
        </is>
      </c>
      <c r="L3242" t="inlineStr">
        <is>
          <t>没有双眼皮呀的店</t>
        </is>
      </c>
      <c r="M3242">
        <v>462</v>
      </c>
      <c r="N3242">
        <v>4.59</v>
      </c>
      <c r="O3242">
        <v>23000</v>
      </c>
      <c r="P3242" t="inlineStr">
        <is>
          <t>683d2106317c900001afffdc</t>
        </is>
      </c>
      <c r="Q3242" t="inlineStr">
        <is>
          <t>🚫重复</t>
        </is>
      </c>
      <c r="R3242" t="inlineStr">
        <is>
          <t>14周</t>
        </is>
      </c>
      <c r="S3242" t="inlineStr">
        <is>
          <t>10.21</t>
        </is>
      </c>
      <c r="T3242" t="inlineStr">
        <is>
          <t>服饰穿搭</t>
        </is>
      </c>
      <c r="U3242" t="inlineStr">
        <is>
          <t>女装</t>
        </is>
      </c>
      <c r="V3242" s="3">
        <v>46112.78107638889</v>
      </c>
      <c r="W3242" t="inlineStr">
        <is>
          <t>2026-Q1</t>
        </is>
      </c>
    </row>
    <row r="3243" ht="25.5" customHeight="1">
      <c r="A3243" t="inlineStr">
        <is>
          <t>24小时发出 复古做旧洗水牛仔美式宽松高腰阔腿直筒裤2026新款</t>
        </is>
      </c>
      <c r="B3243" t="inlineStr">
        <is>
          <t>recvf5pAkI9qh9.jpg</t>
        </is>
      </c>
      <c r="C3243" s="2" t="str">
        <f>=HYPERLINK("https://xhslink.com/m/9jQWJXVbfV1", "https://xhslink.com/m/9jQWJXVbfV1")</f>
        <v>https://xhslink.com/m/9jQWJXVbfV1</v>
      </c>
      <c r="D3243"/>
      <c r="E3243">
        <v>13000</v>
      </c>
      <c r="F3243">
        <v>199</v>
      </c>
      <c r="G3243">
        <v>99.99</v>
      </c>
      <c r="H3243">
        <v>100</v>
      </c>
      <c r="I3243" t="inlineStr">
        <is>
          <t>直筒裤</t>
        </is>
      </c>
      <c r="J3243" t="inlineStr">
        <is>
          <t>0.01</t>
        </is>
      </c>
      <c r="K3243"/>
      <c r="L3243" t="inlineStr">
        <is>
          <t>一只雯的店</t>
        </is>
      </c>
      <c r="M3243">
        <v>12000</v>
      </c>
      <c r="N3243">
        <v>4.58</v>
      </c>
      <c r="O3243">
        <v>251000</v>
      </c>
      <c r="P3243" t="inlineStr">
        <is>
          <t>66d5660c98027b00018cc9f2</t>
        </is>
      </c>
      <c r="Q3243" t="inlineStr">
        <is>
          <t>🚫重复</t>
        </is>
      </c>
      <c r="R3243" t="inlineStr">
        <is>
          <t>14周</t>
        </is>
      </c>
      <c r="S3243" t="inlineStr">
        <is>
          <t>1.08</t>
        </is>
      </c>
      <c r="T3243" t="inlineStr">
        <is>
          <t>服饰穿搭</t>
        </is>
      </c>
      <c r="U3243" t="inlineStr">
        <is>
          <t>女装</t>
        </is>
      </c>
      <c r="V3243" s="3">
        <v>46112.78107638889</v>
      </c>
      <c r="W3243" t="inlineStr">
        <is>
          <t>2026-Q1</t>
        </is>
      </c>
    </row>
    <row r="3244" ht="25.5" customHeight="1">
      <c r="A3244" t="inlineStr">
        <is>
          <t>【前7000单立减30】横叉口袋休闲卫裤显瘦宽松直筒阔腿裤女春秋</t>
        </is>
      </c>
      <c r="B3244" t="inlineStr">
        <is>
          <t>recvf5pAkIek2e.jpg</t>
        </is>
      </c>
      <c r="C3244" s="2" t="str">
        <f>=HYPERLINK("https://xhslink.com/m/749FOJOahFA", "https://xhslink.com/m/749FOJOahFA")</f>
        <v>https://xhslink.com/m/749FOJOahFA</v>
      </c>
      <c r="D3244"/>
      <c r="E3244">
        <v>6686</v>
      </c>
      <c r="F3244">
        <v>79.9</v>
      </c>
      <c r="G3244">
        <v>49.9</v>
      </c>
      <c r="H3244">
        <v>100</v>
      </c>
      <c r="I3244" t="inlineStr">
        <is>
          <t>直筒裤</t>
        </is>
      </c>
      <c r="J3244" t="inlineStr">
        <is>
          <t>0.01</t>
        </is>
      </c>
      <c r="K3244" t="inlineStr">
        <is>
          <t>🔥低粉爆款</t>
        </is>
      </c>
      <c r="L3244" t="inlineStr">
        <is>
          <t>对啊对啊的店</t>
        </is>
      </c>
      <c r="M3244">
        <v>271</v>
      </c>
      <c r="N3244">
        <v>4.47</v>
      </c>
      <c r="O3244">
        <v>13000</v>
      </c>
      <c r="P3244" t="inlineStr">
        <is>
          <t>68a69c110f0ca400155b01e4</t>
        </is>
      </c>
      <c r="Q3244" t="inlineStr">
        <is>
          <t>🚫重复</t>
        </is>
      </c>
      <c r="R3244" t="inlineStr">
        <is>
          <t>14周</t>
        </is>
      </c>
      <c r="S3244" t="inlineStr">
        <is>
          <t>24.67</t>
        </is>
      </c>
      <c r="T3244" t="inlineStr">
        <is>
          <t>服饰穿搭</t>
        </is>
      </c>
      <c r="U3244" t="inlineStr">
        <is>
          <t>女装</t>
        </is>
      </c>
      <c r="V3244" s="3">
        <v>46112.78107638889</v>
      </c>
      <c r="W3244" t="inlineStr">
        <is>
          <t>2026-Q1</t>
        </is>
      </c>
    </row>
    <row r="3245" ht="25.5" customHeight="1">
      <c r="A3245" t="inlineStr">
        <is>
          <t>蓝灰色直筒牛仔裤女秋季新款大码梨形身材胖mm高腰宽松显瘦阔腿裤</t>
        </is>
      </c>
      <c r="B3245" t="inlineStr">
        <is>
          <t>recvf5pAkIfew4.jpg</t>
        </is>
      </c>
      <c r="C3245" s="2" t="str">
        <f>=HYPERLINK("https://xhslink.com/m/svBDhpKI0K", "https://xhslink.com/m/svBDhpKI0K")</f>
        <v>https://xhslink.com/m/svBDhpKI0K</v>
      </c>
      <c r="D3245"/>
      <c r="E3245">
        <v>6310</v>
      </c>
      <c r="F3245">
        <v>89.9</v>
      </c>
      <c r="G3245"/>
      <c r="H3245">
        <v>100</v>
      </c>
      <c r="I3245" t="inlineStr">
        <is>
          <t>直筒裤</t>
        </is>
      </c>
      <c r="J3245" t="inlineStr">
        <is>
          <t>0.02</t>
        </is>
      </c>
      <c r="K3245"/>
      <c r="L3245" t="inlineStr">
        <is>
          <t>我没马甲线的店</t>
        </is>
      </c>
      <c r="M3245">
        <v>2500</v>
      </c>
      <c r="N3245">
        <v>4.57</v>
      </c>
      <c r="O3245">
        <v>39000</v>
      </c>
      <c r="P3245" t="inlineStr">
        <is>
          <t>68be8904d471ac0001245ee4</t>
        </is>
      </c>
      <c r="Q3245"/>
      <c r="R3245" t="inlineStr">
        <is>
          <t>14周</t>
        </is>
      </c>
      <c r="S3245" t="inlineStr">
        <is>
          <t>2.52</t>
        </is>
      </c>
      <c r="T3245" t="inlineStr">
        <is>
          <t>服饰穿搭</t>
        </is>
      </c>
      <c r="U3245" t="inlineStr">
        <is>
          <t>女装</t>
        </is>
      </c>
      <c r="V3245" s="3">
        <v>46112.78107638889</v>
      </c>
      <c r="W3245" t="inlineStr">
        <is>
          <t>2026-Q1</t>
        </is>
      </c>
    </row>
    <row r="3246" ht="25.5" customHeight="1">
      <c r="A3246" t="inlineStr">
        <is>
          <t>OKOKOK·高腰阔腿牛仔裤女2026春季新款流行显瘦垂感直筒裤</t>
        </is>
      </c>
      <c r="B3246" t="inlineStr">
        <is>
          <t>recvf5pAkIvH9Q.jpg</t>
        </is>
      </c>
      <c r="C3246" s="2" t="str">
        <f>=HYPERLINK("https://xhslink.com/m/5JDS6D7kPTs", "https://xhslink.com/m/5JDS6D7kPTs")</f>
        <v>https://xhslink.com/m/5JDS6D7kPTs</v>
      </c>
      <c r="D3246"/>
      <c r="E3246">
        <v>5042</v>
      </c>
      <c r="F3246">
        <v>118</v>
      </c>
      <c r="G3246">
        <v>99</v>
      </c>
      <c r="H3246">
        <v>100</v>
      </c>
      <c r="I3246" t="inlineStr">
        <is>
          <t>直筒裤</t>
        </is>
      </c>
      <c r="J3246" t="inlineStr">
        <is>
          <t>0.02</t>
        </is>
      </c>
      <c r="K3246"/>
      <c r="L3246" t="inlineStr">
        <is>
          <t>OKOKOK的店</t>
        </is>
      </c>
      <c r="M3246">
        <v>233000</v>
      </c>
      <c r="N3246">
        <v>4.53</v>
      </c>
      <c r="O3246">
        <v>1127000</v>
      </c>
      <c r="P3246" t="inlineStr">
        <is>
          <t>697b5e2e3067f400016da004</t>
        </is>
      </c>
      <c r="Q3246" t="inlineStr">
        <is>
          <t>🚫重复</t>
        </is>
      </c>
      <c r="R3246" t="inlineStr">
        <is>
          <t>14周</t>
        </is>
      </c>
      <c r="S3246" t="inlineStr">
        <is>
          <t>0.02</t>
        </is>
      </c>
      <c r="T3246" t="inlineStr">
        <is>
          <t>服饰穿搭</t>
        </is>
      </c>
      <c r="U3246" t="inlineStr">
        <is>
          <t>女装</t>
        </is>
      </c>
      <c r="V3246" s="3">
        <v>46112.78107638889</v>
      </c>
      <c r="W3246" t="inlineStr">
        <is>
          <t>2026-Q1</t>
        </is>
      </c>
    </row>
    <row r="3247" ht="25.5" customHeight="1">
      <c r="A3247" t="inlineStr">
        <is>
          <t>2026爆款情侣明星洞洞鞋男女款经典防滑防臭超轻夏季沙滩鞋百搭款</t>
        </is>
      </c>
      <c r="B3247" t="inlineStr">
        <is>
          <t>recvf5pAkIycds.jpg</t>
        </is>
      </c>
      <c r="C3247" s="2" t="str">
        <f>=HYPERLINK("https://xhslink.com/m/JHxuBe4Uxs", "https://xhslink.com/m/JHxuBe4Uxs")</f>
        <v>https://xhslink.com/m/JHxuBe4Uxs</v>
      </c>
      <c r="D3247"/>
      <c r="E3247">
        <v>19000</v>
      </c>
      <c r="F3247">
        <v>34.9</v>
      </c>
      <c r="G3247"/>
      <c r="H3247">
        <v>100</v>
      </c>
      <c r="I3247" t="inlineStr">
        <is>
          <t>凉鞋</t>
        </is>
      </c>
      <c r="J3247" t="inlineStr">
        <is>
          <t>0.01</t>
        </is>
      </c>
      <c r="K3247" t="inlineStr">
        <is>
          <t>🔥低粉爆款</t>
        </is>
      </c>
      <c r="L3247" t="inlineStr">
        <is>
          <t>小牛的鞋柜的店</t>
        </is>
      </c>
      <c r="M3247">
        <v>5557</v>
      </c>
      <c r="N3247">
        <v>4.58</v>
      </c>
      <c r="O3247">
        <v>46000</v>
      </c>
      <c r="P3247" t="inlineStr">
        <is>
          <t>684050036aec030015c4b852</t>
        </is>
      </c>
      <c r="Q3247" t="inlineStr">
        <is>
          <t>🚫重复</t>
        </is>
      </c>
      <c r="R3247" t="inlineStr">
        <is>
          <t>14周</t>
        </is>
      </c>
      <c r="S3247" t="inlineStr">
        <is>
          <t>3.42</t>
        </is>
      </c>
      <c r="T3247" t="inlineStr">
        <is>
          <t>服饰穿搭</t>
        </is>
      </c>
      <c r="U3247" t="inlineStr">
        <is>
          <t>鞋靴箱包</t>
        </is>
      </c>
      <c r="V3247" s="3">
        <v>46112.78107638889</v>
      </c>
      <c r="W3247" t="inlineStr">
        <is>
          <t>2026-Q1</t>
        </is>
      </c>
    </row>
    <row r="3248" ht="25.5" customHeight="1">
      <c r="A3248" t="inlineStr">
        <is>
          <t>eva一体式同款云朵洞洞鞋～不臭不响～5cm增高</t>
        </is>
      </c>
      <c r="B3248" t="inlineStr">
        <is>
          <t>recvf5pAkIwSAD.jpg</t>
        </is>
      </c>
      <c r="C3248" s="2" t="str">
        <f>=HYPERLINK("https://xhslink.com/m/27k1EbG8x0M", "https://xhslink.com/m/27k1EbG8x0M")</f>
        <v>https://xhslink.com/m/27k1EbG8x0M</v>
      </c>
      <c r="D3248"/>
      <c r="E3248">
        <v>14000</v>
      </c>
      <c r="F3248">
        <v>59.9</v>
      </c>
      <c r="G3248">
        <v>39.9</v>
      </c>
      <c r="H3248">
        <v>100</v>
      </c>
      <c r="I3248" t="inlineStr">
        <is>
          <t>凉鞋</t>
        </is>
      </c>
      <c r="J3248" t="inlineStr">
        <is>
          <t>0.01</t>
        </is>
      </c>
      <c r="K3248"/>
      <c r="L3248" t="inlineStr">
        <is>
          <t>小牛的鞋柜的店</t>
        </is>
      </c>
      <c r="M3248">
        <v>5557</v>
      </c>
      <c r="N3248">
        <v>4.58</v>
      </c>
      <c r="O3248">
        <v>46000</v>
      </c>
      <c r="P3248" t="inlineStr">
        <is>
          <t>67ed163e791e9400156f70f1</t>
        </is>
      </c>
      <c r="Q3248" t="inlineStr">
        <is>
          <t>🚫重复</t>
        </is>
      </c>
      <c r="R3248" t="inlineStr">
        <is>
          <t>14周</t>
        </is>
      </c>
      <c r="S3248" t="inlineStr">
        <is>
          <t>2.52</t>
        </is>
      </c>
      <c r="T3248" t="inlineStr">
        <is>
          <t>服饰穿搭</t>
        </is>
      </c>
      <c r="U3248" t="inlineStr">
        <is>
          <t>鞋靴箱包</t>
        </is>
      </c>
      <c r="V3248" s="3">
        <v>46112.78107638889</v>
      </c>
      <c r="W3248" t="inlineStr">
        <is>
          <t>2026-Q1</t>
        </is>
      </c>
    </row>
    <row r="3249" ht="25.5" customHeight="1">
      <c r="A3249" t="inlineStr">
        <is>
          <t>[云朵增高4CM裸鞋]夏季厚底洞洞鞋女鞋可爱拖鞋</t>
        </is>
      </c>
      <c r="B3249" t="inlineStr">
        <is>
          <t>recvf5pAkId6yX.jpg</t>
        </is>
      </c>
      <c r="C3249" s="2" t="str">
        <f>=HYPERLINK("https://xhslink.com/m/1vV62DuU1cM", "https://xhslink.com/m/1vV62DuU1cM")</f>
        <v>https://xhslink.com/m/1vV62DuU1cM</v>
      </c>
      <c r="D3249"/>
      <c r="E3249">
        <v>8492</v>
      </c>
      <c r="F3249">
        <v>89</v>
      </c>
      <c r="G3249">
        <v>69</v>
      </c>
      <c r="H3249">
        <v>100</v>
      </c>
      <c r="I3249" t="inlineStr">
        <is>
          <t>凉鞋</t>
        </is>
      </c>
      <c r="J3249" t="inlineStr">
        <is>
          <t>0.01</t>
        </is>
      </c>
      <c r="K3249"/>
      <c r="L3249" t="inlineStr">
        <is>
          <t>木扎克的店</t>
        </is>
      </c>
      <c r="M3249">
        <v>228000</v>
      </c>
      <c r="N3249">
        <v>4.51</v>
      </c>
      <c r="O3249">
        <v>342000</v>
      </c>
      <c r="P3249" t="inlineStr">
        <is>
          <t>6837ef4c70041c0001a6fa6e</t>
        </is>
      </c>
      <c r="Q3249"/>
      <c r="R3249" t="inlineStr">
        <is>
          <t>14周</t>
        </is>
      </c>
      <c r="S3249" t="inlineStr">
        <is>
          <t>0.04</t>
        </is>
      </c>
      <c r="T3249" t="inlineStr">
        <is>
          <t>服饰穿搭</t>
        </is>
      </c>
      <c r="U3249" t="inlineStr">
        <is>
          <t>鞋靴箱包</t>
        </is>
      </c>
      <c r="V3249" s="3">
        <v>46112.78107638889</v>
      </c>
      <c r="W3249" t="inlineStr">
        <is>
          <t>2026-Q1</t>
        </is>
      </c>
    </row>
    <row r="3250" ht="25.5" customHeight="1">
      <c r="A3250" t="inlineStr">
        <is>
          <t>真皮～2025新品粗跟凉拖鞋女夏外穿时尚网红海边百搭露趾高跟H拖</t>
        </is>
      </c>
      <c r="B3250" t="inlineStr">
        <is>
          <t>recvf5pAkI0bpB.jpg</t>
        </is>
      </c>
      <c r="C3250" s="2" t="str">
        <f>=HYPERLINK("https://xhslink.com/m/3Kspi6hCoV9", "https://xhslink.com/m/3Kspi6hCoV9")</f>
        <v>https://xhslink.com/m/3Kspi6hCoV9</v>
      </c>
      <c r="D3250"/>
      <c r="E3250">
        <v>4168</v>
      </c>
      <c r="F3250">
        <v>128</v>
      </c>
      <c r="G3250">
        <v>107.52</v>
      </c>
      <c r="H3250">
        <v>100</v>
      </c>
      <c r="I3250" t="inlineStr">
        <is>
          <t>凉鞋</t>
        </is>
      </c>
      <c r="J3250" t="inlineStr">
        <is>
          <t>0.02</t>
        </is>
      </c>
      <c r="K3250"/>
      <c r="L3250" t="inlineStr">
        <is>
          <t>妍妍小个子研究所的店</t>
        </is>
      </c>
      <c r="M3250">
        <v>3229</v>
      </c>
      <c r="N3250">
        <v>4.58</v>
      </c>
      <c r="O3250">
        <v>24000</v>
      </c>
      <c r="P3250" t="inlineStr">
        <is>
          <t>6820a7e711665d000188d646</t>
        </is>
      </c>
      <c r="Q3250" t="inlineStr">
        <is>
          <t>🚫重复</t>
        </is>
      </c>
      <c r="R3250" t="inlineStr">
        <is>
          <t>14周</t>
        </is>
      </c>
      <c r="S3250" t="inlineStr">
        <is>
          <t>1.29</t>
        </is>
      </c>
      <c r="T3250" t="inlineStr">
        <is>
          <t>服饰穿搭</t>
        </is>
      </c>
      <c r="U3250" t="inlineStr">
        <is>
          <t>鞋靴箱包</t>
        </is>
      </c>
      <c r="V3250" s="3">
        <v>46112.78107638889</v>
      </c>
      <c r="W3250" t="inlineStr">
        <is>
          <t>2026-Q1</t>
        </is>
      </c>
    </row>
    <row r="3251" ht="25.5" customHeight="1">
      <c r="A3251" t="inlineStr">
        <is>
          <t>足弓支撑苹果星星洞洞鞋2025春夏季新款厚底防滑两穿包头凉拖鞋女</t>
        </is>
      </c>
      <c r="B3251" t="inlineStr">
        <is>
          <t>recvf5pAkIfJwA.jpg</t>
        </is>
      </c>
      <c r="C3251" s="2" t="str">
        <f>=HYPERLINK("https://xhslink.com/m/AnkbhzPMWtX", "https://xhslink.com/m/AnkbhzPMWtX")</f>
        <v>https://xhslink.com/m/AnkbhzPMWtX</v>
      </c>
      <c r="D3251"/>
      <c r="E3251">
        <v>3332</v>
      </c>
      <c r="F3251">
        <v>39.8</v>
      </c>
      <c r="G3251"/>
      <c r="H3251">
        <v>100</v>
      </c>
      <c r="I3251" t="inlineStr">
        <is>
          <t>凉鞋</t>
        </is>
      </c>
      <c r="J3251" t="inlineStr">
        <is>
          <t>0.03</t>
        </is>
      </c>
      <c r="K3251"/>
      <c r="L3251" t="inlineStr">
        <is>
          <t>薇薇an的店</t>
        </is>
      </c>
      <c r="M3251">
        <v>2746</v>
      </c>
      <c r="N3251">
        <v>4.54</v>
      </c>
      <c r="O3251">
        <v>23000</v>
      </c>
      <c r="P3251" t="inlineStr">
        <is>
          <t>6801129852646c001542c683</t>
        </is>
      </c>
      <c r="Q3251"/>
      <c r="R3251" t="inlineStr">
        <is>
          <t>14周</t>
        </is>
      </c>
      <c r="S3251" t="inlineStr">
        <is>
          <t>1.21</t>
        </is>
      </c>
      <c r="T3251" t="inlineStr">
        <is>
          <t>服饰穿搭</t>
        </is>
      </c>
      <c r="U3251" t="inlineStr">
        <is>
          <t>鞋靴箱包</t>
        </is>
      </c>
      <c r="V3251" s="3">
        <v>46112.78107638889</v>
      </c>
      <c r="W3251" t="inlineStr">
        <is>
          <t>2026-Q1</t>
        </is>
      </c>
    </row>
    <row r="3252" ht="25.5" customHeight="1">
      <c r="A3252" t="inlineStr">
        <is>
          <t>平底2cm~eva材质防滑带足弓支撑洞洞鞋男女款</t>
        </is>
      </c>
      <c r="B3252" t="inlineStr">
        <is>
          <t>recvf5pAkIzzjC.jpg</t>
        </is>
      </c>
      <c r="C3252" s="2" t="str">
        <f>=HYPERLINK("https://xhslink.com/m/4GMjBuczdKc", "https://xhslink.com/m/4GMjBuczdKc")</f>
        <v>https://xhslink.com/m/4GMjBuczdKc</v>
      </c>
      <c r="D3252"/>
      <c r="E3252">
        <v>720</v>
      </c>
      <c r="F3252">
        <v>69.9</v>
      </c>
      <c r="G3252">
        <v>39.9</v>
      </c>
      <c r="H3252">
        <v>100</v>
      </c>
      <c r="I3252" t="inlineStr">
        <is>
          <t>凉鞋</t>
        </is>
      </c>
      <c r="J3252" t="inlineStr">
        <is>
          <t>0.14</t>
        </is>
      </c>
      <c r="K3252"/>
      <c r="L3252" t="inlineStr">
        <is>
          <t>小谢制鞋厂2店的店</t>
        </is>
      </c>
      <c r="M3252">
        <v>1627</v>
      </c>
      <c r="N3252">
        <v>4.45</v>
      </c>
      <c r="O3252">
        <v>27000</v>
      </c>
      <c r="P3252" t="inlineStr">
        <is>
          <t>69a9a973c125ae0001846f2d</t>
        </is>
      </c>
      <c r="Q3252" t="inlineStr">
        <is>
          <t>🚫重复</t>
        </is>
      </c>
      <c r="R3252" t="inlineStr">
        <is>
          <t>14周</t>
        </is>
      </c>
      <c r="S3252" t="inlineStr">
        <is>
          <t>0.44</t>
        </is>
      </c>
      <c r="T3252" t="inlineStr">
        <is>
          <t>服饰穿搭</t>
        </is>
      </c>
      <c r="U3252" t="inlineStr">
        <is>
          <t>鞋靴箱包</t>
        </is>
      </c>
      <c r="V3252" s="3">
        <v>46112.78107638889</v>
      </c>
      <c r="W3252" t="inlineStr">
        <is>
          <t>2026-Q1</t>
        </is>
      </c>
    </row>
    <row r="3253" ht="25.5" customHeight="1">
      <c r="A3253" t="inlineStr">
        <is>
          <t>萨茉莉儿 · 拍3免1 秋冬新款S96冰透裸色免烤水性指甲油</t>
        </is>
      </c>
      <c r="B3253" t="inlineStr">
        <is>
          <t>recvf5pAkIiqS2.jpg</t>
        </is>
      </c>
      <c r="C3253" s="2" t="str">
        <f>=HYPERLINK("https://xhslink.com/m/a3Gm1DI47L", "https://xhslink.com/m/a3Gm1DI47L")</f>
        <v>https://xhslink.com/m/a3Gm1DI47L</v>
      </c>
      <c r="D3253"/>
      <c r="E3253">
        <v>139000</v>
      </c>
      <c r="F3253">
        <v>18.8</v>
      </c>
      <c r="G3253">
        <v>15.98</v>
      </c>
      <c r="H3253">
        <v>100</v>
      </c>
      <c r="I3253" t="inlineStr">
        <is>
          <t>美甲美睫</t>
        </is>
      </c>
      <c r="J3253" t="inlineStr">
        <is>
          <t>0.00</t>
        </is>
      </c>
      <c r="K3253" t="inlineStr">
        <is>
          <t>🔥低粉爆款</t>
        </is>
      </c>
      <c r="L3253" t="inlineStr">
        <is>
          <t>萨茉莉儿旗舰店</t>
        </is>
      </c>
      <c r="M3253">
        <v>12000</v>
      </c>
      <c r="N3253">
        <v>4.59</v>
      </c>
      <c r="O3253">
        <v>234000</v>
      </c>
      <c r="P3253" t="inlineStr">
        <is>
          <t>63d9d92d7401360001a9d9b8</t>
        </is>
      </c>
      <c r="Q3253"/>
      <c r="R3253" t="inlineStr">
        <is>
          <t>14周</t>
        </is>
      </c>
      <c r="S3253" t="inlineStr">
        <is>
          <t>11.58</t>
        </is>
      </c>
      <c r="T3253" t="inlineStr">
        <is>
          <t>美妆个护</t>
        </is>
      </c>
      <c r="U3253" t="inlineStr">
        <is>
          <t>护肤彩妆</t>
        </is>
      </c>
      <c r="V3253" s="3">
        <v>46112.78107638889</v>
      </c>
      <c r="W3253" t="inlineStr">
        <is>
          <t>2026-Q1</t>
        </is>
      </c>
    </row>
    <row r="3254" ht="25.5" customHeight="1">
      <c r="A3254" t="inlineStr">
        <is>
          <t>半山音 · 四簇短款苏妲己假睫毛更适合长眼型大眼睛狐系斜飞清冷感自然免胶</t>
        </is>
      </c>
      <c r="B3254" t="inlineStr">
        <is>
          <t>recvf5pAkIJQEU.jpg</t>
        </is>
      </c>
      <c r="C3254" s="2" t="str">
        <f>=HYPERLINK("https://xhslink.com/m/1kkHsFjHYMU", "https://xhslink.com/m/1kkHsFjHYMU")</f>
        <v>https://xhslink.com/m/1kkHsFjHYMU</v>
      </c>
      <c r="D3254"/>
      <c r="E3254">
        <v>49000</v>
      </c>
      <c r="F3254">
        <v>15.5</v>
      </c>
      <c r="G3254"/>
      <c r="H3254">
        <v>100</v>
      </c>
      <c r="I3254" t="inlineStr">
        <is>
          <t>美甲美睫</t>
        </is>
      </c>
      <c r="J3254" t="inlineStr">
        <is>
          <t>0.00</t>
        </is>
      </c>
      <c r="K3254"/>
      <c r="L3254" t="inlineStr">
        <is>
          <t>半山音假睫毛的店</t>
        </is>
      </c>
      <c r="M3254">
        <v>76000</v>
      </c>
      <c r="N3254">
        <v>4.63</v>
      </c>
      <c r="O3254">
        <v>1754000</v>
      </c>
      <c r="P3254" t="inlineStr">
        <is>
          <t>67d3b66752503c000184d01e</t>
        </is>
      </c>
      <c r="Q3254" t="inlineStr">
        <is>
          <t>🚫重复</t>
        </is>
      </c>
      <c r="R3254" t="inlineStr">
        <is>
          <t>14周</t>
        </is>
      </c>
      <c r="S3254" t="inlineStr">
        <is>
          <t>0.64</t>
        </is>
      </c>
      <c r="T3254" t="inlineStr">
        <is>
          <t>美妆个护</t>
        </is>
      </c>
      <c r="U3254" t="inlineStr">
        <is>
          <t>护肤彩妆</t>
        </is>
      </c>
      <c r="V3254" s="3">
        <v>46112.78107638889</v>
      </c>
      <c r="W3254" t="inlineStr">
        <is>
          <t>2026-Q1</t>
        </is>
      </c>
    </row>
    <row r="3255" ht="25.5" customHeight="1">
      <c r="A3255" t="inlineStr">
        <is>
          <t>兜兜甜 · 玉面小狐狸假睫毛清透狐系斜飞单簇狐狸眼眼尾拉长细梗自然款平价</t>
        </is>
      </c>
      <c r="B3255" t="inlineStr">
        <is>
          <t>recvf5pAkIT51Z.jpg</t>
        </is>
      </c>
      <c r="C3255" s="2" t="str">
        <f>=HYPERLINK("https://xhslink.com/m/5UIRVETyA61", "https://xhslink.com/m/5UIRVETyA61")</f>
        <v>https://xhslink.com/m/5UIRVETyA61</v>
      </c>
      <c r="D3255"/>
      <c r="E3255">
        <v>37000</v>
      </c>
      <c r="F3255">
        <v>29.9</v>
      </c>
      <c r="G3255">
        <v>8.9</v>
      </c>
      <c r="H3255">
        <v>100</v>
      </c>
      <c r="I3255" t="inlineStr">
        <is>
          <t>美甲美睫</t>
        </is>
      </c>
      <c r="J3255" t="inlineStr">
        <is>
          <t>0.00</t>
        </is>
      </c>
      <c r="K3255" t="inlineStr">
        <is>
          <t>🔥低粉爆款</t>
        </is>
      </c>
      <c r="L3255" t="inlineStr">
        <is>
          <t>陈小睫的店</t>
        </is>
      </c>
      <c r="M3255">
        <v>932</v>
      </c>
      <c r="N3255">
        <v>4.36</v>
      </c>
      <c r="O3255">
        <v>70000</v>
      </c>
      <c r="P3255" t="inlineStr">
        <is>
          <t>68a6fea9e02321001574fe69</t>
        </is>
      </c>
      <c r="Q3255"/>
      <c r="R3255" t="inlineStr">
        <is>
          <t>14周</t>
        </is>
      </c>
      <c r="S3255" t="inlineStr">
        <is>
          <t>39.70</t>
        </is>
      </c>
      <c r="T3255" t="inlineStr">
        <is>
          <t>美妆个护</t>
        </is>
      </c>
      <c r="U3255" t="inlineStr">
        <is>
          <t>护肤彩妆</t>
        </is>
      </c>
      <c r="V3255" s="3">
        <v>46112.78107638889</v>
      </c>
      <c r="W3255" t="inlineStr">
        <is>
          <t>2026-Q1</t>
        </is>
      </c>
    </row>
    <row r="3256" ht="25.5" customHeight="1">
      <c r="A3256" t="inlineStr">
        <is>
          <t>3E · 【白桃乌龙】奶犹水蜜桃豆沙粉渐变自然不透甲穿戴甲渐变裸纯欲风</t>
        </is>
      </c>
      <c r="B3256" t="inlineStr">
        <is>
          <t>recvf5pAkIJxkd.jpg</t>
        </is>
      </c>
      <c r="C3256" s="2" t="str">
        <f>=HYPERLINK("https://xhslink.com/m/5jF9PG4FGr0", "https://xhslink.com/m/5jF9PG4FGr0")</f>
        <v>https://xhslink.com/m/5jF9PG4FGr0</v>
      </c>
      <c r="D3256"/>
      <c r="E3256">
        <v>15000</v>
      </c>
      <c r="F3256">
        <v>21.9</v>
      </c>
      <c r="G3256">
        <v>11.9</v>
      </c>
      <c r="H3256">
        <v>100</v>
      </c>
      <c r="I3256" t="inlineStr">
        <is>
          <t>美甲美睫</t>
        </is>
      </c>
      <c r="J3256" t="inlineStr">
        <is>
          <t>0.01</t>
        </is>
      </c>
      <c r="K3256" t="inlineStr">
        <is>
          <t>🔥低粉爆款</t>
        </is>
      </c>
      <c r="L3256" t="inlineStr">
        <is>
          <t>小知手工穿戴甲的店</t>
        </is>
      </c>
      <c r="M3256">
        <v>1530</v>
      </c>
      <c r="N3256">
        <v>4.52</v>
      </c>
      <c r="O3256">
        <v>19000</v>
      </c>
      <c r="P3256" t="inlineStr">
        <is>
          <t>6819a8ebc883af00013e4762</t>
        </is>
      </c>
      <c r="Q3256" t="inlineStr">
        <is>
          <t>🚫重复</t>
        </is>
      </c>
      <c r="R3256" t="inlineStr">
        <is>
          <t>14周</t>
        </is>
      </c>
      <c r="S3256" t="inlineStr">
        <is>
          <t>9.80</t>
        </is>
      </c>
      <c r="T3256" t="inlineStr">
        <is>
          <t>美妆个护</t>
        </is>
      </c>
      <c r="U3256" t="inlineStr">
        <is>
          <t>护肤彩妆</t>
        </is>
      </c>
      <c r="V3256" s="3">
        <v>46112.78107638889</v>
      </c>
      <c r="W3256" t="inlineStr">
        <is>
          <t>2026-Q1</t>
        </is>
      </c>
    </row>
    <row r="3257" ht="25.5" customHeight="1">
      <c r="A3257" t="inlineStr">
        <is>
          <t>船小宇 · 生呛虾 生腌虾 生腌海鲜650g/桶 新鲜制作</t>
        </is>
      </c>
      <c r="B3257" t="inlineStr">
        <is>
          <t>recvf5pAkILhwQ_fix.jpg</t>
        </is>
      </c>
      <c r="C3257" s="2" t="str">
        <f>=HYPERLINK("https://xhslink.com/m/8I0KDJ6Oo8w", "https://xhslink.com/m/8I0KDJ6Oo8w")</f>
        <v>https://xhslink.com/m/8I0KDJ6Oo8w</v>
      </c>
      <c r="D3257"/>
      <c r="E3257">
        <v>4914</v>
      </c>
      <c r="F3257">
        <v>78.6</v>
      </c>
      <c r="G3257"/>
      <c r="H3257">
        <v>100</v>
      </c>
      <c r="I3257" t="inlineStr">
        <is>
          <t>生腌虾</t>
        </is>
      </c>
      <c r="J3257" t="inlineStr">
        <is>
          <t>0.02</t>
        </is>
      </c>
      <c r="K3257"/>
      <c r="L3257" t="inlineStr">
        <is>
          <t>大连船小宇海鲜的店</t>
        </is>
      </c>
      <c r="M3257">
        <v>3842</v>
      </c>
      <c r="N3257">
        <v>4.61</v>
      </c>
      <c r="O3257">
        <v>30000</v>
      </c>
      <c r="P3257" t="inlineStr">
        <is>
          <t>66a4c5284895030001a6baa4</t>
        </is>
      </c>
      <c r="Q3257"/>
      <c r="R3257" t="inlineStr">
        <is>
          <t>14周</t>
        </is>
      </c>
      <c r="S3257" t="inlineStr">
        <is>
          <t>1.28</t>
        </is>
      </c>
      <c r="T3257" t="inlineStr">
        <is>
          <t>美食滋补</t>
        </is>
      </c>
      <c r="U3257" t="inlineStr">
        <is>
          <t>生鲜特产</t>
        </is>
      </c>
      <c r="V3257" s="3">
        <v>46112.78107638889</v>
      </c>
      <c r="W3257" t="inlineStr">
        <is>
          <t>2026-Q1</t>
        </is>
      </c>
    </row>
    <row r="3258" ht="25.5" customHeight="1">
      <c r="A3258" t="inlineStr">
        <is>
          <t>【顺丰包邮】丹东泰式无皮虾鲜活味道开背生呛虾生腌虾即食零食</t>
        </is>
      </c>
      <c r="B3258" t="inlineStr">
        <is>
          <t>recvf5pAkIBoIi.jpg</t>
        </is>
      </c>
      <c r="C3258" s="2" t="str">
        <f>=HYPERLINK("https://xhslink.com/m/9xWjERWyW6C", "https://xhslink.com/m/9xWjERWyW6C")</f>
        <v>https://xhslink.com/m/9xWjERWyW6C</v>
      </c>
      <c r="D3258"/>
      <c r="E3258">
        <v>12000</v>
      </c>
      <c r="F3258">
        <v>118</v>
      </c>
      <c r="G3258">
        <v>68</v>
      </c>
      <c r="H3258">
        <v>100</v>
      </c>
      <c r="I3258" t="inlineStr">
        <is>
          <t>生腌虾</t>
        </is>
      </c>
      <c r="J3258" t="inlineStr">
        <is>
          <t>0.01</t>
        </is>
      </c>
      <c r="K3258" t="inlineStr">
        <is>
          <t>🔥低粉爆款</t>
        </is>
      </c>
      <c r="L3258" t="inlineStr">
        <is>
          <t>贡捞海鲜码头的店</t>
        </is>
      </c>
      <c r="M3258">
        <v>2280</v>
      </c>
      <c r="N3258">
        <v>4.55</v>
      </c>
      <c r="O3258">
        <v>23000</v>
      </c>
      <c r="P3258" t="inlineStr">
        <is>
          <t>67d13142bb9b9d00015461e6</t>
        </is>
      </c>
      <c r="Q3258" t="inlineStr">
        <is>
          <t>🚫重复</t>
        </is>
      </c>
      <c r="R3258" t="inlineStr">
        <is>
          <t>14周</t>
        </is>
      </c>
      <c r="S3258" t="inlineStr">
        <is>
          <t>5.26</t>
        </is>
      </c>
      <c r="T3258" t="inlineStr">
        <is>
          <t>美食滋补</t>
        </is>
      </c>
      <c r="U3258" t="inlineStr">
        <is>
          <t>休闲零食</t>
        </is>
      </c>
      <c r="V3258" s="3">
        <v>46112.78107638889</v>
      </c>
      <c r="W3258" t="inlineStr">
        <is>
          <t>2026-Q1</t>
        </is>
      </c>
    </row>
    <row r="3259" ht="25.5" customHeight="1">
      <c r="A3259" t="inlineStr">
        <is>
          <t>【前1000单特价】双面磁吸手机支架大全合金材质桌面支架赠磁吸环</t>
        </is>
      </c>
      <c r="B3259" t="inlineStr">
        <is>
          <t>recvf5pAkINhoU.jpg</t>
        </is>
      </c>
      <c r="C3259" s="2" t="str">
        <f>=HYPERLINK("https://xhslink.com/m/AEI5XFkXhzS", "https://xhslink.com/m/AEI5XFkXhzS")</f>
        <v>https://xhslink.com/m/AEI5XFkXhzS</v>
      </c>
      <c r="D3259"/>
      <c r="E3259">
        <v>18000</v>
      </c>
      <c r="F3259">
        <v>28.9</v>
      </c>
      <c r="G3259"/>
      <c r="H3259">
        <v>100</v>
      </c>
      <c r="I3259" t="inlineStr">
        <is>
          <t>百货</t>
        </is>
      </c>
      <c r="J3259" t="inlineStr">
        <is>
          <t>0.01</t>
        </is>
      </c>
      <c r="K3259" t="inlineStr">
        <is>
          <t>🔥低粉爆款</t>
        </is>
      </c>
      <c r="L3259" t="inlineStr">
        <is>
          <t>Hi-Tech的店</t>
        </is>
      </c>
      <c r="M3259">
        <v>395</v>
      </c>
      <c r="N3259">
        <v>4.52</v>
      </c>
      <c r="O3259">
        <v>19000</v>
      </c>
      <c r="P3259" t="inlineStr">
        <is>
          <t>68cea4cb2b812a00151c5228</t>
        </is>
      </c>
      <c r="Q3259" t="inlineStr">
        <is>
          <t>🚫重复</t>
        </is>
      </c>
      <c r="R3259" t="inlineStr">
        <is>
          <t>14周</t>
        </is>
      </c>
      <c r="S3259" t="inlineStr">
        <is>
          <t>45.57</t>
        </is>
      </c>
      <c r="T3259" t="inlineStr">
        <is>
          <t>数码家电</t>
        </is>
      </c>
      <c r="U3259" t="inlineStr">
        <is>
          <t>数码配件</t>
        </is>
      </c>
      <c r="V3259" s="3">
        <v>46112.78107638889</v>
      </c>
      <c r="W3259" t="inlineStr">
        <is>
          <t>2026-Q1</t>
        </is>
      </c>
    </row>
    <row r="3260" ht="25.5" customHeight="1">
      <c r="A3260" t="inlineStr">
        <is>
          <t>夏日纯棉百搭短袖女夏季新款宽松圆领面包印花休闲T恤美式简约</t>
        </is>
      </c>
      <c r="B3260" t="inlineStr">
        <is>
          <t>recvf5pAkIGXE6.jpg</t>
        </is>
      </c>
      <c r="C3260" s="2" t="str">
        <f>=HYPERLINK("https://xhslink.com/m/9NWPr62z8pi", "https://xhslink.com/m/9NWPr62z8pi")</f>
        <v>https://xhslink.com/m/9NWPr62z8pi</v>
      </c>
      <c r="D3260"/>
      <c r="E3260">
        <v>16000</v>
      </c>
      <c r="F3260">
        <v>35.9</v>
      </c>
      <c r="G3260"/>
      <c r="H3260">
        <v>100</v>
      </c>
      <c r="I3260" t="inlineStr">
        <is>
          <t>短袖</t>
        </is>
      </c>
      <c r="J3260" t="inlineStr">
        <is>
          <t>0.01</t>
        </is>
      </c>
      <c r="K3260"/>
      <c r="L3260" t="inlineStr">
        <is>
          <t>HSYE原创工作室的店</t>
        </is>
      </c>
      <c r="M3260">
        <v>85000</v>
      </c>
      <c r="N3260">
        <v>4.67</v>
      </c>
      <c r="O3260">
        <v>458000</v>
      </c>
      <c r="P3260" t="inlineStr">
        <is>
          <t>66890036d2166e000182ef97</t>
        </is>
      </c>
      <c r="Q3260" t="inlineStr">
        <is>
          <t>🚫重复</t>
        </is>
      </c>
      <c r="R3260" t="inlineStr">
        <is>
          <t>14周</t>
        </is>
      </c>
      <c r="S3260" t="inlineStr">
        <is>
          <t>0.19</t>
        </is>
      </c>
      <c r="T3260" t="inlineStr">
        <is>
          <t>服饰穿搭</t>
        </is>
      </c>
      <c r="U3260" t="inlineStr">
        <is>
          <t>女装</t>
        </is>
      </c>
      <c r="V3260" s="3">
        <v>46112.78107638889</v>
      </c>
      <c r="W3260" t="inlineStr">
        <is>
          <t>2026-Q1</t>
        </is>
      </c>
    </row>
    <row r="3261" ht="25.5" customHeight="1">
      <c r="A3261" t="inlineStr">
        <is>
          <t>RXRL · 纯棉重磅260G落肩版型 宽松ins短袖t恤女夏季2026新款下衣失踪</t>
        </is>
      </c>
      <c r="B3261" t="inlineStr">
        <is>
          <t>recvf5pAkIpBS7.jpg</t>
        </is>
      </c>
      <c r="C3261" s="2" t="str">
        <f>=HYPERLINK("https://xhslink.com/m/5GsH0e5YI8T", "https://xhslink.com/m/5GsH0e5YI8T")</f>
        <v>https://xhslink.com/m/5GsH0e5YI8T</v>
      </c>
      <c r="D3261"/>
      <c r="E3261">
        <v>6733</v>
      </c>
      <c r="F3261">
        <v>39.9</v>
      </c>
      <c r="G3261"/>
      <c r="H3261">
        <v>100</v>
      </c>
      <c r="I3261" t="inlineStr">
        <is>
          <t>短袖</t>
        </is>
      </c>
      <c r="J3261" t="inlineStr">
        <is>
          <t>0.01</t>
        </is>
      </c>
      <c r="K3261" t="inlineStr">
        <is>
          <t>🔥低粉爆款</t>
        </is>
      </c>
      <c r="L3261" t="inlineStr">
        <is>
          <t>RXRL的店</t>
        </is>
      </c>
      <c r="M3261">
        <v>1895</v>
      </c>
      <c r="N3261">
        <v>4.6</v>
      </c>
      <c r="O3261">
        <v>22000</v>
      </c>
      <c r="P3261" t="inlineStr">
        <is>
          <t>6848f8ef4584bd0015b99aab</t>
        </is>
      </c>
      <c r="Q3261"/>
      <c r="R3261" t="inlineStr">
        <is>
          <t>14周</t>
        </is>
      </c>
      <c r="S3261" t="inlineStr">
        <is>
          <t>3.55</t>
        </is>
      </c>
      <c r="T3261" t="inlineStr">
        <is>
          <t>服饰穿搭</t>
        </is>
      </c>
      <c r="U3261" t="inlineStr">
        <is>
          <t>女装</t>
        </is>
      </c>
      <c r="V3261" s="3">
        <v>46112.78107638889</v>
      </c>
      <c r="W3261" t="inlineStr">
        <is>
          <t>2026-Q1</t>
        </is>
      </c>
    </row>
    <row r="3262" ht="25.5" customHeight="1">
      <c r="A3262" t="inlineStr">
        <is>
          <t>首发/小精灵纯棉印花短袖T恤水洗破坏做旧男女同款</t>
        </is>
      </c>
      <c r="B3262" t="inlineStr">
        <is>
          <t>recvf5pAkIOr7K.jpg</t>
        </is>
      </c>
      <c r="C3262" s="2" t="str">
        <f>=HYPERLINK("https://xhslink.com/m/2zz0Xciq4dV", "https://xhslink.com/m/2zz0Xciq4dV")</f>
        <v>https://xhslink.com/m/2zz0Xciq4dV</v>
      </c>
      <c r="D3262"/>
      <c r="E3262">
        <v>1860</v>
      </c>
      <c r="F3262">
        <v>149</v>
      </c>
      <c r="G3262"/>
      <c r="H3262">
        <v>100</v>
      </c>
      <c r="I3262" t="inlineStr">
        <is>
          <t>短袖</t>
        </is>
      </c>
      <c r="J3262" t="inlineStr">
        <is>
          <t>0.05</t>
        </is>
      </c>
      <c r="K3262"/>
      <c r="L3262" t="inlineStr">
        <is>
          <t>毛线momo的店</t>
        </is>
      </c>
      <c r="M3262">
        <v>7218</v>
      </c>
      <c r="N3262">
        <v>4.72</v>
      </c>
      <c r="O3262">
        <v>29000</v>
      </c>
      <c r="P3262" t="inlineStr">
        <is>
          <t>6989c0035b50a300013c9133</t>
        </is>
      </c>
      <c r="Q3262" t="inlineStr">
        <is>
          <t>🚫重复</t>
        </is>
      </c>
      <c r="R3262" t="inlineStr">
        <is>
          <t>14周</t>
        </is>
      </c>
      <c r="S3262" t="inlineStr">
        <is>
          <t>0.26</t>
        </is>
      </c>
      <c r="T3262" t="inlineStr">
        <is>
          <t>服饰穿搭</t>
        </is>
      </c>
      <c r="U3262" t="inlineStr">
        <is>
          <t>女装</t>
        </is>
      </c>
      <c r="V3262" s="3">
        <v>46112.78107638889</v>
      </c>
      <c r="W3262" t="inlineStr">
        <is>
          <t>2026-Q1</t>
        </is>
      </c>
    </row>
    <row r="3263" ht="25.5" customHeight="1">
      <c r="A3263" t="inlineStr">
        <is>
          <t>夏季情侣款工装五分短裤抗皱速干防泼水户外尼龙短裤男女同款山系</t>
        </is>
      </c>
      <c r="B3263" t="inlineStr">
        <is>
          <t>recvf5pAkIOfsE.jpg</t>
        </is>
      </c>
      <c r="C3263" s="2" t="str">
        <f>=HYPERLINK("https://xhslink.com/m/7rYXexkkYeR", "https://xhslink.com/m/7rYXexkkYeR")</f>
        <v>https://xhslink.com/m/7rYXexkkYeR</v>
      </c>
      <c r="D3263"/>
      <c r="E3263">
        <v>33000</v>
      </c>
      <c r="F3263">
        <v>79.9</v>
      </c>
      <c r="G3263">
        <v>59.9</v>
      </c>
      <c r="H3263">
        <v>100</v>
      </c>
      <c r="I3263" t="inlineStr">
        <is>
          <t>运动裤</t>
        </is>
      </c>
      <c r="J3263" t="inlineStr">
        <is>
          <t>0.00</t>
        </is>
      </c>
      <c r="K3263" t="inlineStr">
        <is>
          <t>🔥低粉爆款</t>
        </is>
      </c>
      <c r="L3263" t="inlineStr">
        <is>
          <t>福多外贸服饰的店</t>
        </is>
      </c>
      <c r="M3263">
        <v>11000</v>
      </c>
      <c r="N3263">
        <v>4.53</v>
      </c>
      <c r="O3263">
        <v>174000</v>
      </c>
      <c r="P3263" t="inlineStr">
        <is>
          <t>6625fc5706f5c50001000164</t>
        </is>
      </c>
      <c r="Q3263" t="inlineStr">
        <is>
          <t>🚫重复</t>
        </is>
      </c>
      <c r="R3263" t="inlineStr">
        <is>
          <t>14周</t>
        </is>
      </c>
      <c r="S3263" t="inlineStr">
        <is>
          <t>3.00</t>
        </is>
      </c>
      <c r="T3263" t="inlineStr">
        <is>
          <t>服饰穿搭</t>
        </is>
      </c>
      <c r="U3263" t="inlineStr">
        <is>
          <t>女装</t>
        </is>
      </c>
      <c r="V3263" s="3">
        <v>46112.78107638889</v>
      </c>
      <c r="W3263" t="inlineStr">
        <is>
          <t>2026-Q1</t>
        </is>
      </c>
    </row>
    <row r="3264" ht="25.5" customHeight="1">
      <c r="A3264" t="inlineStr">
        <is>
          <t>春夏秋季新款美式工装裤女高腰抽绳束脚裤显廋垂落感运动阔腿长裤</t>
        </is>
      </c>
      <c r="B3264" t="inlineStr">
        <is>
          <t>recvf5pAkIZJL3.jpg</t>
        </is>
      </c>
      <c r="C3264" s="2" t="str">
        <f>=HYPERLINK("https://xhslink.com/m/AoG0XyH7FCS", "https://xhslink.com/m/AoG0XyH7FCS")</f>
        <v>https://xhslink.com/m/AoG0XyH7FCS</v>
      </c>
      <c r="D3264"/>
      <c r="E3264">
        <v>32000</v>
      </c>
      <c r="F3264">
        <v>99.9</v>
      </c>
      <c r="G3264">
        <v>69.9</v>
      </c>
      <c r="H3264">
        <v>100</v>
      </c>
      <c r="I3264" t="inlineStr">
        <is>
          <t>运动裤</t>
        </is>
      </c>
      <c r="J3264" t="inlineStr">
        <is>
          <t>0.00</t>
        </is>
      </c>
      <c r="K3264" t="inlineStr">
        <is>
          <t>🔥低粉爆款</t>
        </is>
      </c>
      <c r="L3264" t="inlineStr">
        <is>
          <t>拾 九的店</t>
        </is>
      </c>
      <c r="M3264">
        <v>1241</v>
      </c>
      <c r="N3264">
        <v>4.56</v>
      </c>
      <c r="O3264">
        <v>36000</v>
      </c>
      <c r="P3264" t="inlineStr">
        <is>
          <t>669382501ec0df0001c5bf32</t>
        </is>
      </c>
      <c r="Q3264" t="inlineStr">
        <is>
          <t>🚫重复</t>
        </is>
      </c>
      <c r="R3264" t="inlineStr">
        <is>
          <t>14周</t>
        </is>
      </c>
      <c r="S3264" t="inlineStr">
        <is>
          <t>25.79</t>
        </is>
      </c>
      <c r="T3264" t="inlineStr">
        <is>
          <t>服饰穿搭</t>
        </is>
      </c>
      <c r="U3264" t="inlineStr">
        <is>
          <t>女装</t>
        </is>
      </c>
      <c r="V3264" s="3">
        <v>46112.78107638889</v>
      </c>
      <c r="W3264" t="inlineStr">
        <is>
          <t>2026-Q1</t>
        </is>
      </c>
    </row>
    <row r="3265" ht="25.5" customHeight="1">
      <c r="A3265" t="inlineStr">
        <is>
          <t>美式工装裤春夏季爬山穿搭女装复古休闲直筒阔腿裤高腰休闲运动裤</t>
        </is>
      </c>
      <c r="B3265" t="inlineStr">
        <is>
          <t>recvf5pAkIuHcj.jpg</t>
        </is>
      </c>
      <c r="C3265" s="2" t="str">
        <f>=HYPERLINK("https://xhslink.com/m/4G6Ypqmc9Wq", "https://xhslink.com/m/4G6Ypqmc9Wq")</f>
        <v>https://xhslink.com/m/4G6Ypqmc9Wq</v>
      </c>
      <c r="D3265"/>
      <c r="E3265">
        <v>23000</v>
      </c>
      <c r="F3265">
        <v>89</v>
      </c>
      <c r="G3265">
        <v>88</v>
      </c>
      <c r="H3265">
        <v>100</v>
      </c>
      <c r="I3265" t="inlineStr">
        <is>
          <t>运动裤</t>
        </is>
      </c>
      <c r="J3265" t="inlineStr">
        <is>
          <t>0.00</t>
        </is>
      </c>
      <c r="K3265" t="inlineStr">
        <is>
          <t>🔥低粉爆款</t>
        </is>
      </c>
      <c r="L3265" t="inlineStr">
        <is>
          <t>允樱儿的店</t>
        </is>
      </c>
      <c r="M3265">
        <v>988</v>
      </c>
      <c r="N3265">
        <v>4.67</v>
      </c>
      <c r="O3265">
        <v>37000</v>
      </c>
      <c r="P3265" t="inlineStr">
        <is>
          <t>6641c479c49e190001cebe32</t>
        </is>
      </c>
      <c r="Q3265" t="inlineStr">
        <is>
          <t>🚫重复</t>
        </is>
      </c>
      <c r="R3265" t="inlineStr">
        <is>
          <t>14周</t>
        </is>
      </c>
      <c r="S3265" t="inlineStr">
        <is>
          <t>23.28</t>
        </is>
      </c>
      <c r="T3265" t="inlineStr">
        <is>
          <t>服饰穿搭</t>
        </is>
      </c>
      <c r="U3265" t="inlineStr">
        <is>
          <t>女装</t>
        </is>
      </c>
      <c r="V3265" s="3">
        <v>46112.78107638889</v>
      </c>
      <c r="W3265" t="inlineStr">
        <is>
          <t>2026-Q1</t>
        </is>
      </c>
    </row>
    <row r="3266" ht="25.5" customHeight="1">
      <c r="A3266" t="inlineStr">
        <is>
          <t>23宽松透气直筒垂感运动裤女高腰显瘦普拉提跑步训练瑜伽健身长裤</t>
        </is>
      </c>
      <c r="B3266" t="inlineStr">
        <is>
          <t>recvf5pAkILNeA.jpg</t>
        </is>
      </c>
      <c r="C3266" s="2" t="str">
        <f>=HYPERLINK("https://xhslink.com/m/1Zb0piaadob", "https://xhslink.com/m/1Zb0piaadob")</f>
        <v>https://xhslink.com/m/1Zb0piaadob</v>
      </c>
      <c r="D3266"/>
      <c r="E3266">
        <v>20000</v>
      </c>
      <c r="F3266">
        <v>59.99</v>
      </c>
      <c r="G3266"/>
      <c r="H3266">
        <v>100</v>
      </c>
      <c r="I3266" t="inlineStr">
        <is>
          <t>运动裤</t>
        </is>
      </c>
      <c r="J3266" t="inlineStr">
        <is>
          <t>0.01</t>
        </is>
      </c>
      <c r="K3266"/>
      <c r="L3266" t="inlineStr">
        <is>
          <t>瑜伽少女Yoga的店</t>
        </is>
      </c>
      <c r="M3266">
        <v>10000</v>
      </c>
      <c r="N3266">
        <v>4.72</v>
      </c>
      <c r="O3266">
        <v>246000</v>
      </c>
      <c r="P3266" t="inlineStr">
        <is>
          <t>68bce8b38f53130001b191bf</t>
        </is>
      </c>
      <c r="Q3266" t="inlineStr">
        <is>
          <t>🚫重复</t>
        </is>
      </c>
      <c r="R3266" t="inlineStr">
        <is>
          <t>14周</t>
        </is>
      </c>
      <c r="S3266" t="inlineStr">
        <is>
          <t>2.00</t>
        </is>
      </c>
      <c r="T3266" t="inlineStr">
        <is>
          <t>运动潮玩</t>
        </is>
      </c>
      <c r="U3266" t="inlineStr">
        <is>
          <t>运动户外装备</t>
        </is>
      </c>
      <c r="V3266" s="3">
        <v>46112.78107638889</v>
      </c>
      <c r="W3266" t="inlineStr">
        <is>
          <t>2026-Q1</t>
        </is>
      </c>
    </row>
    <row r="3267" ht="25.5" customHeight="1">
      <c r="A3267" t="inlineStr">
        <is>
          <t>灰色阔腿裤女秋季2025新款窄版高腰宽松垂感休闲瑜伽运动卫裤</t>
        </is>
      </c>
      <c r="B3267" t="inlineStr">
        <is>
          <t>recvf5pAkIAFS1.jpg</t>
        </is>
      </c>
      <c r="C3267" s="2" t="str">
        <f>=HYPERLINK("https://xhslink.com/m/6Epu3GE2MBk", "https://xhslink.com/m/6Epu3GE2MBk")</f>
        <v>https://xhslink.com/m/6Epu3GE2MBk</v>
      </c>
      <c r="D3267"/>
      <c r="E3267">
        <v>33000</v>
      </c>
      <c r="F3267">
        <v>99</v>
      </c>
      <c r="G3267"/>
      <c r="H3267">
        <v>100</v>
      </c>
      <c r="I3267" t="inlineStr">
        <is>
          <t>运动裤</t>
        </is>
      </c>
      <c r="J3267" t="inlineStr">
        <is>
          <t>0.00</t>
        </is>
      </c>
      <c r="K3267" t="inlineStr">
        <is>
          <t>🔥低粉爆款</t>
        </is>
      </c>
      <c r="L3267" t="inlineStr">
        <is>
          <t>酸奶玉米汤的店</t>
        </is>
      </c>
      <c r="M3267">
        <v>2333</v>
      </c>
      <c r="N3267">
        <v>4.68</v>
      </c>
      <c r="O3267">
        <v>51000</v>
      </c>
      <c r="P3267" t="inlineStr">
        <is>
          <t>68f6de013f37a90001c245f6</t>
        </is>
      </c>
      <c r="Q3267" t="inlineStr">
        <is>
          <t>🚫重复</t>
        </is>
      </c>
      <c r="R3267" t="inlineStr">
        <is>
          <t>14周</t>
        </is>
      </c>
      <c r="S3267" t="inlineStr">
        <is>
          <t>14.14</t>
        </is>
      </c>
      <c r="T3267" t="inlineStr">
        <is>
          <t>服饰穿搭</t>
        </is>
      </c>
      <c r="U3267" t="inlineStr">
        <is>
          <t>女装</t>
        </is>
      </c>
      <c r="V3267" s="3">
        <v>46112.78107638889</v>
      </c>
      <c r="W3267" t="inlineStr">
        <is>
          <t>2026-Q1</t>
        </is>
      </c>
    </row>
    <row r="3268" ht="25.5" customHeight="1">
      <c r="A3268" t="inlineStr">
        <is>
          <t>美式复古风工装裤女秋夏高腰阔腿裤卫裤直筒可束脚抽绳速干运动裤</t>
        </is>
      </c>
      <c r="B3268" t="inlineStr">
        <is>
          <t>recvf5pAkIyWW2.jpg</t>
        </is>
      </c>
      <c r="C3268" s="2" t="str">
        <f>=HYPERLINK("https://xhslink.com/m/8sJqITtD4XQ", "https://xhslink.com/m/8sJqITtD4XQ")</f>
        <v>https://xhslink.com/m/8sJqITtD4XQ</v>
      </c>
      <c r="D3268"/>
      <c r="E3268">
        <v>5217</v>
      </c>
      <c r="F3268">
        <v>135</v>
      </c>
      <c r="G3268">
        <v>89</v>
      </c>
      <c r="H3268">
        <v>100</v>
      </c>
      <c r="I3268" t="inlineStr">
        <is>
          <t>运动裤</t>
        </is>
      </c>
      <c r="J3268" t="inlineStr">
        <is>
          <t>0.02</t>
        </is>
      </c>
      <c r="K3268" t="inlineStr">
        <is>
          <t>🔥低粉爆款</t>
        </is>
      </c>
      <c r="L3268" t="inlineStr">
        <is>
          <t>StarMuse糕糕的店</t>
        </is>
      </c>
      <c r="M3268">
        <v>148</v>
      </c>
      <c r="N3268">
        <v>4.47</v>
      </c>
      <c r="O3268">
        <v>5702</v>
      </c>
      <c r="P3268" t="inlineStr">
        <is>
          <t>68679e321a0f1300154c5486</t>
        </is>
      </c>
      <c r="Q3268" t="inlineStr">
        <is>
          <t>🚫重复</t>
        </is>
      </c>
      <c r="R3268" t="inlineStr">
        <is>
          <t>14周</t>
        </is>
      </c>
      <c r="S3268" t="inlineStr">
        <is>
          <t>35.25</t>
        </is>
      </c>
      <c r="T3268" t="inlineStr">
        <is>
          <t>服饰穿搭</t>
        </is>
      </c>
      <c r="U3268" t="inlineStr">
        <is>
          <t>女装</t>
        </is>
      </c>
      <c r="V3268" s="3">
        <v>46112.78107638889</v>
      </c>
      <c r="W3268" t="inlineStr">
        <is>
          <t>2026-Q1</t>
        </is>
      </c>
    </row>
    <row r="3269" ht="25.5" customHeight="1">
      <c r="A3269" t="inlineStr">
        <is>
          <t>瑜伽裤女轻薄高弹高腰提臀蜜桃臀裸感紧身运动健身裤瑜伽长裤</t>
        </is>
      </c>
      <c r="B3269" t="inlineStr">
        <is>
          <t>recvf5pAkITk8K.jpg</t>
        </is>
      </c>
      <c r="C3269" s="2" t="str">
        <f>=HYPERLINK("https://xhslink.com/m/3S7QPKEnjZB", "https://xhslink.com/m/3S7QPKEnjZB")</f>
        <v>https://xhslink.com/m/3S7QPKEnjZB</v>
      </c>
      <c r="D3269"/>
      <c r="E3269">
        <v>4565</v>
      </c>
      <c r="F3269">
        <v>87</v>
      </c>
      <c r="G3269">
        <v>61.6</v>
      </c>
      <c r="H3269">
        <v>100</v>
      </c>
      <c r="I3269" t="inlineStr">
        <is>
          <t>运动裤</t>
        </is>
      </c>
      <c r="J3269" t="inlineStr">
        <is>
          <t>0.02</t>
        </is>
      </c>
      <c r="K3269"/>
      <c r="L3269" t="inlineStr">
        <is>
          <t>漫跑爱丽丝的店</t>
        </is>
      </c>
      <c r="M3269">
        <v>2602</v>
      </c>
      <c r="N3269">
        <v>4.58</v>
      </c>
      <c r="O3269">
        <v>17000</v>
      </c>
      <c r="P3269" t="inlineStr">
        <is>
          <t>68b12d1e403edf0015562f30</t>
        </is>
      </c>
      <c r="Q3269" t="inlineStr">
        <is>
          <t>🚫重复</t>
        </is>
      </c>
      <c r="R3269" t="inlineStr">
        <is>
          <t>14周</t>
        </is>
      </c>
      <c r="S3269" t="inlineStr">
        <is>
          <t>1.75</t>
        </is>
      </c>
      <c r="T3269" t="inlineStr">
        <is>
          <t>运动潮玩</t>
        </is>
      </c>
      <c r="U3269" t="inlineStr">
        <is>
          <t>运动户外装备</t>
        </is>
      </c>
      <c r="V3269" s="3">
        <v>46112.78107638889</v>
      </c>
      <c r="W3269" t="inlineStr">
        <is>
          <t>2026-Q1</t>
        </is>
      </c>
    </row>
    <row r="3270" ht="25.5" customHeight="1">
      <c r="A3270" t="inlineStr">
        <is>
          <t>（裤子）运动运动微喇提臀健身显瘦瑜伽裤</t>
        </is>
      </c>
      <c r="B3270" t="inlineStr">
        <is>
          <t>recvf5pAkIjBqE.jpg</t>
        </is>
      </c>
      <c r="C3270" s="2" t="str">
        <f>=HYPERLINK("https://xhslink.com/m/ANAegAjCLjB", "https://xhslink.com/m/ANAegAjCLjB")</f>
        <v>https://xhslink.com/m/ANAegAjCLjB</v>
      </c>
      <c r="D3270"/>
      <c r="E3270">
        <v>3538</v>
      </c>
      <c r="F3270">
        <v>79</v>
      </c>
      <c r="G3270"/>
      <c r="H3270">
        <v>100</v>
      </c>
      <c r="I3270" t="inlineStr">
        <is>
          <t>运动裤</t>
        </is>
      </c>
      <c r="J3270" t="inlineStr">
        <is>
          <t>0.03</t>
        </is>
      </c>
      <c r="K3270"/>
      <c r="L3270" t="inlineStr">
        <is>
          <t>运动运动le瑜伽服的店</t>
        </is>
      </c>
      <c r="M3270">
        <v>6223</v>
      </c>
      <c r="N3270">
        <v>4.62</v>
      </c>
      <c r="O3270">
        <v>14000</v>
      </c>
      <c r="P3270" t="inlineStr">
        <is>
          <t>696611e797279300019e776e</t>
        </is>
      </c>
      <c r="Q3270"/>
      <c r="R3270" t="inlineStr">
        <is>
          <t>14周</t>
        </is>
      </c>
      <c r="S3270" t="inlineStr">
        <is>
          <t>0.57</t>
        </is>
      </c>
      <c r="T3270" t="inlineStr">
        <is>
          <t>运动潮玩</t>
        </is>
      </c>
      <c r="U3270" t="inlineStr">
        <is>
          <t>运动户外装备</t>
        </is>
      </c>
      <c r="V3270" s="3">
        <v>46112.78107638889</v>
      </c>
      <c r="W3270" t="inlineStr">
        <is>
          <t>2026-Q1</t>
        </is>
      </c>
    </row>
    <row r="3271" ht="25.5" customHeight="1">
      <c r="A3271" t="inlineStr">
        <is>
          <t>【大米饭】万能百搭王直筒束脚两穿纯棉工装裤运动休闲长裤</t>
        </is>
      </c>
      <c r="B3271" t="inlineStr">
        <is>
          <t>recvf5pAkI6pR5.jpg</t>
        </is>
      </c>
      <c r="C3271" s="2" t="str">
        <f>=HYPERLINK("https://xhslink.com/m/38Eq38MFUJb", "https://xhslink.com/m/38Eq38MFUJb")</f>
        <v>https://xhslink.com/m/38Eq38MFUJb</v>
      </c>
      <c r="D3271"/>
      <c r="E3271">
        <v>2519</v>
      </c>
      <c r="F3271">
        <v>108</v>
      </c>
      <c r="G3271">
        <v>98</v>
      </c>
      <c r="H3271">
        <v>100</v>
      </c>
      <c r="I3271" t="inlineStr">
        <is>
          <t>运动裤</t>
        </is>
      </c>
      <c r="J3271" t="inlineStr">
        <is>
          <t>0.04</t>
        </is>
      </c>
      <c r="K3271"/>
      <c r="L3271" t="inlineStr">
        <is>
          <t>大米饭制衣厂（厂长版）的店</t>
        </is>
      </c>
      <c r="M3271">
        <v>62000</v>
      </c>
      <c r="N3271">
        <v>4.68</v>
      </c>
      <c r="O3271">
        <v>151000</v>
      </c>
      <c r="P3271" t="inlineStr">
        <is>
          <t>6963619aaae29400014a1452</t>
        </is>
      </c>
      <c r="Q3271" t="inlineStr">
        <is>
          <t>🚫重复</t>
        </is>
      </c>
      <c r="R3271" t="inlineStr">
        <is>
          <t>14周</t>
        </is>
      </c>
      <c r="S3271" t="inlineStr">
        <is>
          <t>0.04</t>
        </is>
      </c>
      <c r="T3271" t="inlineStr">
        <is>
          <t>服饰穿搭</t>
        </is>
      </c>
      <c r="U3271" t="inlineStr">
        <is>
          <t>女装</t>
        </is>
      </c>
      <c r="V3271" s="3">
        <v>46112.78107638889</v>
      </c>
      <c r="W3271" t="inlineStr">
        <is>
          <t>2026-Q1</t>
        </is>
      </c>
    </row>
    <row r="3272" ht="25.5" customHeight="1">
      <c r="A3272" t="inlineStr">
        <is>
          <t>美式条纹休闲裤男女同款潮牌新款宽松直筒阔腿高街冲锋运动长裤子</t>
        </is>
      </c>
      <c r="B3272" t="inlineStr">
        <is>
          <t>recvf5pAkITHiW.jpg</t>
        </is>
      </c>
      <c r="C3272" s="2" t="str">
        <f>=HYPERLINK("https://xhslink.com/m/7hQJ1Ygi5tu", "https://xhslink.com/m/7hQJ1Ygi5tu")</f>
        <v>https://xhslink.com/m/7hQJ1Ygi5tu</v>
      </c>
      <c r="D3272"/>
      <c r="E3272">
        <v>2105</v>
      </c>
      <c r="F3272">
        <v>65</v>
      </c>
      <c r="G3272">
        <v>57.2</v>
      </c>
      <c r="H3272">
        <v>100</v>
      </c>
      <c r="I3272" t="inlineStr">
        <is>
          <t>运动裤</t>
        </is>
      </c>
      <c r="J3272" t="inlineStr">
        <is>
          <t>0.05</t>
        </is>
      </c>
      <c r="K3272"/>
      <c r="L3272" t="inlineStr">
        <is>
          <t>初之念CLOTHING的店</t>
        </is>
      </c>
      <c r="M3272">
        <v>1694</v>
      </c>
      <c r="N3272">
        <v>4.63</v>
      </c>
      <c r="O3272">
        <v>25000</v>
      </c>
      <c r="P3272" t="inlineStr">
        <is>
          <t>68da8d39e0f3b20001d14c74</t>
        </is>
      </c>
      <c r="Q3272"/>
      <c r="R3272" t="inlineStr">
        <is>
          <t>14周</t>
        </is>
      </c>
      <c r="S3272" t="inlineStr">
        <is>
          <t>1.24</t>
        </is>
      </c>
      <c r="T3272" t="inlineStr">
        <is>
          <t>服饰穿搭</t>
        </is>
      </c>
      <c r="U3272" t="inlineStr">
        <is>
          <t>女装</t>
        </is>
      </c>
      <c r="V3272" s="3">
        <v>46112.78107638889</v>
      </c>
      <c r="W3272" t="inlineStr">
        <is>
          <t>2026-Q1</t>
        </is>
      </c>
    </row>
    <row r="3273" ht="25.5" customHeight="1">
      <c r="A3273" t="inlineStr">
        <is>
          <t>微喇瑜伽裤女高腰收腹提臀运动喇叭裤修身显瘦速干普拉提健身长裤</t>
        </is>
      </c>
      <c r="B3273" t="inlineStr">
        <is>
          <t>recvf5pAkIw7ma.jpg</t>
        </is>
      </c>
      <c r="C3273" s="2" t="str">
        <f>=HYPERLINK("https://xhslink.com/m/8o2g5alIGLq", "https://xhslink.com/m/8o2g5alIGLq")</f>
        <v>https://xhslink.com/m/8o2g5alIGLq</v>
      </c>
      <c r="D3273"/>
      <c r="E3273">
        <v>731</v>
      </c>
      <c r="F3273">
        <v>49.9</v>
      </c>
      <c r="G3273">
        <v>47.9</v>
      </c>
      <c r="H3273">
        <v>100</v>
      </c>
      <c r="I3273" t="inlineStr">
        <is>
          <t>运动裤</t>
        </is>
      </c>
      <c r="J3273" t="inlineStr">
        <is>
          <t>0.14</t>
        </is>
      </c>
      <c r="K3273"/>
      <c r="L3273" t="inlineStr">
        <is>
          <t>云系少女瑜伽穿搭的店</t>
        </is>
      </c>
      <c r="M3273">
        <v>43000</v>
      </c>
      <c r="N3273">
        <v>4.63</v>
      </c>
      <c r="O3273">
        <v>210000</v>
      </c>
      <c r="P3273" t="inlineStr">
        <is>
          <t>69675c6801cb1a000157884b</t>
        </is>
      </c>
      <c r="Q3273"/>
      <c r="R3273" t="inlineStr">
        <is>
          <t>14周</t>
        </is>
      </c>
      <c r="S3273" t="inlineStr">
        <is>
          <t>0.02</t>
        </is>
      </c>
      <c r="T3273" t="inlineStr">
        <is>
          <t>服饰穿搭</t>
        </is>
      </c>
      <c r="U3273" t="inlineStr">
        <is>
          <t>女装</t>
        </is>
      </c>
      <c r="V3273" s="3">
        <v>46112.78107638889</v>
      </c>
      <c r="W3273" t="inlineStr">
        <is>
          <t>2026-Q1</t>
        </is>
      </c>
    </row>
    <row r="3274" ht="25.5" customHeight="1">
      <c r="A3274" t="inlineStr">
        <is>
          <t>黑色三杠条纹运动裤女夏季薄款美式辣妹学生休闲工装阔腿冲锋裤子</t>
        </is>
      </c>
      <c r="B3274" t="inlineStr">
        <is>
          <t>recvf5pAkIRPNh.jpg</t>
        </is>
      </c>
      <c r="C3274" s="2" t="str">
        <f>=HYPERLINK("https://xhslink.com/m/57hlVmN6O1v", "https://xhslink.com/m/57hlVmN6O1v")</f>
        <v>https://xhslink.com/m/57hlVmN6O1v</v>
      </c>
      <c r="D3274"/>
      <c r="E3274">
        <v>1877</v>
      </c>
      <c r="F3274">
        <v>49.8</v>
      </c>
      <c r="G3274"/>
      <c r="H3274">
        <v>100</v>
      </c>
      <c r="I3274" t="inlineStr">
        <is>
          <t>运动裤</t>
        </is>
      </c>
      <c r="J3274" t="inlineStr">
        <is>
          <t>0.05</t>
        </is>
      </c>
      <c r="K3274" t="inlineStr">
        <is>
          <t>🔥低粉爆款</t>
        </is>
      </c>
      <c r="L3274" t="inlineStr">
        <is>
          <t>柚可欣的店</t>
        </is>
      </c>
      <c r="M3274">
        <v>580</v>
      </c>
      <c r="N3274">
        <v>4.43</v>
      </c>
      <c r="O3274">
        <v>12000</v>
      </c>
      <c r="P3274" t="inlineStr">
        <is>
          <t>6633877ab3c4c500015420b2</t>
        </is>
      </c>
      <c r="Q3274"/>
      <c r="R3274" t="inlineStr">
        <is>
          <t>14周</t>
        </is>
      </c>
      <c r="S3274" t="inlineStr">
        <is>
          <t>3.24</t>
        </is>
      </c>
      <c r="T3274" t="inlineStr">
        <is>
          <t>运动潮玩</t>
        </is>
      </c>
      <c r="U3274" t="inlineStr">
        <is>
          <t>运动户外装备</t>
        </is>
      </c>
      <c r="V3274" s="3">
        <v>46112.78107638889</v>
      </c>
      <c r="W3274" t="inlineStr">
        <is>
          <t>2026-Q1</t>
        </is>
      </c>
    </row>
    <row r="3275" ht="25.5" customHeight="1">
      <c r="A3275" t="inlineStr">
        <is>
          <t>其他 · 1碗1勺奶黄双耳南瓜碗勺陶瓷南瓜碗餐具饭碗早餐碗高颜值面碗甜品</t>
        </is>
      </c>
      <c r="B3275" t="inlineStr">
        <is>
          <t>recvf5pAkIG4k1.jpg</t>
        </is>
      </c>
      <c r="C3275" s="2" t="str">
        <f>=HYPERLINK("https://xhslink.com/m/2Hme7PbZggp", "https://xhslink.com/m/2Hme7PbZggp")</f>
        <v>https://xhslink.com/m/2Hme7PbZggp</v>
      </c>
      <c r="D3275"/>
      <c r="E3275">
        <v>547</v>
      </c>
      <c r="F3275">
        <v>41.99</v>
      </c>
      <c r="G3275">
        <v>0.1</v>
      </c>
      <c r="H3275">
        <v>100</v>
      </c>
      <c r="I3275" t="inlineStr">
        <is>
          <t>陶瓷</t>
        </is>
      </c>
      <c r="J3275" t="inlineStr">
        <is>
          <t>0.18</t>
        </is>
      </c>
      <c r="K3275" t="inlineStr">
        <is>
          <t>🔥低粉爆款</t>
        </is>
      </c>
      <c r="L3275" t="inlineStr">
        <is>
          <t>小收藏家～的店</t>
        </is>
      </c>
      <c r="M3275">
        <v>182</v>
      </c>
      <c r="N3275">
        <v>4.43</v>
      </c>
      <c r="O3275">
        <v>2257</v>
      </c>
      <c r="P3275" t="inlineStr">
        <is>
          <t>69539fefc3771c0015bb8d7e</t>
        </is>
      </c>
      <c r="Q3275"/>
      <c r="R3275" t="inlineStr">
        <is>
          <t>14周</t>
        </is>
      </c>
      <c r="S3275" t="inlineStr">
        <is>
          <t>3.01</t>
        </is>
      </c>
      <c r="T3275" t="inlineStr">
        <is>
          <t>家居生活</t>
        </is>
      </c>
      <c r="U3275" t="inlineStr">
        <is>
          <t>厨房餐饮</t>
        </is>
      </c>
      <c r="V3275" s="3">
        <v>46112.78107638889</v>
      </c>
      <c r="W3275" t="inlineStr">
        <is>
          <t>2026-Q1</t>
        </is>
      </c>
    </row>
    <row r="3276" ht="25.5" customHeight="1">
      <c r="A3276" t="inlineStr">
        <is>
          <t>餐具盲盒陶瓷碗盘杯碟泡面碗随机福袋超值餐盘家用盘子饭碗</t>
        </is>
      </c>
      <c r="B3276" t="inlineStr">
        <is>
          <t>recvf5pAkIPsJK.jpg</t>
        </is>
      </c>
      <c r="C3276" s="2" t="str">
        <f>=HYPERLINK("https://xhslink.com/m/3ihJ6aLBHWQ", "https://xhslink.com/m/3ihJ6aLBHWQ")</f>
        <v>https://xhslink.com/m/3ihJ6aLBHWQ</v>
      </c>
      <c r="D3276"/>
      <c r="E3276">
        <v>34000</v>
      </c>
      <c r="F3276">
        <v>9.9</v>
      </c>
      <c r="G3276"/>
      <c r="H3276">
        <v>100</v>
      </c>
      <c r="I3276" t="inlineStr">
        <is>
          <t>陶瓷</t>
        </is>
      </c>
      <c r="J3276" t="inlineStr">
        <is>
          <t>0.00</t>
        </is>
      </c>
      <c r="K3276" t="inlineStr">
        <is>
          <t>🔥低粉爆款</t>
        </is>
      </c>
      <c r="L3276" t="inlineStr">
        <is>
          <t>瓷家铺子的店</t>
        </is>
      </c>
      <c r="M3276">
        <v>6716</v>
      </c>
      <c r="N3276">
        <v>4.49</v>
      </c>
      <c r="O3276">
        <v>36000</v>
      </c>
      <c r="P3276" t="inlineStr">
        <is>
          <t>690222025c4f1900014bf652</t>
        </is>
      </c>
      <c r="Q3276" t="inlineStr">
        <is>
          <t>🚫重复</t>
        </is>
      </c>
      <c r="R3276" t="inlineStr">
        <is>
          <t>14周</t>
        </is>
      </c>
      <c r="S3276" t="inlineStr">
        <is>
          <t>5.06</t>
        </is>
      </c>
      <c r="T3276" t="inlineStr">
        <is>
          <t>家居生活</t>
        </is>
      </c>
      <c r="U3276" t="inlineStr">
        <is>
          <t>厨房餐饮</t>
        </is>
      </c>
      <c r="V3276" s="3">
        <v>46112.78107638889</v>
      </c>
      <c r="W3276" t="inlineStr">
        <is>
          <t>2026-Q1</t>
        </is>
      </c>
    </row>
    <row r="3277" ht="25.5" customHeight="1">
      <c r="A3277" t="inlineStr">
        <is>
          <t>【四个】水果可颂马克杯少女心陶瓷水杯啤酒杯无盖情侣学生喝水杯</t>
        </is>
      </c>
      <c r="B3277" t="inlineStr">
        <is>
          <t>recvf5pAkI6B7D.jpg</t>
        </is>
      </c>
      <c r="C3277" s="2" t="str">
        <f>=HYPERLINK("https://xhslink.com/m/5yZ96Knvpyz", "https://xhslink.com/m/5yZ96Knvpyz")</f>
        <v>https://xhslink.com/m/5yZ96Knvpyz</v>
      </c>
      <c r="D3277"/>
      <c r="E3277">
        <v>67000</v>
      </c>
      <c r="F3277">
        <v>29.9</v>
      </c>
      <c r="G3277">
        <v>9.9</v>
      </c>
      <c r="H3277">
        <v>100</v>
      </c>
      <c r="I3277" t="inlineStr">
        <is>
          <t>陶瓷</t>
        </is>
      </c>
      <c r="J3277" t="inlineStr">
        <is>
          <t>0.00</t>
        </is>
      </c>
      <c r="K3277"/>
      <c r="L3277" t="inlineStr">
        <is>
          <t>Runnnnnnnn的店</t>
        </is>
      </c>
      <c r="M3277">
        <v>68000</v>
      </c>
      <c r="N3277">
        <v>4.28</v>
      </c>
      <c r="O3277">
        <v>657000</v>
      </c>
      <c r="P3277" t="inlineStr">
        <is>
          <t>68aeab22a54cb60015ced742</t>
        </is>
      </c>
      <c r="Q3277"/>
      <c r="R3277" t="inlineStr">
        <is>
          <t>14周</t>
        </is>
      </c>
      <c r="S3277" t="inlineStr">
        <is>
          <t>0.99</t>
        </is>
      </c>
      <c r="T3277" t="inlineStr">
        <is>
          <t>美食滋补</t>
        </is>
      </c>
      <c r="U3277" t="inlineStr">
        <is>
          <t>酒水冲饮</t>
        </is>
      </c>
      <c r="V3277" s="3">
        <v>46112.78107638889</v>
      </c>
      <c r="W3277" t="inlineStr">
        <is>
          <t>2026-Q1</t>
        </is>
      </c>
    </row>
    <row r="3278" ht="25.5" customHeight="1">
      <c r="A3278" t="inlineStr">
        <is>
          <t>宠物食盆猫狗通用陶瓷碗彩色浅碗加深饭碗水碗</t>
        </is>
      </c>
      <c r="B3278" t="inlineStr">
        <is>
          <t>recvf5pAkIVIrT.jpg</t>
        </is>
      </c>
      <c r="C3278" s="2" t="str">
        <f>=HYPERLINK("https://xhslink.com/m/lhTw8WdXoY", "https://xhslink.com/m/lhTw8WdXoY")</f>
        <v>https://xhslink.com/m/lhTw8WdXoY</v>
      </c>
      <c r="D3278"/>
      <c r="E3278">
        <v>1308</v>
      </c>
      <c r="F3278">
        <v>21.9</v>
      </c>
      <c r="G3278">
        <v>13.9</v>
      </c>
      <c r="H3278">
        <v>100</v>
      </c>
      <c r="I3278" t="inlineStr">
        <is>
          <t>陶瓷</t>
        </is>
      </c>
      <c r="J3278" t="inlineStr">
        <is>
          <t>0.08</t>
        </is>
      </c>
      <c r="K3278"/>
      <c r="L3278" t="inlineStr">
        <is>
          <t>Coccus宠物生活馆的店</t>
        </is>
      </c>
      <c r="M3278">
        <v>705</v>
      </c>
      <c r="N3278">
        <v>4.43</v>
      </c>
      <c r="O3278">
        <v>1373</v>
      </c>
      <c r="P3278" t="inlineStr">
        <is>
          <t>698186697db7d20001b1d344</t>
        </is>
      </c>
      <c r="Q3278"/>
      <c r="R3278" t="inlineStr">
        <is>
          <t>14周</t>
        </is>
      </c>
      <c r="S3278" t="inlineStr">
        <is>
          <t>1.86</t>
        </is>
      </c>
      <c r="T3278" t="inlineStr">
        <is>
          <t>家居生活</t>
        </is>
      </c>
      <c r="U3278" t="inlineStr">
        <is>
          <t>厨房餐饮</t>
        </is>
      </c>
      <c r="V3278" s="3">
        <v>46112.78107638889</v>
      </c>
      <c r="W3278" t="inlineStr">
        <is>
          <t>2026-Q1</t>
        </is>
      </c>
    </row>
    <row r="3279" ht="25.5" customHeight="1">
      <c r="A3279" t="inlineStr">
        <is>
          <t>松间月 · 浮生｜陶瓷香薰炉手工香器香插线香沉香室内香炉摆件</t>
        </is>
      </c>
      <c r="B3279" t="inlineStr">
        <is>
          <t>recvf5pAkIsTd8.jpg</t>
        </is>
      </c>
      <c r="C3279" s="2" t="str">
        <f>=HYPERLINK("https://xhslink.com/m/42q6RjO8MCU", "https://xhslink.com/m/42q6RjO8MCU")</f>
        <v>https://xhslink.com/m/42q6RjO8MCU</v>
      </c>
      <c r="D3279"/>
      <c r="E3279">
        <v>5343</v>
      </c>
      <c r="F3279">
        <v>38</v>
      </c>
      <c r="G3279">
        <v>19.9</v>
      </c>
      <c r="H3279">
        <v>100</v>
      </c>
      <c r="I3279" t="inlineStr">
        <is>
          <t>陶瓷</t>
        </is>
      </c>
      <c r="J3279" t="inlineStr">
        <is>
          <t>0.02</t>
        </is>
      </c>
      <c r="K3279" t="inlineStr">
        <is>
          <t>🔥低粉爆款</t>
        </is>
      </c>
      <c r="L3279" t="inlineStr">
        <is>
          <t>Sissie‘s香舖子的店</t>
        </is>
      </c>
      <c r="M3279">
        <v>504</v>
      </c>
      <c r="N3279">
        <v>4.66</v>
      </c>
      <c r="O3279">
        <v>12000</v>
      </c>
      <c r="P3279" t="inlineStr">
        <is>
          <t>6982e7514937e700011033eb</t>
        </is>
      </c>
      <c r="Q3279"/>
      <c r="R3279" t="inlineStr">
        <is>
          <t>14周</t>
        </is>
      </c>
      <c r="S3279" t="inlineStr">
        <is>
          <t>10.60</t>
        </is>
      </c>
      <c r="T3279" t="inlineStr">
        <is>
          <t>家居生活</t>
        </is>
      </c>
      <c r="U3279" t="inlineStr">
        <is>
          <t>家居日用</t>
        </is>
      </c>
      <c r="V3279" s="3">
        <v>46112.78107638889</v>
      </c>
      <c r="W3279" t="inlineStr">
        <is>
          <t>2026-Q1</t>
        </is>
      </c>
    </row>
    <row r="3280" ht="25.5" customHeight="1">
      <c r="A3280" t="inlineStr">
        <is>
          <t>【前3000单18.8r 亏本冲人气】景德镇结晶釉陶瓷转转小马新年礼物</t>
        </is>
      </c>
      <c r="B3280" t="inlineStr">
        <is>
          <t>recvf5pAkIVxW0.jpg</t>
        </is>
      </c>
      <c r="C3280" s="2" t="str">
        <f>=HYPERLINK("https://xhslink.com/m/nCW396ShHz", "https://xhslink.com/m/nCW396ShHz")</f>
        <v>https://xhslink.com/m/nCW396ShHz</v>
      </c>
      <c r="D3280"/>
      <c r="E3280">
        <v>52000</v>
      </c>
      <c r="F3280">
        <v>29.8</v>
      </c>
      <c r="G3280">
        <v>18.8</v>
      </c>
      <c r="H3280">
        <v>100</v>
      </c>
      <c r="I3280" t="inlineStr">
        <is>
          <t>陶瓷</t>
        </is>
      </c>
      <c r="J3280" t="inlineStr">
        <is>
          <t>0.00</t>
        </is>
      </c>
      <c r="K3280" t="inlineStr">
        <is>
          <t>🔥低粉爆款</t>
        </is>
      </c>
      <c r="L3280" t="inlineStr">
        <is>
          <t>Lyan洛妍甄选的店</t>
        </is>
      </c>
      <c r="M3280">
        <v>2296</v>
      </c>
      <c r="N3280">
        <v>4.49</v>
      </c>
      <c r="O3280">
        <v>61000</v>
      </c>
      <c r="P3280" t="inlineStr">
        <is>
          <t>697ea90084b90b0001ff53a2</t>
        </is>
      </c>
      <c r="Q3280" t="inlineStr">
        <is>
          <t>🚫重复</t>
        </is>
      </c>
      <c r="R3280" t="inlineStr">
        <is>
          <t>14周</t>
        </is>
      </c>
      <c r="S3280" t="inlineStr">
        <is>
          <t>22.65</t>
        </is>
      </c>
      <c r="T3280" t="inlineStr">
        <is>
          <t>家居生活</t>
        </is>
      </c>
      <c r="U3280" t="inlineStr">
        <is>
          <t>厨房餐饮</t>
        </is>
      </c>
      <c r="V3280" s="3">
        <v>46112.78107638889</v>
      </c>
      <c r="W3280" t="inlineStr">
        <is>
          <t>2026-Q1</t>
        </is>
      </c>
    </row>
    <row r="3281" ht="25.5" customHeight="1">
      <c r="A3281" t="inlineStr">
        <is>
          <t>新年礼物316陶瓷内胆小巧保温杯咖啡杯随行吸管杯子儿童一盖双饮</t>
        </is>
      </c>
      <c r="B3281" t="inlineStr">
        <is>
          <t>recvf5pAkIleKH.jpg</t>
        </is>
      </c>
      <c r="C3281" s="2" t="str">
        <f>=HYPERLINK("https://xhslink.com/m/1W6LAZO9PWY", "https://xhslink.com/m/1W6LAZO9PWY")</f>
        <v>https://xhslink.com/m/1W6LAZO9PWY</v>
      </c>
      <c r="D3281"/>
      <c r="E3281">
        <v>4953</v>
      </c>
      <c r="F3281">
        <v>49.9</v>
      </c>
      <c r="G3281">
        <v>39.9</v>
      </c>
      <c r="H3281">
        <v>100</v>
      </c>
      <c r="I3281" t="inlineStr">
        <is>
          <t>陶瓷</t>
        </is>
      </c>
      <c r="J3281" t="inlineStr">
        <is>
          <t>0.02</t>
        </is>
      </c>
      <c r="K3281"/>
      <c r="L3281" t="inlineStr">
        <is>
          <t>旺仔的小杯铺的店</t>
        </is>
      </c>
      <c r="M3281">
        <v>2126</v>
      </c>
      <c r="N3281">
        <v>4.68</v>
      </c>
      <c r="O3281">
        <v>5871</v>
      </c>
      <c r="P3281" t="inlineStr">
        <is>
          <t>690f4c6349e46a00019b2a2e</t>
        </is>
      </c>
      <c r="Q3281"/>
      <c r="R3281" t="inlineStr">
        <is>
          <t>14周</t>
        </is>
      </c>
      <c r="S3281" t="inlineStr">
        <is>
          <t>2.33</t>
        </is>
      </c>
      <c r="T3281" t="inlineStr">
        <is>
          <t>家居生活</t>
        </is>
      </c>
      <c r="U3281" t="inlineStr">
        <is>
          <t>厨房餐饮</t>
        </is>
      </c>
      <c r="V3281" s="3">
        <v>46112.78107638889</v>
      </c>
      <c r="W3281" t="inlineStr">
        <is>
          <t>2026-Q1</t>
        </is>
      </c>
    </row>
    <row r="3282" ht="25.5" customHeight="1">
      <c r="A3282" t="inlineStr">
        <is>
          <t>KIKING·ins韩系烟紫色陶瓷釉下彩酸奶碗燕麦碗可爱4.8英寸米饭碗</t>
        </is>
      </c>
      <c r="B3282" t="inlineStr">
        <is>
          <t>recvf5pAkIQXI0.jpg</t>
        </is>
      </c>
      <c r="C3282" s="2" t="str">
        <f>=HYPERLINK("https://xhslink.com/m/7UzXLEiLdkg", "https://xhslink.com/m/7UzXLEiLdkg")</f>
        <v>https://xhslink.com/m/7UzXLEiLdkg</v>
      </c>
      <c r="D3282"/>
      <c r="E3282">
        <v>8889</v>
      </c>
      <c r="F3282">
        <v>8.9</v>
      </c>
      <c r="G3282"/>
      <c r="H3282">
        <v>100</v>
      </c>
      <c r="I3282" t="inlineStr">
        <is>
          <t>陶瓷</t>
        </is>
      </c>
      <c r="J3282" t="inlineStr">
        <is>
          <t>0.01</t>
        </is>
      </c>
      <c r="K3282"/>
      <c r="L3282" t="inlineStr">
        <is>
          <t>KIKING的店</t>
        </is>
      </c>
      <c r="M3282">
        <v>18000</v>
      </c>
      <c r="N3282">
        <v>4.64</v>
      </c>
      <c r="O3282">
        <v>79000</v>
      </c>
      <c r="P3282" t="inlineStr">
        <is>
          <t>694ceb666109ef00012641dc</t>
        </is>
      </c>
      <c r="Q3282"/>
      <c r="R3282" t="inlineStr">
        <is>
          <t>14周</t>
        </is>
      </c>
      <c r="S3282" t="inlineStr">
        <is>
          <t>0.49</t>
        </is>
      </c>
      <c r="T3282" t="inlineStr">
        <is>
          <t>家居生活</t>
        </is>
      </c>
      <c r="U3282" t="inlineStr">
        <is>
          <t>厨房餐饮</t>
        </is>
      </c>
      <c r="V3282" s="3">
        <v>46112.78107638889</v>
      </c>
      <c r="W3282" t="inlineStr">
        <is>
          <t>2026-Q1</t>
        </is>
      </c>
    </row>
    <row r="3283" ht="25.5" customHeight="1">
      <c r="A3283" t="inlineStr">
        <is>
          <t>好看的可爱雪花一人食陶瓷碗勺釉下彩高颜值餐具米饭碗甜品早餐碗</t>
        </is>
      </c>
      <c r="B3283" t="inlineStr">
        <is>
          <t>recvf5pAkIyDjH.jpg</t>
        </is>
      </c>
      <c r="C3283" s="2" t="str">
        <f>=HYPERLINK("https://xhslink.com/m/7vfmCHMNjBV", "https://xhslink.com/m/7vfmCHMNjBV")</f>
        <v>https://xhslink.com/m/7vfmCHMNjBV</v>
      </c>
      <c r="D3283"/>
      <c r="E3283">
        <v>43000</v>
      </c>
      <c r="F3283">
        <v>36.9</v>
      </c>
      <c r="G3283">
        <v>13.9</v>
      </c>
      <c r="H3283">
        <v>100</v>
      </c>
      <c r="I3283" t="inlineStr">
        <is>
          <t>陶瓷</t>
        </is>
      </c>
      <c r="J3283" t="inlineStr">
        <is>
          <t>0.00</t>
        </is>
      </c>
      <c r="K3283" t="inlineStr">
        <is>
          <t>🔥低粉爆款</t>
        </is>
      </c>
      <c r="L3283" t="inlineStr">
        <is>
          <t>吉优购的店</t>
        </is>
      </c>
      <c r="M3283">
        <v>8679</v>
      </c>
      <c r="N3283">
        <v>4.58</v>
      </c>
      <c r="O3283">
        <v>87000</v>
      </c>
      <c r="P3283" t="inlineStr">
        <is>
          <t>67dbca2329b9f70001f5c2b8</t>
        </is>
      </c>
      <c r="Q3283"/>
      <c r="R3283" t="inlineStr">
        <is>
          <t>14周</t>
        </is>
      </c>
      <c r="S3283" t="inlineStr">
        <is>
          <t>4.95</t>
        </is>
      </c>
      <c r="T3283" t="inlineStr">
        <is>
          <t>家居生活</t>
        </is>
      </c>
      <c r="U3283" t="inlineStr">
        <is>
          <t>厨房餐饮</t>
        </is>
      </c>
      <c r="V3283" s="3">
        <v>46112.78107638889</v>
      </c>
      <c r="W3283" t="inlineStr">
        <is>
          <t>2026-Q1</t>
        </is>
      </c>
    </row>
    <row r="3284" ht="25.5" customHeight="1">
      <c r="A3284" t="inlineStr">
        <is>
          <t>单向树 · 丁香决明净甘茶净甘火疏郁气 30罐/盒</t>
        </is>
      </c>
      <c r="B3284" t="inlineStr">
        <is>
          <t>recvfenagsNZ95.jpg</t>
        </is>
      </c>
      <c r="C3284" s="2" t="str">
        <f>=HYPERLINK("https://xhslink.com/m/AhiyINtTfgI", "https://xhslink.com/m/AhiyINtTfgI")</f>
        <v>https://xhslink.com/m/AhiyINtTfgI</v>
      </c>
      <c r="D3284"/>
      <c r="E3284">
        <v>15000</v>
      </c>
      <c r="F3284">
        <v>268.24</v>
      </c>
      <c r="G3284">
        <v>228</v>
      </c>
      <c r="H3284">
        <v>100</v>
      </c>
      <c r="I3284" t="inlineStr">
        <is>
          <t>养生茶</t>
        </is>
      </c>
      <c r="J3284" t="inlineStr">
        <is>
          <t>0.01</t>
        </is>
      </c>
      <c r="K3284"/>
      <c r="L3284" t="inlineStr">
        <is>
          <t>单向树旗舰店</t>
        </is>
      </c>
      <c r="M3284">
        <v>42000</v>
      </c>
      <c r="N3284">
        <v>4.62</v>
      </c>
      <c r="O3284">
        <v>475000</v>
      </c>
      <c r="P3284" t="inlineStr">
        <is>
          <t>64d5a15366f13000010babaf</t>
        </is>
      </c>
      <c r="Q3284"/>
      <c r="R3284" t="inlineStr">
        <is>
          <t>14周</t>
        </is>
      </c>
      <c r="S3284" t="inlineStr">
        <is>
          <t>0.36</t>
        </is>
      </c>
      <c r="T3284" t="inlineStr">
        <is>
          <t>美食滋补</t>
        </is>
      </c>
      <c r="U3284" t="inlineStr">
        <is>
          <t>酒水冲饮</t>
        </is>
      </c>
      <c r="V3284" s="3">
        <v>46112.78107638889</v>
      </c>
      <c r="W3284" t="inlineStr">
        <is>
          <t>2026-Q1</t>
        </is>
      </c>
    </row>
    <row r="3285" ht="25.5" customHeight="1">
      <c r="A3285" t="inlineStr">
        <is>
          <t>YUNERMA · 宝宝春季户外百搭拉链外套休闲裤套装允儿妈女童2026新款开衫裤子</t>
        </is>
      </c>
      <c r="B3285" t="inlineStr">
        <is>
          <t>recvfenb18x3cu.jpg</t>
        </is>
      </c>
      <c r="C3285" s="2" t="str">
        <f>=HYPERLINK("https://xhslink.com/m/6yWv508VsBh", "https://xhslink.com/m/6yWv508VsBh")</f>
        <v>https://xhslink.com/m/6yWv508VsBh</v>
      </c>
      <c r="D3285"/>
      <c r="E3285">
        <v>1885</v>
      </c>
      <c r="F3285">
        <v>93</v>
      </c>
      <c r="G3285">
        <v>83</v>
      </c>
      <c r="H3285">
        <v>100</v>
      </c>
      <c r="I3285" t="inlineStr">
        <is>
          <t>亲子户外</t>
        </is>
      </c>
      <c r="J3285" t="inlineStr">
        <is>
          <t>0.05</t>
        </is>
      </c>
      <c r="K3285"/>
      <c r="L3285" t="inlineStr">
        <is>
          <t>允儿妈童装的店</t>
        </is>
      </c>
      <c r="M3285">
        <v>111000</v>
      </c>
      <c r="N3285">
        <v>4.63</v>
      </c>
      <c r="O3285">
        <v>232000</v>
      </c>
      <c r="P3285" t="inlineStr">
        <is>
          <t>69ae77df970f000001174113</t>
        </is>
      </c>
      <c r="Q3285"/>
      <c r="R3285" t="inlineStr">
        <is>
          <t>14周</t>
        </is>
      </c>
      <c r="S3285" t="inlineStr">
        <is>
          <t>0.02</t>
        </is>
      </c>
      <c r="T3285" t="inlineStr">
        <is>
          <t>服饰穿搭</t>
        </is>
      </c>
      <c r="U3285" t="inlineStr">
        <is>
          <t>女装</t>
        </is>
      </c>
      <c r="V3285" s="3">
        <v>46112.78107638889</v>
      </c>
      <c r="W3285" t="inlineStr">
        <is>
          <t>2026-Q1</t>
        </is>
      </c>
    </row>
    <row r="3286" ht="25.5" customHeight="1">
      <c r="A3286" t="inlineStr">
        <is>
          <t>【儿保推荐】1～3岁蒙氏早教大块2片式磁吸拼图动物交通益智玩具</t>
        </is>
      </c>
      <c r="B3286" t="inlineStr">
        <is>
          <t>recvfenb18P5oj.jpg</t>
        </is>
      </c>
      <c r="C3286" s="2" t="str">
        <f>=HYPERLINK("https://xhslink.com/m/3pcjAb8wT9q", "https://xhslink.com/m/3pcjAb8wT9q")</f>
        <v>https://xhslink.com/m/3pcjAb8wT9q</v>
      </c>
      <c r="D3286"/>
      <c r="E3286">
        <v>5208</v>
      </c>
      <c r="F3286">
        <v>53.8</v>
      </c>
      <c r="G3286">
        <v>33.8</v>
      </c>
      <c r="H3286">
        <v>100</v>
      </c>
      <c r="I3286" t="inlineStr">
        <is>
          <t>益智玩具</t>
        </is>
      </c>
      <c r="J3286" t="inlineStr">
        <is>
          <t>0.02</t>
        </is>
      </c>
      <c r="K3286" t="inlineStr">
        <is>
          <t>🔥低粉爆款</t>
        </is>
      </c>
      <c r="L3286" t="inlineStr">
        <is>
          <t>Star Domi的店</t>
        </is>
      </c>
      <c r="M3286">
        <v>1183</v>
      </c>
      <c r="N3286">
        <v>4.66</v>
      </c>
      <c r="O3286">
        <v>5787</v>
      </c>
      <c r="P3286" t="inlineStr">
        <is>
          <t>69242651c34eef001569ac13</t>
        </is>
      </c>
      <c r="Q3286" t="inlineStr">
        <is>
          <t>🚫重复</t>
        </is>
      </c>
      <c r="R3286" t="inlineStr">
        <is>
          <t>14周</t>
        </is>
      </c>
      <c r="S3286" t="inlineStr">
        <is>
          <t>4.40</t>
        </is>
      </c>
      <c r="T3286" t="inlineStr">
        <is>
          <t>母婴亲子</t>
        </is>
      </c>
      <c r="U3286" t="inlineStr">
        <is>
          <t>玩具早教</t>
        </is>
      </c>
      <c r="V3286" s="3">
        <v>46112.78107638889</v>
      </c>
      <c r="W3286" t="inlineStr">
        <is>
          <t>2026-Q1</t>
        </is>
      </c>
    </row>
    <row r="3287" ht="25.5" customHeight="1">
      <c r="A3287" t="inlineStr">
        <is>
          <t>【儿保推荐】0～3岁认知卡片拼图双语启蒙早教</t>
        </is>
      </c>
      <c r="B3287" t="inlineStr">
        <is>
          <t>recvfenb18fgOd.jpg</t>
        </is>
      </c>
      <c r="C3287" s="2" t="str">
        <f>=HYPERLINK("https://xhslink.com/m/9A6XAMLfDGA", "https://xhslink.com/m/9A6XAMLfDGA")</f>
        <v>https://xhslink.com/m/9A6XAMLfDGA</v>
      </c>
      <c r="D3287"/>
      <c r="E3287">
        <v>5698</v>
      </c>
      <c r="F3287">
        <v>29.9</v>
      </c>
      <c r="G3287">
        <v>14.9</v>
      </c>
      <c r="H3287">
        <v>100</v>
      </c>
      <c r="I3287" t="inlineStr">
        <is>
          <t>益智玩具</t>
        </is>
      </c>
      <c r="J3287" t="inlineStr">
        <is>
          <t>0.02</t>
        </is>
      </c>
      <c r="K3287" t="inlineStr">
        <is>
          <t>🔥低粉爆款</t>
        </is>
      </c>
      <c r="L3287" t="inlineStr">
        <is>
          <t>多财淘淘的店</t>
        </is>
      </c>
      <c r="M3287">
        <v>229</v>
      </c>
      <c r="N3287">
        <v>4.59</v>
      </c>
      <c r="O3287">
        <v>5778</v>
      </c>
      <c r="P3287" t="inlineStr">
        <is>
          <t>695f4f7f4e15d600014005bb</t>
        </is>
      </c>
      <c r="Q3287" t="inlineStr">
        <is>
          <t>🚫重复</t>
        </is>
      </c>
      <c r="R3287" t="inlineStr">
        <is>
          <t>14周</t>
        </is>
      </c>
      <c r="S3287" t="inlineStr">
        <is>
          <t>24.88</t>
        </is>
      </c>
      <c r="T3287" t="inlineStr">
        <is>
          <t>母婴亲子</t>
        </is>
      </c>
      <c r="U3287" t="inlineStr">
        <is>
          <t>玩具早教</t>
        </is>
      </c>
      <c r="V3287" s="3">
        <v>46112.78107638889</v>
      </c>
      <c r="W3287" t="inlineStr">
        <is>
          <t>2026-Q1</t>
        </is>
      </c>
    </row>
    <row r="3288" ht="25.5" customHeight="1">
      <c r="A3288" t="inlineStr">
        <is>
          <t>TOI图益 · 儿童进阶拼图早教益智玩具专注力训练3-6岁男孩女孩生日新年礼物</t>
        </is>
      </c>
      <c r="B3288" t="inlineStr">
        <is>
          <t>recvfenb1865sy.jpg</t>
        </is>
      </c>
      <c r="C3288" s="2" t="str">
        <f>=HYPERLINK("https://xhslink.com/m/2j7HPyPcheh", "https://xhslink.com/m/2j7HPyPcheh")</f>
        <v>https://xhslink.com/m/2j7HPyPcheh</v>
      </c>
      <c r="D3288"/>
      <c r="E3288">
        <v>1938</v>
      </c>
      <c r="F3288">
        <v>79</v>
      </c>
      <c r="G3288"/>
      <c r="H3288">
        <v>100</v>
      </c>
      <c r="I3288" t="inlineStr">
        <is>
          <t>益智玩具</t>
        </is>
      </c>
      <c r="J3288" t="inlineStr">
        <is>
          <t>0.05</t>
        </is>
      </c>
      <c r="K3288"/>
      <c r="L3288" t="inlineStr">
        <is>
          <t>TOI图益旗舰店</t>
        </is>
      </c>
      <c r="M3288">
        <v>155000</v>
      </c>
      <c r="N3288">
        <v>4.64</v>
      </c>
      <c r="O3288">
        <v>332000</v>
      </c>
      <c r="P3288" t="inlineStr">
        <is>
          <t>68884b08b1b9df0001fd65d7</t>
        </is>
      </c>
      <c r="Q3288"/>
      <c r="R3288" t="inlineStr">
        <is>
          <t>14周</t>
        </is>
      </c>
      <c r="S3288" t="inlineStr">
        <is>
          <t>0.01</t>
        </is>
      </c>
      <c r="T3288" t="inlineStr">
        <is>
          <t>母婴亲子</t>
        </is>
      </c>
      <c r="U3288" t="inlineStr">
        <is>
          <t>玩具早教</t>
        </is>
      </c>
      <c r="V3288" s="3">
        <v>46112.78107638889</v>
      </c>
      <c r="W3288" t="inlineStr">
        <is>
          <t>2026-Q1</t>
        </is>
      </c>
    </row>
    <row r="3289" ht="25.5" customHeight="1">
      <c r="A3289" t="inlineStr">
        <is>
          <t>原创gooodfor线条狗化妆包大小手提轻便大容量分区收纳旅行洗漱包</t>
        </is>
      </c>
      <c r="B3289" t="inlineStr">
        <is>
          <t>recvfenb18Gyrg.jpg</t>
        </is>
      </c>
      <c r="C3289" s="2" t="str">
        <f>=HYPERLINK("https://xhslink.com/m/378hG273Ww6", "https://xhslink.com/m/378hG273Ww6")</f>
        <v>https://xhslink.com/m/378hG273Ww6</v>
      </c>
      <c r="D3289"/>
      <c r="E3289">
        <v>11000</v>
      </c>
      <c r="F3289">
        <v>55.8</v>
      </c>
      <c r="G3289">
        <v>41.8</v>
      </c>
      <c r="H3289">
        <v>100</v>
      </c>
      <c r="I3289" t="inlineStr">
        <is>
          <t>包收纳</t>
        </is>
      </c>
      <c r="J3289" t="inlineStr">
        <is>
          <t>0.01</t>
        </is>
      </c>
      <c r="K3289"/>
      <c r="L3289" t="inlineStr">
        <is>
          <t>MISHUO·HOME的店</t>
        </is>
      </c>
      <c r="M3289">
        <v>12000</v>
      </c>
      <c r="N3289">
        <v>4.33</v>
      </c>
      <c r="O3289">
        <v>124000</v>
      </c>
      <c r="P3289" t="inlineStr">
        <is>
          <t>67651203c6c20a0001a3316d</t>
        </is>
      </c>
      <c r="Q3289"/>
      <c r="R3289" t="inlineStr">
        <is>
          <t>14周</t>
        </is>
      </c>
      <c r="S3289" t="inlineStr">
        <is>
          <t>0.92</t>
        </is>
      </c>
      <c r="T3289" t="inlineStr">
        <is>
          <t>家居生活</t>
        </is>
      </c>
      <c r="U3289" t="inlineStr">
        <is>
          <t>家居日用</t>
        </is>
      </c>
      <c r="V3289" s="3">
        <v>46112.78107638889</v>
      </c>
      <c r="W3289" t="inlineStr">
        <is>
          <t>2026-Q1</t>
        </is>
      </c>
    </row>
    <row r="3290" ht="25.5" customHeight="1">
      <c r="A3290" t="inlineStr">
        <is>
          <t>三层手提款便携化妆包</t>
        </is>
      </c>
      <c r="B3290" t="inlineStr">
        <is>
          <t>recvfenb18odB7.jpg</t>
        </is>
      </c>
      <c r="C3290" s="2" t="str">
        <f>=HYPERLINK("https://xhslink.com/m/8FoC8If2LVQ", "https://xhslink.com/m/8FoC8If2LVQ")</f>
        <v>https://xhslink.com/m/8FoC8If2LVQ</v>
      </c>
      <c r="D3290"/>
      <c r="E3290">
        <v>70000</v>
      </c>
      <c r="F3290">
        <v>83.9</v>
      </c>
      <c r="G3290">
        <v>69.9</v>
      </c>
      <c r="H3290">
        <v>100</v>
      </c>
      <c r="I3290" t="inlineStr">
        <is>
          <t>包收纳</t>
        </is>
      </c>
      <c r="J3290" t="inlineStr">
        <is>
          <t>0.00</t>
        </is>
      </c>
      <c r="K3290" t="inlineStr">
        <is>
          <t>🔥低粉爆款</t>
        </is>
      </c>
      <c r="L3290" t="inlineStr">
        <is>
          <t>00鸭鸭的店</t>
        </is>
      </c>
      <c r="M3290">
        <v>19000</v>
      </c>
      <c r="N3290">
        <v>4.51</v>
      </c>
      <c r="O3290">
        <v>147000</v>
      </c>
      <c r="P3290" t="inlineStr">
        <is>
          <t>6704661594f7580001e66981</t>
        </is>
      </c>
      <c r="Q3290"/>
      <c r="R3290" t="inlineStr">
        <is>
          <t>14周</t>
        </is>
      </c>
      <c r="S3290" t="inlineStr">
        <is>
          <t>3.68</t>
        </is>
      </c>
      <c r="T3290" t="inlineStr">
        <is>
          <t>家居生活</t>
        </is>
      </c>
      <c r="U3290" t="inlineStr">
        <is>
          <t>家居日用</t>
        </is>
      </c>
      <c r="V3290" s="3">
        <v>46112.78107638889</v>
      </c>
      <c r="W3290" t="inlineStr">
        <is>
          <t>2026-Q1</t>
        </is>
      </c>
    </row>
    <row r="3291" ht="25.5" customHeight="1">
      <c r="A3291" t="inlineStr">
        <is>
          <t>小肥脸原创^博主同款碎花棉布手提袋～单肩便携学生收纳包旅行包</t>
        </is>
      </c>
      <c r="B3291" t="inlineStr">
        <is>
          <t>recvfenb18cwgu.jpg</t>
        </is>
      </c>
      <c r="C3291" s="2" t="str">
        <f>=HYPERLINK("https://xhslink.com/m/1EFgK2gIrJe", "https://xhslink.com/m/1EFgK2gIrJe")</f>
        <v>https://xhslink.com/m/1EFgK2gIrJe</v>
      </c>
      <c r="D3291"/>
      <c r="E3291">
        <v>15000</v>
      </c>
      <c r="F3291">
        <v>62.9</v>
      </c>
      <c r="G3291">
        <v>39.9</v>
      </c>
      <c r="H3291">
        <v>100</v>
      </c>
      <c r="I3291" t="inlineStr">
        <is>
          <t>包收纳</t>
        </is>
      </c>
      <c r="J3291" t="inlineStr">
        <is>
          <t>0.01</t>
        </is>
      </c>
      <c r="K3291"/>
      <c r="L3291" t="inlineStr">
        <is>
          <t>捏我小肥脸u的店</t>
        </is>
      </c>
      <c r="M3291">
        <v>435000</v>
      </c>
      <c r="N3291">
        <v>4.43</v>
      </c>
      <c r="O3291">
        <v>578000</v>
      </c>
      <c r="P3291" t="inlineStr">
        <is>
          <t>69367d3bc84a1600016586b5</t>
        </is>
      </c>
      <c r="Q3291" t="inlineStr">
        <is>
          <t>🚫重复</t>
        </is>
      </c>
      <c r="R3291" t="inlineStr">
        <is>
          <t>14周</t>
        </is>
      </c>
      <c r="S3291" t="inlineStr">
        <is>
          <t>0.03</t>
        </is>
      </c>
      <c r="T3291" t="inlineStr">
        <is>
          <t>家居生活</t>
        </is>
      </c>
      <c r="U3291" t="inlineStr">
        <is>
          <t>家居日用</t>
        </is>
      </c>
      <c r="V3291" s="3">
        <v>46112.78107638889</v>
      </c>
      <c r="W3291" t="inlineStr">
        <is>
          <t>2026-Q1</t>
        </is>
      </c>
    </row>
    <row r="3292" ht="25.5" customHeight="1">
      <c r="A3292" t="inlineStr">
        <is>
          <t>手工桃木剑东南老桃木挂件儿枕头下随身携带挂门上纯手工打磨雕刻</t>
        </is>
      </c>
      <c r="B3292" t="inlineStr">
        <is>
          <t>recvfenb18VsYt.jpg</t>
        </is>
      </c>
      <c r="C3292" s="2" t="str">
        <f>=HYPERLINK("https://xhslink.com/m/FtDAVlSrsv", "https://xhslink.com/m/FtDAVlSrsv")</f>
        <v>https://xhslink.com/m/FtDAVlSrsv</v>
      </c>
      <c r="D3292"/>
      <c r="E3292">
        <v>22000</v>
      </c>
      <c r="F3292">
        <v>59.9</v>
      </c>
      <c r="G3292">
        <v>47.9</v>
      </c>
      <c r="H3292">
        <v>100</v>
      </c>
      <c r="I3292" t="inlineStr">
        <is>
          <t>家居装饰</t>
        </is>
      </c>
      <c r="J3292" t="inlineStr">
        <is>
          <t>0.00</t>
        </is>
      </c>
      <c r="K3292" t="inlineStr">
        <is>
          <t>🔥低粉爆款</t>
        </is>
      </c>
      <c r="L3292" t="inlineStr">
        <is>
          <t>福多多真桃木手工的店</t>
        </is>
      </c>
      <c r="M3292">
        <v>834</v>
      </c>
      <c r="N3292">
        <v>4.76</v>
      </c>
      <c r="O3292">
        <v>31000</v>
      </c>
      <c r="P3292" t="inlineStr">
        <is>
          <t>68d566b989b7480015cd0585</t>
        </is>
      </c>
      <c r="Q3292" t="inlineStr">
        <is>
          <t>🚫重复</t>
        </is>
      </c>
      <c r="R3292" t="inlineStr">
        <is>
          <t>14周</t>
        </is>
      </c>
      <c r="S3292" t="inlineStr">
        <is>
          <t>26.38</t>
        </is>
      </c>
      <c r="T3292" t="inlineStr">
        <is>
          <t>家居生活</t>
        </is>
      </c>
      <c r="U3292" t="inlineStr">
        <is>
          <t>家具家装</t>
        </is>
      </c>
      <c r="V3292" s="3">
        <v>46112.78107638889</v>
      </c>
      <c r="W3292" t="inlineStr">
        <is>
          <t>2026-Q1</t>
        </is>
      </c>
    </row>
    <row r="3293" ht="25.5" customHeight="1">
      <c r="A3293" t="inlineStr">
        <is>
          <t>【前3000单18.8r 亏本冲人气】景德镇结晶釉陶瓷转转小马新年礼物</t>
        </is>
      </c>
      <c r="B3293" t="inlineStr">
        <is>
          <t>recvfenb18eI03.jpg</t>
        </is>
      </c>
      <c r="C3293" s="2" t="str">
        <f>=HYPERLINK("https://xhslink.com/m/7My1od16ebj", "https://xhslink.com/m/7My1od16ebj")</f>
        <v>https://xhslink.com/m/7My1od16ebj</v>
      </c>
      <c r="D3293"/>
      <c r="E3293">
        <v>52000</v>
      </c>
      <c r="F3293">
        <v>29.8</v>
      </c>
      <c r="G3293">
        <v>18.8</v>
      </c>
      <c r="H3293">
        <v>100</v>
      </c>
      <c r="I3293" t="inlineStr">
        <is>
          <t>家居装饰</t>
        </is>
      </c>
      <c r="J3293" t="inlineStr">
        <is>
          <t>0.00</t>
        </is>
      </c>
      <c r="K3293" t="inlineStr">
        <is>
          <t>🔥低粉爆款</t>
        </is>
      </c>
      <c r="L3293" t="inlineStr">
        <is>
          <t>Lyan洛妍甄选的店</t>
        </is>
      </c>
      <c r="M3293">
        <v>2308</v>
      </c>
      <c r="N3293">
        <v>4.52</v>
      </c>
      <c r="O3293">
        <v>61000</v>
      </c>
      <c r="P3293" t="inlineStr">
        <is>
          <t>697ea90084b90b0001ff53a5</t>
        </is>
      </c>
      <c r="Q3293" t="inlineStr">
        <is>
          <t>🚫重复</t>
        </is>
      </c>
      <c r="R3293" t="inlineStr">
        <is>
          <t>14周</t>
        </is>
      </c>
      <c r="S3293" t="inlineStr">
        <is>
          <t>22.53</t>
        </is>
      </c>
      <c r="T3293" t="inlineStr">
        <is>
          <t>家居生活</t>
        </is>
      </c>
      <c r="U3293" t="inlineStr">
        <is>
          <t>家具家装</t>
        </is>
      </c>
      <c r="V3293" s="3">
        <v>46112.78107638889</v>
      </c>
      <c r="W3293" t="inlineStr">
        <is>
          <t>2026-Q1</t>
        </is>
      </c>
    </row>
    <row r="3294" ht="25.5" customHeight="1">
      <c r="A3294" t="inlineStr">
        <is>
          <t>重工中式新娘秀禾团扇双面双色婚礼送闺蜜结婚喜扇diy材料包成品</t>
        </is>
      </c>
      <c r="B3294" t="inlineStr">
        <is>
          <t>recvfenb18wPit.jpg</t>
        </is>
      </c>
      <c r="C3294" s="2" t="str">
        <f>=HYPERLINK("https://xhslink.com/m/5KWY07dyPad", "https://xhslink.com/m/5KWY07dyPad")</f>
        <v>https://xhslink.com/m/5KWY07dyPad</v>
      </c>
      <c r="D3294"/>
      <c r="E3294">
        <v>22000</v>
      </c>
      <c r="F3294">
        <v>188</v>
      </c>
      <c r="G3294">
        <v>158</v>
      </c>
      <c r="H3294">
        <v>100</v>
      </c>
      <c r="I3294" t="inlineStr">
        <is>
          <t>家居装饰</t>
        </is>
      </c>
      <c r="J3294" t="inlineStr">
        <is>
          <t>0.00</t>
        </is>
      </c>
      <c r="K3294" t="inlineStr">
        <is>
          <t>🔥低粉爆款</t>
        </is>
      </c>
      <c r="L3294" t="inlineStr">
        <is>
          <t>禾韵团扇的店</t>
        </is>
      </c>
      <c r="M3294">
        <v>2600</v>
      </c>
      <c r="N3294">
        <v>4.63</v>
      </c>
      <c r="O3294">
        <v>26000</v>
      </c>
      <c r="P3294" t="inlineStr">
        <is>
          <t>67f5dca9b2c30c000157f3da</t>
        </is>
      </c>
      <c r="Q3294" t="inlineStr">
        <is>
          <t>🚫重复</t>
        </is>
      </c>
      <c r="R3294" t="inlineStr">
        <is>
          <t>14周</t>
        </is>
      </c>
      <c r="S3294" t="inlineStr">
        <is>
          <t>8.46</t>
        </is>
      </c>
      <c r="T3294" t="inlineStr">
        <is>
          <t>家居生活</t>
        </is>
      </c>
      <c r="U3294" t="inlineStr">
        <is>
          <t>家具家装</t>
        </is>
      </c>
      <c r="V3294" s="3">
        <v>46112.78107638889</v>
      </c>
      <c r="W3294" t="inlineStr">
        <is>
          <t>2026-Q1</t>
        </is>
      </c>
    </row>
    <row r="3295" ht="25.5" customHeight="1">
      <c r="A3295" t="inlineStr">
        <is>
          <t>毛毡板拼豆饰品墙收纳墙自粘免打孔宿舍卧室饰品帽子眼镜展示墙面</t>
        </is>
      </c>
      <c r="B3295" t="inlineStr">
        <is>
          <t>recvfenb18PWOu.jpg</t>
        </is>
      </c>
      <c r="C3295" s="2" t="str">
        <f>=HYPERLINK("https://xhslink.com/m/9O69EQQBuql", "https://xhslink.com/m/9O69EQQBuql")</f>
        <v>https://xhslink.com/m/9O69EQQBuql</v>
      </c>
      <c r="D3295"/>
      <c r="E3295">
        <v>5885</v>
      </c>
      <c r="F3295">
        <v>32.58</v>
      </c>
      <c r="G3295">
        <v>27.69</v>
      </c>
      <c r="H3295">
        <v>100</v>
      </c>
      <c r="I3295" t="inlineStr">
        <is>
          <t>家居装饰</t>
        </is>
      </c>
      <c r="J3295" t="inlineStr">
        <is>
          <t>0.02</t>
        </is>
      </c>
      <c r="K3295" t="inlineStr">
        <is>
          <t>🔥低粉爆款</t>
        </is>
      </c>
      <c r="L3295" t="inlineStr">
        <is>
          <t>毛毡制品源头厂家的店</t>
        </is>
      </c>
      <c r="M3295">
        <v>1131</v>
      </c>
      <c r="N3295">
        <v>4.3</v>
      </c>
      <c r="O3295">
        <v>6508</v>
      </c>
      <c r="P3295" t="inlineStr">
        <is>
          <t>67e52630bf527d0001ecb747</t>
        </is>
      </c>
      <c r="Q3295" t="inlineStr">
        <is>
          <t>🚫重复</t>
        </is>
      </c>
      <c r="R3295" t="inlineStr">
        <is>
          <t>14周</t>
        </is>
      </c>
      <c r="S3295" t="inlineStr">
        <is>
          <t>5.20</t>
        </is>
      </c>
      <c r="T3295" t="inlineStr">
        <is>
          <t>服饰穿搭</t>
        </is>
      </c>
      <c r="U3295" t="inlineStr">
        <is>
          <t>配饰</t>
        </is>
      </c>
      <c r="V3295" s="3">
        <v>46112.78107638889</v>
      </c>
      <c r="W3295" t="inlineStr">
        <is>
          <t>2026-Q1</t>
        </is>
      </c>
    </row>
    <row r="3296" ht="25.5" customHeight="1">
      <c r="A3296" t="inlineStr">
        <is>
          <t>拍一发二Tt&amp;Gigi 宠物定制冰箱贴专属定制DIY冰箱贴</t>
        </is>
      </c>
      <c r="B3296" t="inlineStr">
        <is>
          <t>recvfenb18iIIu.jpg</t>
        </is>
      </c>
      <c r="C3296" s="2" t="str">
        <f>=HYPERLINK("https://xhslink.com/m/2xagr7aE5s4", "https://xhslink.com/m/2xagr7aE5s4")</f>
        <v>https://xhslink.com/m/2xagr7aE5s4</v>
      </c>
      <c r="D3296"/>
      <c r="E3296">
        <v>4814</v>
      </c>
      <c r="F3296">
        <v>23.9</v>
      </c>
      <c r="G3296"/>
      <c r="H3296">
        <v>100</v>
      </c>
      <c r="I3296" t="inlineStr">
        <is>
          <t>家居装饰</t>
        </is>
      </c>
      <c r="J3296" t="inlineStr">
        <is>
          <t>0.02</t>
        </is>
      </c>
      <c r="K3296" t="inlineStr">
        <is>
          <t>🔥低粉爆款</t>
        </is>
      </c>
      <c r="L3296" t="inlineStr">
        <is>
          <t>TtGigi的店</t>
        </is>
      </c>
      <c r="M3296">
        <v>1196</v>
      </c>
      <c r="N3296">
        <v>4.5</v>
      </c>
      <c r="O3296">
        <v>4835</v>
      </c>
      <c r="P3296" t="inlineStr">
        <is>
          <t>686aa235c27dbc0001b52591</t>
        </is>
      </c>
      <c r="Q3296"/>
      <c r="R3296" t="inlineStr">
        <is>
          <t>14周</t>
        </is>
      </c>
      <c r="S3296" t="inlineStr">
        <is>
          <t>4.03</t>
        </is>
      </c>
      <c r="T3296" t="inlineStr">
        <is>
          <t>家居生活</t>
        </is>
      </c>
      <c r="U3296" t="inlineStr">
        <is>
          <t>宠物用品</t>
        </is>
      </c>
      <c r="V3296" s="3">
        <v>46112.78107638889</v>
      </c>
      <c r="W3296" t="inlineStr">
        <is>
          <t>2026-Q1</t>
        </is>
      </c>
    </row>
    <row r="3297" ht="25.5" customHeight="1">
      <c r="A3297" t="inlineStr">
        <is>
          <t>楚象 · 地球仪摆件轻奢高档客厅电视柜玄关书房书柜办公室桌面家居装饰品</t>
        </is>
      </c>
      <c r="B3297" t="inlineStr">
        <is>
          <t>recvfenb18Y89c.jpg</t>
        </is>
      </c>
      <c r="C3297" s="2" t="str">
        <f>=HYPERLINK("https://xhslink.com/m/xvx2kmOvNl", "https://xhslink.com/m/xvx2kmOvNl")</f>
        <v>https://xhslink.com/m/xvx2kmOvNl</v>
      </c>
      <c r="D3297"/>
      <c r="E3297">
        <v>25000</v>
      </c>
      <c r="F3297">
        <v>148</v>
      </c>
      <c r="G3297">
        <v>145</v>
      </c>
      <c r="H3297">
        <v>100</v>
      </c>
      <c r="I3297" t="inlineStr">
        <is>
          <t>家居装饰</t>
        </is>
      </c>
      <c r="J3297" t="inlineStr">
        <is>
          <t>0.00</t>
        </is>
      </c>
      <c r="K3297"/>
      <c r="L3297" t="inlineStr">
        <is>
          <t>楚象旗舰店</t>
        </is>
      </c>
      <c r="M3297">
        <v>13000</v>
      </c>
      <c r="N3297">
        <v>4.76</v>
      </c>
      <c r="O3297">
        <v>62000</v>
      </c>
      <c r="P3297" t="inlineStr">
        <is>
          <t>67bfd8037198db0001491c38</t>
        </is>
      </c>
      <c r="Q3297" t="inlineStr">
        <is>
          <t>🚫重复</t>
        </is>
      </c>
      <c r="R3297" t="inlineStr">
        <is>
          <t>14周</t>
        </is>
      </c>
      <c r="S3297" t="inlineStr">
        <is>
          <t>1.92</t>
        </is>
      </c>
      <c r="T3297" t="inlineStr">
        <is>
          <t>家居生活</t>
        </is>
      </c>
      <c r="U3297" t="inlineStr">
        <is>
          <t>家具家装</t>
        </is>
      </c>
      <c r="V3297" s="3">
        <v>46112.78107638889</v>
      </c>
      <c r="W3297" t="inlineStr">
        <is>
          <t>2026-Q1</t>
        </is>
      </c>
    </row>
    <row r="3298" ht="25.5" customHeight="1">
      <c r="A3298" t="inlineStr">
        <is>
          <t>一个草盆摆件 | 解压神器 | 种草 | 花盆 | 原创 | 礼物</t>
        </is>
      </c>
      <c r="B3298" t="inlineStr">
        <is>
          <t>recvfenb18p9as.jpg</t>
        </is>
      </c>
      <c r="C3298" s="2" t="str">
        <f>=HYPERLINK("https://xhslink.com/m/9zMWiKUOlJc", "https://xhslink.com/m/9zMWiKUOlJc")</f>
        <v>https://xhslink.com/m/9zMWiKUOlJc</v>
      </c>
      <c r="D3298"/>
      <c r="E3298">
        <v>5126</v>
      </c>
      <c r="F3298">
        <v>29.9</v>
      </c>
      <c r="G3298">
        <v>26.9</v>
      </c>
      <c r="H3298">
        <v>100</v>
      </c>
      <c r="I3298" t="inlineStr">
        <is>
          <t>家居装饰</t>
        </is>
      </c>
      <c r="J3298" t="inlineStr">
        <is>
          <t>0.02</t>
        </is>
      </c>
      <c r="K3298"/>
      <c r="L3298" t="inlineStr">
        <is>
          <t>拼铺的店</t>
        </is>
      </c>
      <c r="M3298">
        <v>1969</v>
      </c>
      <c r="N3298">
        <v>4.57</v>
      </c>
      <c r="O3298">
        <v>7115</v>
      </c>
      <c r="P3298" t="inlineStr">
        <is>
          <t>68e3e7ff7c1a0300014cf558</t>
        </is>
      </c>
      <c r="Q3298"/>
      <c r="R3298" t="inlineStr">
        <is>
          <t>14周</t>
        </is>
      </c>
      <c r="S3298" t="inlineStr">
        <is>
          <t>2.60</t>
        </is>
      </c>
      <c r="T3298" t="inlineStr">
        <is>
          <t>家居生活</t>
        </is>
      </c>
      <c r="U3298" t="inlineStr">
        <is>
          <t>家具家装</t>
        </is>
      </c>
      <c r="V3298" s="3">
        <v>46112.78107638889</v>
      </c>
      <c r="W3298" t="inlineStr">
        <is>
          <t>2026-Q1</t>
        </is>
      </c>
    </row>
    <row r="3299" ht="25.5" customHeight="1">
      <c r="A3299" t="inlineStr">
        <is>
          <t>空气凤梨新手好养活办公室桌面绿植盆栽净化空气创意绿植酷似菠萝</t>
        </is>
      </c>
      <c r="B3299" t="inlineStr">
        <is>
          <t>recvfenb18NLHa.jpg</t>
        </is>
      </c>
      <c r="C3299" s="2" t="str">
        <f>=HYPERLINK("https://xhslink.com/m/A5G3kjc5lCk", "https://xhslink.com/m/A5G3kjc5lCk")</f>
        <v>https://xhslink.com/m/A5G3kjc5lCk</v>
      </c>
      <c r="D3299"/>
      <c r="E3299">
        <v>3168</v>
      </c>
      <c r="F3299">
        <v>25.9</v>
      </c>
      <c r="G3299">
        <v>24.9</v>
      </c>
      <c r="H3299">
        <v>100</v>
      </c>
      <c r="I3299" t="inlineStr">
        <is>
          <t>花</t>
        </is>
      </c>
      <c r="J3299" t="inlineStr">
        <is>
          <t>0.03</t>
        </is>
      </c>
      <c r="K3299" t="inlineStr">
        <is>
          <t>🔥低粉爆款</t>
        </is>
      </c>
      <c r="L3299" t="inlineStr">
        <is>
          <t>植观山海Plantscape Vista的店</t>
        </is>
      </c>
      <c r="M3299">
        <v>714</v>
      </c>
      <c r="N3299">
        <v>4.24</v>
      </c>
      <c r="O3299">
        <v>3766</v>
      </c>
      <c r="P3299" t="inlineStr">
        <is>
          <t>6948c6f1b1e6660001408e6c</t>
        </is>
      </c>
      <c r="Q3299"/>
      <c r="R3299" t="inlineStr">
        <is>
          <t>14周</t>
        </is>
      </c>
      <c r="S3299" t="inlineStr">
        <is>
          <t>4.44</t>
        </is>
      </c>
      <c r="T3299" t="inlineStr">
        <is>
          <t>家居生活</t>
        </is>
      </c>
      <c r="U3299" t="inlineStr">
        <is>
          <t>家具家装</t>
        </is>
      </c>
      <c r="V3299" s="3">
        <v>46112.78107638889</v>
      </c>
      <c r="W3299" t="inlineStr">
        <is>
          <t>2026-Q1</t>
        </is>
      </c>
    </row>
    <row r="3300" ht="25.5" customHeight="1">
      <c r="A3300" t="inlineStr">
        <is>
          <t>国产红绿天竺水培鲜切枝南天竹鲜花绿植水养水培绿植室内小森林</t>
        </is>
      </c>
      <c r="B3300" t="inlineStr">
        <is>
          <t>recvfenb18TGKz.jpg</t>
        </is>
      </c>
      <c r="C3300" s="2" t="str">
        <f>=HYPERLINK("https://xhslink.com/m/7PaLMXNlO4d", "https://xhslink.com/m/7PaLMXNlO4d")</f>
        <v>https://xhslink.com/m/7PaLMXNlO4d</v>
      </c>
      <c r="D3300"/>
      <c r="E3300">
        <v>56000</v>
      </c>
      <c r="F3300">
        <v>15</v>
      </c>
      <c r="G3300">
        <v>13.2</v>
      </c>
      <c r="H3300">
        <v>100</v>
      </c>
      <c r="I3300" t="inlineStr">
        <is>
          <t>花</t>
        </is>
      </c>
      <c r="J3300" t="inlineStr">
        <is>
          <t>0.00</t>
        </is>
      </c>
      <c r="K3300"/>
      <c r="L3300" t="inlineStr">
        <is>
          <t>李小乐乐的店</t>
        </is>
      </c>
      <c r="M3300">
        <v>47000</v>
      </c>
      <c r="N3300">
        <v>4.37</v>
      </c>
      <c r="O3300">
        <v>102000</v>
      </c>
      <c r="P3300" t="inlineStr">
        <is>
          <t>68ec7755702da10001b9db14</t>
        </is>
      </c>
      <c r="Q3300"/>
      <c r="R3300" t="inlineStr">
        <is>
          <t>14周</t>
        </is>
      </c>
      <c r="S3300" t="inlineStr">
        <is>
          <t>1.19</t>
        </is>
      </c>
      <c r="T3300" t="inlineStr">
        <is>
          <t>家居生活</t>
        </is>
      </c>
      <c r="U3300" t="inlineStr">
        <is>
          <t>家具家装</t>
        </is>
      </c>
      <c r="V3300" s="3">
        <v>46112.78107638889</v>
      </c>
      <c r="W3300" t="inlineStr">
        <is>
          <t>2026-Q1</t>
        </is>
      </c>
    </row>
    <row r="3301" ht="25.5" customHeight="1">
      <c r="A3301" t="inlineStr">
        <is>
          <t>海蒂的花园 · 灌木月季1加仑多品海妈家真宙莫奈好养勤花卉玫瑰盆栽苗阳台庭院</t>
        </is>
      </c>
      <c r="B3301" t="inlineStr">
        <is>
          <t>recvfenb18bD6O.jpg</t>
        </is>
      </c>
      <c r="C3301" s="2" t="str">
        <f>=HYPERLINK("https://xhslink.com/m/AK9VwVJfxH5", "https://xhslink.com/m/AK9VwVJfxH5")</f>
        <v>https://xhslink.com/m/AK9VwVJfxH5</v>
      </c>
      <c r="D3301"/>
      <c r="E3301">
        <v>21000</v>
      </c>
      <c r="F3301">
        <v>39.8</v>
      </c>
      <c r="G3301">
        <v>31.84</v>
      </c>
      <c r="H3301">
        <v>100</v>
      </c>
      <c r="I3301" t="inlineStr">
        <is>
          <t>花</t>
        </is>
      </c>
      <c r="J3301" t="inlineStr">
        <is>
          <t>0.00</t>
        </is>
      </c>
      <c r="K3301"/>
      <c r="L3301" t="inlineStr">
        <is>
          <t>海蒂的花园的店</t>
        </is>
      </c>
      <c r="M3301">
        <v>1590000</v>
      </c>
      <c r="N3301">
        <v>4.59</v>
      </c>
      <c r="O3301">
        <v>1890000</v>
      </c>
      <c r="P3301" t="inlineStr">
        <is>
          <t>65389439efb1210001a74ed1</t>
        </is>
      </c>
      <c r="Q3301" t="inlineStr">
        <is>
          <t>🚫重复</t>
        </is>
      </c>
      <c r="R3301" t="inlineStr">
        <is>
          <t>14周</t>
        </is>
      </c>
      <c r="S3301" t="inlineStr">
        <is>
          <t>0.01</t>
        </is>
      </c>
      <c r="T3301" t="inlineStr">
        <is>
          <t>家居生活</t>
        </is>
      </c>
      <c r="U3301" t="inlineStr">
        <is>
          <t>家具家装</t>
        </is>
      </c>
      <c r="V3301" s="3">
        <v>46112.78107638889</v>
      </c>
      <c r="W3301" t="inlineStr">
        <is>
          <t>2026-Q1</t>
        </is>
      </c>
    </row>
    <row r="3302" ht="25.5" customHeight="1">
      <c r="A3302" t="inlineStr">
        <is>
          <t>云南鲜花批发【包邮】鲜切花多品类任选</t>
        </is>
      </c>
      <c r="B3302" t="inlineStr">
        <is>
          <t>recvfenb18h3Y3.jpg</t>
        </is>
      </c>
      <c r="C3302" s="2" t="str">
        <f>=HYPERLINK("https://xhslink.com/m/1n19HLe0TGy", "https://xhslink.com/m/1n19HLe0TGy")</f>
        <v>https://xhslink.com/m/1n19HLe0TGy</v>
      </c>
      <c r="D3302"/>
      <c r="E3302">
        <v>3830</v>
      </c>
      <c r="F3302">
        <v>11.9</v>
      </c>
      <c r="G3302"/>
      <c r="H3302">
        <v>100</v>
      </c>
      <c r="I3302" t="inlineStr">
        <is>
          <t>花</t>
        </is>
      </c>
      <c r="J3302" t="inlineStr">
        <is>
          <t>0.03</t>
        </is>
      </c>
      <c r="K3302"/>
      <c r="L3302" t="inlineStr">
        <is>
          <t>云南七彩鲜花店的店</t>
        </is>
      </c>
      <c r="M3302">
        <v>8600</v>
      </c>
      <c r="N3302">
        <v>4.2</v>
      </c>
      <c r="O3302">
        <v>78000</v>
      </c>
      <c r="P3302" t="inlineStr">
        <is>
          <t>6936604abf02330001af2f55</t>
        </is>
      </c>
      <c r="Q3302" t="inlineStr">
        <is>
          <t>🚫重复</t>
        </is>
      </c>
      <c r="R3302" t="inlineStr">
        <is>
          <t>14周</t>
        </is>
      </c>
      <c r="S3302" t="inlineStr">
        <is>
          <t>0.45</t>
        </is>
      </c>
      <c r="T3302" t="inlineStr">
        <is>
          <t>家居生活</t>
        </is>
      </c>
      <c r="U3302" t="inlineStr">
        <is>
          <t>家具家装</t>
        </is>
      </c>
      <c r="V3302" s="3">
        <v>46112.78107638889</v>
      </c>
      <c r="W3302" t="inlineStr">
        <is>
          <t>2026-Q1</t>
        </is>
      </c>
    </row>
    <row r="3303" ht="25.5" customHeight="1">
      <c r="A3303" t="inlineStr">
        <is>
          <t>硬核生长·森呼吸椰 袖珍椰子不锈钢杯绿植ins风个性小众送礼好养</t>
        </is>
      </c>
      <c r="B3303" t="inlineStr">
        <is>
          <t>recvfenb18kuAd.jpg</t>
        </is>
      </c>
      <c r="C3303" s="2" t="str">
        <f>=HYPERLINK("https://xhslink.com/m/5LGucm9FfxT", "https://xhslink.com/m/5LGucm9FfxT")</f>
        <v>https://xhslink.com/m/5LGucm9FfxT</v>
      </c>
      <c r="D3303"/>
      <c r="E3303">
        <v>1949</v>
      </c>
      <c r="F3303">
        <v>32.9</v>
      </c>
      <c r="G3303">
        <v>27.9</v>
      </c>
      <c r="H3303">
        <v>100</v>
      </c>
      <c r="I3303" t="inlineStr">
        <is>
          <t>花</t>
        </is>
      </c>
      <c r="J3303" t="inlineStr">
        <is>
          <t>0.05</t>
        </is>
      </c>
      <c r="K3303" t="inlineStr">
        <is>
          <t>🔥低粉爆款</t>
        </is>
      </c>
      <c r="L3303" t="inlineStr">
        <is>
          <t>HARDGREEN 硬核生长的店</t>
        </is>
      </c>
      <c r="M3303">
        <v>552</v>
      </c>
      <c r="N3303">
        <v>4.79</v>
      </c>
      <c r="O3303">
        <v>2850</v>
      </c>
      <c r="P3303" t="inlineStr">
        <is>
          <t>68493db40da50d0001c0bb7d</t>
        </is>
      </c>
      <c r="Q3303" t="inlineStr">
        <is>
          <t>🚫重复</t>
        </is>
      </c>
      <c r="R3303" t="inlineStr">
        <is>
          <t>14周</t>
        </is>
      </c>
      <c r="S3303" t="inlineStr">
        <is>
          <t>3.53</t>
        </is>
      </c>
      <c r="T3303" t="inlineStr">
        <is>
          <t>家居生活</t>
        </is>
      </c>
      <c r="U3303" t="inlineStr">
        <is>
          <t>家具家装</t>
        </is>
      </c>
      <c r="V3303" s="3">
        <v>46112.78107638889</v>
      </c>
      <c r="W3303" t="inlineStr">
        <is>
          <t>2026-Q1</t>
        </is>
      </c>
    </row>
    <row r="3304" ht="25.5" customHeight="1">
      <c r="A3304" t="inlineStr">
        <is>
          <t>顺丰快递-星星【玉兔】蝴蝶兰2.8寸精致盆栽（开放度低 多花苞）</t>
        </is>
      </c>
      <c r="B3304" t="inlineStr">
        <is>
          <t>recvfenb18ZCsZ.jpg</t>
        </is>
      </c>
      <c r="C3304" s="2" t="str">
        <f>=HYPERLINK("https://xhslink.com/m/5CJz7YJbzRv", "https://xhslink.com/m/5CJz7YJbzRv")</f>
        <v>https://xhslink.com/m/5CJz7YJbzRv</v>
      </c>
      <c r="D3304"/>
      <c r="E3304">
        <v>3440</v>
      </c>
      <c r="F3304">
        <v>39.8</v>
      </c>
      <c r="G3304"/>
      <c r="H3304">
        <v>100</v>
      </c>
      <c r="I3304" t="inlineStr">
        <is>
          <t>花</t>
        </is>
      </c>
      <c r="J3304" t="inlineStr">
        <is>
          <t>0.03</t>
        </is>
      </c>
      <c r="K3304"/>
      <c r="L3304" t="inlineStr">
        <is>
          <t>星星蝴蝶兰的店</t>
        </is>
      </c>
      <c r="M3304">
        <v>33000</v>
      </c>
      <c r="N3304">
        <v>4.49</v>
      </c>
      <c r="O3304">
        <v>61000</v>
      </c>
      <c r="P3304" t="inlineStr">
        <is>
          <t>6957716023d3ce000178e565</t>
        </is>
      </c>
      <c r="Q3304" t="inlineStr">
        <is>
          <t>🚫重复</t>
        </is>
      </c>
      <c r="R3304" t="inlineStr">
        <is>
          <t>14周</t>
        </is>
      </c>
      <c r="S3304" t="inlineStr">
        <is>
          <t>0.10</t>
        </is>
      </c>
      <c r="T3304" t="inlineStr">
        <is>
          <t>家居生活</t>
        </is>
      </c>
      <c r="U3304" t="inlineStr">
        <is>
          <t>家具家装</t>
        </is>
      </c>
      <c r="V3304" s="3">
        <v>46112.78107638889</v>
      </c>
      <c r="W3304" t="inlineStr">
        <is>
          <t>2026-Q1</t>
        </is>
      </c>
    </row>
    <row r="3305" ht="25.5" customHeight="1">
      <c r="A3305" t="inlineStr">
        <is>
          <t>柠檬气泡花束 小清新风格</t>
        </is>
      </c>
      <c r="B3305" t="inlineStr">
        <is>
          <t>recvfenb18XVNi.jpg</t>
        </is>
      </c>
      <c r="C3305" s="2" t="str">
        <f>=HYPERLINK("https://xhslink.com/m/3q93xnKwmRY", "https://xhslink.com/m/3q93xnKwmRY")</f>
        <v>https://xhslink.com/m/3q93xnKwmRY</v>
      </c>
      <c r="D3305"/>
      <c r="E3305">
        <v>6704</v>
      </c>
      <c r="F3305">
        <v>39.9</v>
      </c>
      <c r="G3305"/>
      <c r="H3305">
        <v>100</v>
      </c>
      <c r="I3305" t="inlineStr">
        <is>
          <t>花</t>
        </is>
      </c>
      <c r="J3305" t="inlineStr">
        <is>
          <t>0.01</t>
        </is>
      </c>
      <c r="K3305"/>
      <c r="L3305" t="inlineStr">
        <is>
          <t>云觅鲜花的店</t>
        </is>
      </c>
      <c r="M3305">
        <v>476000</v>
      </c>
      <c r="N3305">
        <v>4.41</v>
      </c>
      <c r="O3305">
        <v>1634000</v>
      </c>
      <c r="P3305" t="inlineStr">
        <is>
          <t>698c3cc884b90b00015bad2c</t>
        </is>
      </c>
      <c r="Q3305" t="inlineStr">
        <is>
          <t>🚫重复</t>
        </is>
      </c>
      <c r="R3305" t="inlineStr">
        <is>
          <t>14周</t>
        </is>
      </c>
      <c r="S3305" t="inlineStr">
        <is>
          <t>0.01</t>
        </is>
      </c>
      <c r="T3305" t="inlineStr">
        <is>
          <t>家居生活</t>
        </is>
      </c>
      <c r="U3305" t="inlineStr">
        <is>
          <t>家具家装</t>
        </is>
      </c>
      <c r="V3305" s="3">
        <v>46112.78107638889</v>
      </c>
      <c r="W3305" t="inlineStr">
        <is>
          <t>2026-Q1</t>
        </is>
      </c>
    </row>
    <row r="3306" ht="25.5" customHeight="1">
      <c r="A3306" t="inlineStr">
        <is>
          <t>RongYao · 硫磺皂液去背痘祛痘印除螨控油嫩肤沐浴露夏天油皮推荐学生党平价</t>
        </is>
      </c>
      <c r="B3306" t="inlineStr">
        <is>
          <t>recvfenb18H34i.jpg</t>
        </is>
      </c>
      <c r="C3306" s="2" t="str">
        <f>=HYPERLINK("https://xhslink.com/m/57w8oud9daT", "https://xhslink.com/m/57w8oud9daT")</f>
        <v>https://xhslink.com/m/57w8oud9daT</v>
      </c>
      <c r="D3306"/>
      <c r="E3306">
        <v>7547</v>
      </c>
      <c r="F3306">
        <v>49.9</v>
      </c>
      <c r="G3306">
        <v>29.9</v>
      </c>
      <c r="H3306">
        <v>100</v>
      </c>
      <c r="I3306" t="inlineStr">
        <is>
          <t>祛红痘印</t>
        </is>
      </c>
      <c r="J3306" t="inlineStr">
        <is>
          <t>0.01</t>
        </is>
      </c>
      <c r="K3306" t="inlineStr">
        <is>
          <t>🔥低粉爆款</t>
        </is>
      </c>
      <c r="L3306" t="inlineStr">
        <is>
          <t>一顆奶泡肌的店</t>
        </is>
      </c>
      <c r="M3306">
        <v>1070</v>
      </c>
      <c r="N3306">
        <v>4.61</v>
      </c>
      <c r="O3306">
        <v>15000</v>
      </c>
      <c r="P3306" t="inlineStr">
        <is>
          <t>68207c1c72821700011fd47a</t>
        </is>
      </c>
      <c r="Q3306"/>
      <c r="R3306" t="inlineStr">
        <is>
          <t>14周</t>
        </is>
      </c>
      <c r="S3306" t="inlineStr">
        <is>
          <t>7.05</t>
        </is>
      </c>
      <c r="T3306" t="inlineStr">
        <is>
          <t>美妆个护</t>
        </is>
      </c>
      <c r="U3306" t="inlineStr">
        <is>
          <t>个人护理</t>
        </is>
      </c>
      <c r="V3306" s="3">
        <v>46112.78107638889</v>
      </c>
      <c r="W3306" t="inlineStr">
        <is>
          <t>2026-Q1</t>
        </is>
      </c>
    </row>
    <row r="3307" ht="25.5" customHeight="1">
      <c r="A3307" t="inlineStr">
        <is>
          <t>鲜一 · 377美白祛痘印精华液 去面部红黑痘印美白去黄补水单品/组合装</t>
        </is>
      </c>
      <c r="B3307" t="inlineStr">
        <is>
          <t>recvfenb18JjDR.jpg</t>
        </is>
      </c>
      <c r="C3307" s="2" t="str">
        <f>=HYPERLINK("https://xhslink.com/m/8cHJ6dTFrwM", "https://xhslink.com/m/8cHJ6dTFrwM")</f>
        <v>https://xhslink.com/m/8cHJ6dTFrwM</v>
      </c>
      <c r="D3307"/>
      <c r="E3307">
        <v>15000</v>
      </c>
      <c r="F3307">
        <v>89</v>
      </c>
      <c r="G3307">
        <v>69</v>
      </c>
      <c r="H3307">
        <v>100</v>
      </c>
      <c r="I3307" t="inlineStr">
        <is>
          <t>祛红痘印</t>
        </is>
      </c>
      <c r="J3307" t="inlineStr">
        <is>
          <t>0.01</t>
        </is>
      </c>
      <c r="K3307"/>
      <c r="L3307" t="inlineStr">
        <is>
          <t>鲜一旗舰店</t>
        </is>
      </c>
      <c r="M3307">
        <v>65000</v>
      </c>
      <c r="N3307">
        <v>4.57</v>
      </c>
      <c r="O3307">
        <v>170000</v>
      </c>
      <c r="P3307" t="inlineStr">
        <is>
          <t>66fb4f995bcbab0001215779</t>
        </is>
      </c>
      <c r="Q3307" t="inlineStr">
        <is>
          <t>🚫重复</t>
        </is>
      </c>
      <c r="R3307" t="inlineStr">
        <is>
          <t>14周</t>
        </is>
      </c>
      <c r="S3307" t="inlineStr">
        <is>
          <t>0.23</t>
        </is>
      </c>
      <c r="T3307" t="inlineStr">
        <is>
          <t>美妆个护</t>
        </is>
      </c>
      <c r="U3307" t="inlineStr">
        <is>
          <t>护肤彩妆</t>
        </is>
      </c>
      <c r="V3307" s="3">
        <v>46112.78107638889</v>
      </c>
      <c r="W3307" t="inlineStr">
        <is>
          <t>2026-Q1</t>
        </is>
      </c>
    </row>
    <row r="3308" ht="25.5" customHeight="1">
      <c r="A3308" t="inlineStr">
        <is>
          <t>素秀臣氏 · 积雪草苷霜软膏祛痘印淡化痘坑痘肌去控油修护凝胶祛痘膏痘肌学生</t>
        </is>
      </c>
      <c r="B3308" t="inlineStr">
        <is>
          <t>recvfenb18H8F0.jpg</t>
        </is>
      </c>
      <c r="C3308" s="2" t="str">
        <f>=HYPERLINK("https://xhslink.com/m/8ab8HAlPcpu", "https://xhslink.com/m/8ab8HAlPcpu")</f>
        <v>https://xhslink.com/m/8ab8HAlPcpu</v>
      </c>
      <c r="D3308"/>
      <c r="E3308">
        <v>8971</v>
      </c>
      <c r="F3308">
        <v>56.8</v>
      </c>
      <c r="G3308">
        <v>48.28</v>
      </c>
      <c r="H3308">
        <v>100</v>
      </c>
      <c r="I3308" t="inlineStr">
        <is>
          <t>祛红痘印</t>
        </is>
      </c>
      <c r="J3308" t="inlineStr">
        <is>
          <t>0.01</t>
        </is>
      </c>
      <c r="K3308" t="inlineStr">
        <is>
          <t>🔥低粉爆款</t>
        </is>
      </c>
      <c r="L3308" t="inlineStr">
        <is>
          <t>Cocoの美肌物语的店</t>
        </is>
      </c>
      <c r="M3308">
        <v>1818</v>
      </c>
      <c r="N3308">
        <v>4.47</v>
      </c>
      <c r="O3308">
        <v>9190</v>
      </c>
      <c r="P3308" t="inlineStr">
        <is>
          <t>6894b5330e13d50001955a74</t>
        </is>
      </c>
      <c r="Q3308"/>
      <c r="R3308" t="inlineStr">
        <is>
          <t>14周</t>
        </is>
      </c>
      <c r="S3308" t="inlineStr">
        <is>
          <t>4.93</t>
        </is>
      </c>
      <c r="T3308" t="inlineStr">
        <is>
          <t>美妆个护</t>
        </is>
      </c>
      <c r="U3308" t="inlineStr">
        <is>
          <t>个人护理</t>
        </is>
      </c>
      <c r="V3308" s="3">
        <v>46112.78107638889</v>
      </c>
      <c r="W3308" t="inlineStr">
        <is>
          <t>2026-Q1</t>
        </is>
      </c>
    </row>
    <row r="3309" ht="25.5" customHeight="1">
      <c r="A3309" t="inlineStr">
        <is>
          <t>UIR · 复活草祛痘修护面膜修护淡化痘印补水保湿旗舰店</t>
        </is>
      </c>
      <c r="B3309" t="inlineStr">
        <is>
          <t>recvfenb18mI9M.jpg</t>
        </is>
      </c>
      <c r="C3309" s="2" t="str">
        <f>=HYPERLINK("https://xhslink.com/m/nor4mjdztk", "https://xhslink.com/m/nor4mjdztk")</f>
        <v>https://xhslink.com/m/nor4mjdztk</v>
      </c>
      <c r="D3309"/>
      <c r="E3309">
        <v>193000</v>
      </c>
      <c r="F3309">
        <v>59</v>
      </c>
      <c r="G3309"/>
      <c r="H3309">
        <v>100</v>
      </c>
      <c r="I3309" t="inlineStr">
        <is>
          <t>祛红痘印</t>
        </is>
      </c>
      <c r="J3309" t="inlineStr">
        <is>
          <t>0.00</t>
        </is>
      </c>
      <c r="K3309" t="inlineStr">
        <is>
          <t>🔥低粉爆款</t>
        </is>
      </c>
      <c r="L3309" t="inlineStr">
        <is>
          <t>UIR旗舰店</t>
        </is>
      </c>
      <c r="M3309">
        <v>28000</v>
      </c>
      <c r="N3309">
        <v>4.72</v>
      </c>
      <c r="O3309">
        <v>265000</v>
      </c>
      <c r="P3309" t="inlineStr">
        <is>
          <t>65e69907a03c0d00011cfb1e</t>
        </is>
      </c>
      <c r="Q3309"/>
      <c r="R3309" t="inlineStr">
        <is>
          <t>14周</t>
        </is>
      </c>
      <c r="S3309" t="inlineStr">
        <is>
          <t>6.89</t>
        </is>
      </c>
      <c r="T3309" t="inlineStr">
        <is>
          <t>美妆个护</t>
        </is>
      </c>
      <c r="U3309" t="inlineStr">
        <is>
          <t>护肤彩妆</t>
        </is>
      </c>
      <c r="V3309" s="3">
        <v>46112.78107638889</v>
      </c>
      <c r="W3309" t="inlineStr">
        <is>
          <t>2026-Q1</t>
        </is>
      </c>
    </row>
    <row r="3310" ht="25.5" customHeight="1">
      <c r="A3310" t="inlineStr">
        <is>
          <t>手工桃木剑东南老桃木挂件儿枕头下随身携带挂门上纯手工打磨雕刻</t>
        </is>
      </c>
      <c r="B3310" t="inlineStr">
        <is>
          <t>recvfenb180MNZ.jpg</t>
        </is>
      </c>
      <c r="C3310" s="2" t="str">
        <f>=HYPERLINK("https://www.xiaohongshu.com/goods-detail/68d566bc0f0ca40015cf49cc", "https://www.xiaohongshu.com/goods-detail/68d566bc0f0ca40015cf49cc")</f>
        <v>https://www.xiaohongshu.com/goods-detail/68d566bc0f0ca40015cf49cc</v>
      </c>
      <c r="D3310"/>
      <c r="E3310">
        <v>22000</v>
      </c>
      <c r="F3310">
        <v>59.9</v>
      </c>
      <c r="G3310">
        <v>47.9</v>
      </c>
      <c r="H3310">
        <v>100</v>
      </c>
      <c r="I3310" t="inlineStr">
        <is>
          <t>桃木</t>
        </is>
      </c>
      <c r="J3310" t="inlineStr">
        <is>
          <t>0.00</t>
        </is>
      </c>
      <c r="K3310" t="inlineStr">
        <is>
          <t>🔥低粉爆款</t>
        </is>
      </c>
      <c r="L3310" t="inlineStr">
        <is>
          <t>福多多真桃木手工的店</t>
        </is>
      </c>
      <c r="M3310">
        <v>834</v>
      </c>
      <c r="N3310">
        <v>4.76</v>
      </c>
      <c r="O3310">
        <v>31000</v>
      </c>
      <c r="P3310" t="inlineStr">
        <is>
          <t>68d566bc0f0ca40015cf49cc</t>
        </is>
      </c>
      <c r="Q3310" t="inlineStr">
        <is>
          <t>🚫重复</t>
        </is>
      </c>
      <c r="R3310" t="inlineStr">
        <is>
          <t>14周</t>
        </is>
      </c>
      <c r="S3310" t="inlineStr">
        <is>
          <t>26.38</t>
        </is>
      </c>
      <c r="T3310" t="inlineStr">
        <is>
          <t>服饰穿搭</t>
        </is>
      </c>
      <c r="U3310" t="inlineStr">
        <is>
          <t>配饰</t>
        </is>
      </c>
      <c r="V3310" s="3">
        <v>46112.78107638889</v>
      </c>
      <c r="W3310" t="inlineStr">
        <is>
          <t>2026-Q1</t>
        </is>
      </c>
    </row>
    <row r="3311" ht="25.5" customHeight="1">
      <c r="A3311" t="inlineStr">
        <is>
          <t>手工孕妇桃木宝宝别针外出狗牙婴儿压惊受惊宝宝半夜大哭惊吓（压惊平安升级款）桃木剑+狗牙+猪惊骨+生肖蛇</t>
        </is>
      </c>
      <c r="B3311" t="inlineStr">
        <is>
          <t>recvfenb18Qz7i.jpg</t>
        </is>
      </c>
      <c r="C3311" s="2" t="str">
        <f>=HYPERLINK("https://www.xiaohongshu.com/goods-detail/682eb5e3d9a0a40001c2b83b", "https://www.xiaohongshu.com/goods-detail/682eb5e3d9a0a40001c2b83b")</f>
        <v>https://www.xiaohongshu.com/goods-detail/682eb5e3d9a0a40001c2b83b</v>
      </c>
      <c r="D3311"/>
      <c r="E3311">
        <v>22000</v>
      </c>
      <c r="F3311">
        <v>59.9</v>
      </c>
      <c r="G3311">
        <v>39.9</v>
      </c>
      <c r="H3311">
        <v>100</v>
      </c>
      <c r="I3311" t="inlineStr">
        <is>
          <t>桃木别针</t>
        </is>
      </c>
      <c r="J3311" t="inlineStr">
        <is>
          <t>0.00</t>
        </is>
      </c>
      <c r="K3311" t="inlineStr">
        <is>
          <t>🔥低粉爆款</t>
        </is>
      </c>
      <c r="L3311" t="inlineStr">
        <is>
          <t>桃枝夭夭手作的店</t>
        </is>
      </c>
      <c r="M3311">
        <v>784</v>
      </c>
      <c r="N3311">
        <v>4.45</v>
      </c>
      <c r="O3311">
        <v>22000</v>
      </c>
      <c r="P3311" t="inlineStr">
        <is>
          <t>682eb5e3d9a0a40001c2b83b</t>
        </is>
      </c>
      <c r="Q3311"/>
      <c r="R3311" t="inlineStr">
        <is>
          <t>14周</t>
        </is>
      </c>
      <c r="S3311" t="inlineStr">
        <is>
          <t>28.06</t>
        </is>
      </c>
      <c r="T3311" t="inlineStr">
        <is>
          <t>母婴亲子</t>
        </is>
      </c>
      <c r="U3311" t="inlineStr">
        <is>
          <t>童装童鞋</t>
        </is>
      </c>
      <c r="V3311" s="3">
        <v>46112.78107638889</v>
      </c>
      <c r="W3311" t="inlineStr">
        <is>
          <t>2026-Q1</t>
        </is>
      </c>
    </row>
    <row r="3312" ht="25.5" customHeight="1">
      <c r="A3312" t="inlineStr">
        <is>
          <t>手工宝宝桃木别针孕妇别针婴儿外出桃木挂件宝宝胸针桃木宝宝别针</t>
        </is>
      </c>
      <c r="B3312" t="inlineStr">
        <is>
          <t>recvfenb18TMJt.jpg</t>
        </is>
      </c>
      <c r="C3312" s="2" t="str">
        <f>=HYPERLINK("https://www.xiaohongshu.com/goods-detail/67bac79029b9f700019d873b", "https://www.xiaohongshu.com/goods-detail/67bac79029b9f700019d873b")</f>
        <v>https://www.xiaohongshu.com/goods-detail/67bac79029b9f700019d873b</v>
      </c>
      <c r="D3312"/>
      <c r="E3312">
        <v>20000</v>
      </c>
      <c r="F3312">
        <v>69.9</v>
      </c>
      <c r="G3312">
        <v>49.9</v>
      </c>
      <c r="H3312">
        <v>100</v>
      </c>
      <c r="I3312" t="inlineStr">
        <is>
          <t>桃木别针</t>
        </is>
      </c>
      <c r="J3312" t="inlineStr">
        <is>
          <t>0.01</t>
        </is>
      </c>
      <c r="K3312" t="inlineStr">
        <is>
          <t>🔥低粉爆款</t>
        </is>
      </c>
      <c r="L3312" t="inlineStr">
        <is>
          <t>桃福记原创手工的店</t>
        </is>
      </c>
      <c r="M3312">
        <v>2589</v>
      </c>
      <c r="N3312">
        <v>4.7</v>
      </c>
      <c r="O3312">
        <v>21000</v>
      </c>
      <c r="P3312" t="inlineStr">
        <is>
          <t>67bac79029b9f700019d873b</t>
        </is>
      </c>
      <c r="Q3312"/>
      <c r="R3312" t="inlineStr">
        <is>
          <t>14周</t>
        </is>
      </c>
      <c r="S3312" t="inlineStr">
        <is>
          <t>7.72</t>
        </is>
      </c>
      <c r="T3312" t="inlineStr">
        <is>
          <t>服饰穿搭</t>
        </is>
      </c>
      <c r="U3312" t="inlineStr">
        <is>
          <t>配饰</t>
        </is>
      </c>
      <c r="V3312" s="3">
        <v>46112.78107638889</v>
      </c>
      <c r="W3312" t="inlineStr">
        <is>
          <t>2026-Q1</t>
        </is>
      </c>
    </row>
    <row r="3313" ht="25.5" customHeight="1">
      <c r="A3313" t="inlineStr">
        <is>
          <t>手工宝宝孕妇桃木外出别针狗牙婴儿压惊宝宝半夜大哭泰山桃木</t>
        </is>
      </c>
      <c r="B3313" t="inlineStr">
        <is>
          <t>recvfenb18MEaE.jpg</t>
        </is>
      </c>
      <c r="C3313" s="2" t="str">
        <f>=HYPERLINK("https://www.xiaohongshu.com/goods-detail/6810faa2dd59fa000151922d", "https://www.xiaohongshu.com/goods-detail/6810faa2dd59fa000151922d")</f>
        <v>https://www.xiaohongshu.com/goods-detail/6810faa2dd59fa000151922d</v>
      </c>
      <c r="D3313"/>
      <c r="E3313">
        <v>7996</v>
      </c>
      <c r="F3313">
        <v>49.9</v>
      </c>
      <c r="G3313">
        <v>42.41</v>
      </c>
      <c r="H3313">
        <v>100</v>
      </c>
      <c r="I3313" t="inlineStr">
        <is>
          <t>桃木</t>
        </is>
      </c>
      <c r="J3313" t="inlineStr">
        <is>
          <t>0.01</t>
        </is>
      </c>
      <c r="K3313" t="inlineStr">
        <is>
          <t>🔥低粉爆款</t>
        </is>
      </c>
      <c r="L3313" t="inlineStr">
        <is>
          <t>桃运连连的店</t>
        </is>
      </c>
      <c r="M3313">
        <v>313</v>
      </c>
      <c r="N3313">
        <v>4.74</v>
      </c>
      <c r="O3313">
        <v>8776</v>
      </c>
      <c r="P3313" t="inlineStr">
        <is>
          <t>6810faa2dd59fa000151922d</t>
        </is>
      </c>
      <c r="Q3313"/>
      <c r="R3313" t="inlineStr">
        <is>
          <t>14周</t>
        </is>
      </c>
      <c r="S3313" t="inlineStr">
        <is>
          <t>25.55</t>
        </is>
      </c>
      <c r="T3313" t="inlineStr">
        <is>
          <t>母婴亲子</t>
        </is>
      </c>
      <c r="U3313" t="inlineStr">
        <is>
          <t>童装童鞋</t>
        </is>
      </c>
      <c r="V3313" s="3">
        <v>46112.78107638889</v>
      </c>
      <c r="W3313" t="inlineStr">
        <is>
          <t>2026-Q1</t>
        </is>
      </c>
    </row>
    <row r="3314" ht="25.5" customHeight="1">
      <c r="A3314" t="inlineStr">
        <is>
          <t>Sweet mint · 双效遮瑕棒遮斑雀斑痘印遮黑眼圈泪沟不卡粉提亮自然丝滑修饰脸部</t>
        </is>
      </c>
      <c r="B3314" t="inlineStr">
        <is>
          <t>recvfenb18HEkS.jpg</t>
        </is>
      </c>
      <c r="C3314" s="2" t="str">
        <f>=HYPERLINK("https://xhslink.com/m/4NwM8nbmCwP", "https://xhslink.com/m/4NwM8nbmCwP")</f>
        <v>https://xhslink.com/m/4NwM8nbmCwP</v>
      </c>
      <c r="D3314"/>
      <c r="E3314">
        <v>1036</v>
      </c>
      <c r="F3314">
        <v>20.9</v>
      </c>
      <c r="G3314">
        <v>8.9</v>
      </c>
      <c r="H3314">
        <v>100</v>
      </c>
      <c r="I3314" t="inlineStr">
        <is>
          <t>祛红痘印</t>
        </is>
      </c>
      <c r="J3314" t="inlineStr">
        <is>
          <t>0.10</t>
        </is>
      </c>
      <c r="K3314" t="inlineStr">
        <is>
          <t>🔥低粉爆款</t>
        </is>
      </c>
      <c r="L3314" t="inlineStr">
        <is>
          <t>VAVP美妆的店</t>
        </is>
      </c>
      <c r="M3314">
        <v>208</v>
      </c>
      <c r="N3314">
        <v>4.55</v>
      </c>
      <c r="O3314">
        <v>15000</v>
      </c>
      <c r="P3314" t="inlineStr">
        <is>
          <t>68784d07b93f0e00152cff84</t>
        </is>
      </c>
      <c r="Q3314"/>
      <c r="R3314" t="inlineStr">
        <is>
          <t>14周</t>
        </is>
      </c>
      <c r="S3314" t="inlineStr">
        <is>
          <t>4.98</t>
        </is>
      </c>
      <c r="T3314" t="inlineStr">
        <is>
          <t>美妆个护</t>
        </is>
      </c>
      <c r="U3314" t="inlineStr">
        <is>
          <t>护肤彩妆</t>
        </is>
      </c>
      <c r="V3314" s="3">
        <v>46112.78107638889</v>
      </c>
      <c r="W3314" t="inlineStr">
        <is>
          <t>2026-Q1</t>
        </is>
      </c>
    </row>
    <row r="3315" ht="25.5" customHeight="1">
      <c r="A3315" t="inlineStr">
        <is>
          <t>WE FLOWER · 【明星同款】2026春季穿搭新款国潮品牌法棍德训鞋百搭舒适轻便</t>
        </is>
      </c>
      <c r="B3315" t="inlineStr">
        <is>
          <t>recvfenb18vJDj.jpg</t>
        </is>
      </c>
      <c r="C3315" s="2" t="str">
        <f>=HYPERLINK("https://xhslink.com/m/1v5WnhYzS2B", "https://xhslink.com/m/1v5WnhYzS2B")</f>
        <v>https://xhslink.com/m/1v5WnhYzS2B</v>
      </c>
      <c r="D3315"/>
      <c r="E3315">
        <v>21000</v>
      </c>
      <c r="F3315">
        <v>799</v>
      </c>
      <c r="G3315">
        <v>339</v>
      </c>
      <c r="H3315">
        <v>100</v>
      </c>
      <c r="I3315" t="inlineStr">
        <is>
          <t>德训鞋</t>
        </is>
      </c>
      <c r="J3315" t="inlineStr">
        <is>
          <t>0.00</t>
        </is>
      </c>
      <c r="K3315"/>
      <c r="L3315" t="inlineStr">
        <is>
          <t>WE FLOWER旗舰店</t>
        </is>
      </c>
      <c r="M3315">
        <v>130000</v>
      </c>
      <c r="N3315">
        <v>4.62</v>
      </c>
      <c r="O3315">
        <v>223000</v>
      </c>
      <c r="P3315" t="inlineStr">
        <is>
          <t>682d7ac39acfd60001706e45</t>
        </is>
      </c>
      <c r="Q3315" t="inlineStr">
        <is>
          <t>🚫重复</t>
        </is>
      </c>
      <c r="R3315" t="inlineStr">
        <is>
          <t>14周</t>
        </is>
      </c>
      <c r="S3315" t="inlineStr">
        <is>
          <t>0.16</t>
        </is>
      </c>
      <c r="T3315" t="inlineStr">
        <is>
          <t>服饰穿搭</t>
        </is>
      </c>
      <c r="U3315" t="inlineStr">
        <is>
          <t>鞋靴箱包</t>
        </is>
      </c>
      <c r="V3315" s="3">
        <v>46112.78107638889</v>
      </c>
      <c r="W3315" t="inlineStr">
        <is>
          <t>2026-Q1</t>
        </is>
      </c>
    </row>
    <row r="3316" ht="25.5" customHeight="1">
      <c r="A3316" t="inlineStr">
        <is>
          <t>时尚软底德训鞋女复古芭蕾风阿甘鞋平底透气轻便运动休闲鞋</t>
        </is>
      </c>
      <c r="B3316" t="inlineStr">
        <is>
          <t>recvfenb18p5Wt.jpg</t>
        </is>
      </c>
      <c r="C3316" s="2" t="str">
        <f>=HYPERLINK("https://xhslink.com/m/9AxXFwzLK47", "https://xhslink.com/m/9AxXFwzLK47")</f>
        <v>https://xhslink.com/m/9AxXFwzLK47</v>
      </c>
      <c r="D3316"/>
      <c r="E3316">
        <v>5022</v>
      </c>
      <c r="F3316">
        <v>79.9</v>
      </c>
      <c r="G3316"/>
      <c r="H3316">
        <v>100</v>
      </c>
      <c r="I3316" t="inlineStr">
        <is>
          <t>德训鞋</t>
        </is>
      </c>
      <c r="J3316" t="inlineStr">
        <is>
          <t>0.02</t>
        </is>
      </c>
      <c r="K3316"/>
      <c r="L3316" t="inlineStr">
        <is>
          <t>杨小松的店</t>
        </is>
      </c>
      <c r="M3316">
        <v>12000</v>
      </c>
      <c r="N3316">
        <v>4.68</v>
      </c>
      <c r="O3316">
        <v>50000</v>
      </c>
      <c r="P3316" t="inlineStr">
        <is>
          <t>67e2b673a2a5110001ddf06d</t>
        </is>
      </c>
      <c r="Q3316" t="inlineStr">
        <is>
          <t>🚫重复</t>
        </is>
      </c>
      <c r="R3316" t="inlineStr">
        <is>
          <t>14周</t>
        </is>
      </c>
      <c r="S3316" t="inlineStr">
        <is>
          <t>0.42</t>
        </is>
      </c>
      <c r="T3316" t="inlineStr">
        <is>
          <t>服饰穿搭</t>
        </is>
      </c>
      <c r="U3316" t="inlineStr">
        <is>
          <t>鞋靴箱包</t>
        </is>
      </c>
      <c r="V3316" s="3">
        <v>46112.78107638889</v>
      </c>
      <c r="W3316" t="inlineStr">
        <is>
          <t>2026-Q1</t>
        </is>
      </c>
    </row>
    <row r="3317" ht="25.5" customHeight="1">
      <c r="A3317" t="inlineStr">
        <is>
          <t>【前100单立减20】高品质德训鞋~头层牛皮＋羊皮内里百搭舒适全皮</t>
        </is>
      </c>
      <c r="B3317" t="inlineStr">
        <is>
          <t>recvfenb18x3EZ.jpg</t>
        </is>
      </c>
      <c r="C3317" s="2" t="str">
        <f>=HYPERLINK("https://xhslink.com/m/1LFbYQy8Bzl", "https://xhslink.com/m/1LFbYQy8Bzl")</f>
        <v>https://xhslink.com/m/1LFbYQy8Bzl</v>
      </c>
      <c r="D3317"/>
      <c r="E3317">
        <v>2153</v>
      </c>
      <c r="F3317">
        <v>222</v>
      </c>
      <c r="G3317">
        <v>168.7</v>
      </c>
      <c r="H3317">
        <v>100</v>
      </c>
      <c r="I3317" t="inlineStr">
        <is>
          <t>德训鞋</t>
        </is>
      </c>
      <c r="J3317" t="inlineStr">
        <is>
          <t>0.05</t>
        </is>
      </c>
      <c r="K3317"/>
      <c r="L3317" t="inlineStr">
        <is>
          <t>小钱爱穿休闲鞋的店</t>
        </is>
      </c>
      <c r="M3317">
        <v>1601</v>
      </c>
      <c r="N3317">
        <v>4.54</v>
      </c>
      <c r="O3317">
        <v>3118</v>
      </c>
      <c r="P3317" t="inlineStr">
        <is>
          <t>68d4cc42aa1e7b00158bd0fe</t>
        </is>
      </c>
      <c r="Q3317"/>
      <c r="R3317" t="inlineStr">
        <is>
          <t>14周</t>
        </is>
      </c>
      <c r="S3317" t="inlineStr">
        <is>
          <t>1.34</t>
        </is>
      </c>
      <c r="T3317" t="inlineStr">
        <is>
          <t>服饰穿搭</t>
        </is>
      </c>
      <c r="U3317" t="inlineStr">
        <is>
          <t>鞋靴箱包</t>
        </is>
      </c>
      <c r="V3317" s="3">
        <v>46112.78107638889</v>
      </c>
      <c r="W3317" t="inlineStr">
        <is>
          <t>2026-Q1</t>
        </is>
      </c>
    </row>
    <row r="3318" ht="25.5" customHeight="1">
      <c r="A3318" t="inlineStr">
        <is>
          <t>2026年新款复古风运动鞋女春季透气网面德训鞋休闲百搭鞋子</t>
        </is>
      </c>
      <c r="B3318" t="inlineStr">
        <is>
          <t>recvfenb18ixEk.jpg</t>
        </is>
      </c>
      <c r="C3318" s="2" t="str">
        <f>=HYPERLINK("https://xhslink.com/m/8W5xU43E5Co", "https://xhslink.com/m/8W5xU43E5Co")</f>
        <v>https://xhslink.com/m/8W5xU43E5Co</v>
      </c>
      <c r="D3318"/>
      <c r="E3318">
        <v>6269</v>
      </c>
      <c r="F3318">
        <v>98</v>
      </c>
      <c r="G3318">
        <v>78</v>
      </c>
      <c r="H3318">
        <v>100</v>
      </c>
      <c r="I3318" t="inlineStr">
        <is>
          <t>德训鞋</t>
        </is>
      </c>
      <c r="J3318" t="inlineStr">
        <is>
          <t>0.02</t>
        </is>
      </c>
      <c r="K3318"/>
      <c r="L3318" t="inlineStr">
        <is>
          <t>粤鹤的店</t>
        </is>
      </c>
      <c r="M3318">
        <v>35000</v>
      </c>
      <c r="N3318">
        <v>4.47</v>
      </c>
      <c r="O3318">
        <v>179000</v>
      </c>
      <c r="P3318" t="inlineStr">
        <is>
          <t>68785cc60e13d50001e337fd</t>
        </is>
      </c>
      <c r="Q3318" t="inlineStr">
        <is>
          <t>🚫重复</t>
        </is>
      </c>
      <c r="R3318" t="inlineStr">
        <is>
          <t>14周</t>
        </is>
      </c>
      <c r="S3318" t="inlineStr">
        <is>
          <t>0.18</t>
        </is>
      </c>
      <c r="T3318" t="inlineStr">
        <is>
          <t>服饰穿搭</t>
        </is>
      </c>
      <c r="U3318" t="inlineStr">
        <is>
          <t>鞋靴箱包</t>
        </is>
      </c>
      <c r="V3318" s="3">
        <v>46112.78107638889</v>
      </c>
      <c r="W3318" t="inlineStr">
        <is>
          <t>2026-Q1</t>
        </is>
      </c>
    </row>
    <row r="3319" ht="25.5" customHeight="1">
      <c r="A3319" t="inlineStr">
        <is>
          <t>Cocooo复古登山阿甘鞋透气网面百搭小白鞋时尚休闲德训鞋BE-6862</t>
        </is>
      </c>
      <c r="B3319" t="inlineStr">
        <is>
          <t>recvfenb18UKlt.jpg</t>
        </is>
      </c>
      <c r="C3319" s="2" t="str">
        <f>=HYPERLINK("https://xhslink.com/m/1x5wj3KUp5m", "https://xhslink.com/m/1x5wj3KUp5m")</f>
        <v>https://xhslink.com/m/1x5wj3KUp5m</v>
      </c>
      <c r="D3319"/>
      <c r="E3319">
        <v>5395</v>
      </c>
      <c r="F3319">
        <v>79</v>
      </c>
      <c r="G3319">
        <v>69</v>
      </c>
      <c r="H3319">
        <v>100</v>
      </c>
      <c r="I3319" t="inlineStr">
        <is>
          <t>德训鞋</t>
        </is>
      </c>
      <c r="J3319" t="inlineStr">
        <is>
          <t>0.02</t>
        </is>
      </c>
      <c r="K3319"/>
      <c r="L3319" t="inlineStr">
        <is>
          <t>Cocooo的鞋柜的店</t>
        </is>
      </c>
      <c r="M3319">
        <v>57000</v>
      </c>
      <c r="N3319">
        <v>4.44</v>
      </c>
      <c r="O3319">
        <v>158000</v>
      </c>
      <c r="P3319" t="inlineStr">
        <is>
          <t>67d3e7475339580001ef54c5</t>
        </is>
      </c>
      <c r="Q3319" t="inlineStr">
        <is>
          <t>🚫重复</t>
        </is>
      </c>
      <c r="R3319" t="inlineStr">
        <is>
          <t>14周</t>
        </is>
      </c>
      <c r="S3319" t="inlineStr">
        <is>
          <t>0.09</t>
        </is>
      </c>
      <c r="T3319" t="inlineStr">
        <is>
          <t>运动潮玩</t>
        </is>
      </c>
      <c r="U3319" t="inlineStr">
        <is>
          <t>运动户外装备</t>
        </is>
      </c>
      <c r="V3319" s="3">
        <v>46112.78107638889</v>
      </c>
      <c r="W3319" t="inlineStr">
        <is>
          <t>2026-Q1</t>
        </is>
      </c>
    </row>
    <row r="3320" ht="25.5" customHeight="1">
      <c r="A3320" t="inlineStr">
        <is>
          <t>绿野仙踪~隐形增高3cm！韩系小众设计德训鞋女春秋新款百搭阿甘鞋</t>
        </is>
      </c>
      <c r="B3320" t="inlineStr">
        <is>
          <t>recvfenb18OjEC.jpg</t>
        </is>
      </c>
      <c r="C3320" s="2" t="str">
        <f>=HYPERLINK("https://xhslink.com/m/6d5vELZRkiZ", "https://xhslink.com/m/6d5vELZRkiZ")</f>
        <v>https://xhslink.com/m/6d5vELZRkiZ</v>
      </c>
      <c r="D3320"/>
      <c r="E3320">
        <v>315</v>
      </c>
      <c r="F3320">
        <v>82.98</v>
      </c>
      <c r="G3320">
        <v>79.98</v>
      </c>
      <c r="H3320">
        <v>100</v>
      </c>
      <c r="I3320" t="inlineStr">
        <is>
          <t>德训鞋</t>
        </is>
      </c>
      <c r="J3320" t="inlineStr">
        <is>
          <t>0.32</t>
        </is>
      </c>
      <c r="K3320"/>
      <c r="L3320" t="inlineStr">
        <is>
          <t>番茄酱～的店</t>
        </is>
      </c>
      <c r="M3320">
        <v>732</v>
      </c>
      <c r="N3320">
        <v>4.55</v>
      </c>
      <c r="O3320">
        <v>17000</v>
      </c>
      <c r="P3320" t="inlineStr">
        <is>
          <t>69ad3b503014430001057521</t>
        </is>
      </c>
      <c r="Q3320" t="inlineStr">
        <is>
          <t>🚫重复</t>
        </is>
      </c>
      <c r="R3320" t="inlineStr">
        <is>
          <t>14周</t>
        </is>
      </c>
      <c r="S3320" t="inlineStr">
        <is>
          <t>0.43</t>
        </is>
      </c>
      <c r="T3320" t="inlineStr">
        <is>
          <t>服饰穿搭</t>
        </is>
      </c>
      <c r="U3320" t="inlineStr">
        <is>
          <t>鞋靴箱包</t>
        </is>
      </c>
      <c r="V3320" s="3">
        <v>46112.78107638889</v>
      </c>
      <c r="W3320" t="inlineStr">
        <is>
          <t>2026-Q1</t>
        </is>
      </c>
    </row>
    <row r="3321" ht="25.5" customHeight="1">
      <c r="A3321" t="inlineStr">
        <is>
          <t>【棒球女孩】头层牛皮软底软面休闲鞋女平底真皮小白鞋德训阿甘鞋</t>
        </is>
      </c>
      <c r="B3321" t="inlineStr">
        <is>
          <t>recvfenb184lap.jpg</t>
        </is>
      </c>
      <c r="C3321" s="2" t="str">
        <f>=HYPERLINK("https://xhslink.com/m/f8LqfemfPB", "https://xhslink.com/m/f8LqfemfPB")</f>
        <v>https://xhslink.com/m/f8LqfemfPB</v>
      </c>
      <c r="D3321"/>
      <c r="E3321">
        <v>564</v>
      </c>
      <c r="F3321">
        <v>459.8</v>
      </c>
      <c r="G3321">
        <v>229.9</v>
      </c>
      <c r="H3321">
        <v>100</v>
      </c>
      <c r="I3321" t="inlineStr">
        <is>
          <t>德训鞋</t>
        </is>
      </c>
      <c r="J3321" t="inlineStr">
        <is>
          <t>0.18</t>
        </is>
      </c>
      <c r="K3321"/>
      <c r="L3321" t="inlineStr">
        <is>
          <t>MR. QIUER潮品的店</t>
        </is>
      </c>
      <c r="M3321">
        <v>37000</v>
      </c>
      <c r="N3321">
        <v>4.69</v>
      </c>
      <c r="O3321">
        <v>79000</v>
      </c>
      <c r="P3321" t="inlineStr">
        <is>
          <t>698c05efa5576f0001c9cc02</t>
        </is>
      </c>
      <c r="Q3321" t="inlineStr">
        <is>
          <t>🚫重复</t>
        </is>
      </c>
      <c r="R3321" t="inlineStr">
        <is>
          <t>14周</t>
        </is>
      </c>
      <c r="S3321" t="inlineStr">
        <is>
          <t>0.02</t>
        </is>
      </c>
      <c r="T3321" t="inlineStr">
        <is>
          <t>服饰穿搭</t>
        </is>
      </c>
      <c r="U3321" t="inlineStr">
        <is>
          <t>鞋靴箱包</t>
        </is>
      </c>
      <c r="V3321" s="3">
        <v>46112.78107638889</v>
      </c>
      <c r="W3321" t="inlineStr">
        <is>
          <t>2026-Q1</t>
        </is>
      </c>
    </row>
    <row r="3322" ht="25.5" customHeight="1">
      <c r="A3322" t="inlineStr">
        <is>
          <t>PAILAILI · 【内增高7cm】小个子百搭运动休闲鞋德训鞋P2880</t>
        </is>
      </c>
      <c r="B3322" t="inlineStr">
        <is>
          <t>recvfenb18C0Fz.jpg</t>
        </is>
      </c>
      <c r="C3322" s="2" t="str">
        <f>=HYPERLINK("https://xhslink.com/m/5h1Zc2qpIC2", "https://xhslink.com/m/5h1Zc2qpIC2")</f>
        <v>https://xhslink.com/m/5h1Zc2qpIC2</v>
      </c>
      <c r="D3322"/>
      <c r="E3322">
        <v>15000</v>
      </c>
      <c r="F3322">
        <v>278</v>
      </c>
      <c r="G3322">
        <v>228</v>
      </c>
      <c r="H3322">
        <v>100</v>
      </c>
      <c r="I3322" t="inlineStr">
        <is>
          <t>德训鞋</t>
        </is>
      </c>
      <c r="J3322" t="inlineStr">
        <is>
          <t>0.01</t>
        </is>
      </c>
      <c r="K3322"/>
      <c r="L3322" t="inlineStr">
        <is>
          <t>派莱丽的店</t>
        </is>
      </c>
      <c r="M3322">
        <v>1378000</v>
      </c>
      <c r="N3322">
        <v>4.48</v>
      </c>
      <c r="O3322">
        <v>349000</v>
      </c>
      <c r="P3322" t="inlineStr">
        <is>
          <t>687a23334f80eb0001a32541</t>
        </is>
      </c>
      <c r="Q3322" t="inlineStr">
        <is>
          <t>🚫重复</t>
        </is>
      </c>
      <c r="R3322" t="inlineStr">
        <is>
          <t>14周</t>
        </is>
      </c>
      <c r="S3322" t="inlineStr">
        <is>
          <t>0.01</t>
        </is>
      </c>
      <c r="T3322" t="inlineStr">
        <is>
          <t>服饰穿搭</t>
        </is>
      </c>
      <c r="U3322" t="inlineStr">
        <is>
          <t>鞋靴箱包</t>
        </is>
      </c>
      <c r="V3322" s="3">
        <v>46112.78107638889</v>
      </c>
      <c r="W3322" t="inlineStr">
        <is>
          <t>2026-Q1</t>
        </is>
      </c>
    </row>
    <row r="3323" ht="25.5" customHeight="1">
      <c r="A3323" t="inlineStr">
        <is>
          <t>三合一户外冲锋衣可拆卸内胆女保暖软壳防风防水情侣秋冬户外夹克</t>
        </is>
      </c>
      <c r="B3323" t="inlineStr">
        <is>
          <t>recvfenb18nSDj.jpg</t>
        </is>
      </c>
      <c r="C3323" s="2" t="str">
        <f>=HYPERLINK("https://xhslink.com/m/2gSCCI9zKYA", "https://xhslink.com/m/2gSCCI9zKYA")</f>
        <v>https://xhslink.com/m/2gSCCI9zKYA</v>
      </c>
      <c r="D3323"/>
      <c r="E3323">
        <v>38000</v>
      </c>
      <c r="F3323">
        <v>99</v>
      </c>
      <c r="G3323"/>
      <c r="H3323">
        <v>100</v>
      </c>
      <c r="I3323" t="inlineStr">
        <is>
          <t>徒步溯溪</t>
        </is>
      </c>
      <c r="J3323" t="inlineStr">
        <is>
          <t>0.00</t>
        </is>
      </c>
      <c r="K3323"/>
      <c r="L3323" t="inlineStr">
        <is>
          <t>潇潇呀～的店</t>
        </is>
      </c>
      <c r="M3323">
        <v>87000</v>
      </c>
      <c r="N3323">
        <v>4.6</v>
      </c>
      <c r="O3323">
        <v>85000</v>
      </c>
      <c r="P3323" t="inlineStr">
        <is>
          <t>683ae30f413fa00001a205ca</t>
        </is>
      </c>
      <c r="Q3323" t="inlineStr">
        <is>
          <t>🚫重复</t>
        </is>
      </c>
      <c r="R3323" t="inlineStr">
        <is>
          <t>14周</t>
        </is>
      </c>
      <c r="S3323" t="inlineStr">
        <is>
          <t>0.44</t>
        </is>
      </c>
      <c r="T3323" t="inlineStr">
        <is>
          <t>服饰穿搭</t>
        </is>
      </c>
      <c r="U3323" t="inlineStr">
        <is>
          <t>女装</t>
        </is>
      </c>
      <c r="V3323" s="3">
        <v>46112.78107638889</v>
      </c>
      <c r="W3323" t="inlineStr">
        <is>
          <t>2026-Q1</t>
        </is>
      </c>
    </row>
    <row r="3324" ht="25.5" customHeight="1">
      <c r="A3324" t="inlineStr">
        <is>
          <t>户外轻量软壳冲锋裤男女秋冬季加厚工装裤山系运动休闲长裤</t>
        </is>
      </c>
      <c r="B3324" t="inlineStr">
        <is>
          <t>recvfenb18fBa4.jpg</t>
        </is>
      </c>
      <c r="C3324" s="2" t="str">
        <f>=HYPERLINK("https://xhslink.com/m/8RiX1ioNOD1", "https://xhslink.com/m/8RiX1ioNOD1")</f>
        <v>https://xhslink.com/m/8RiX1ioNOD1</v>
      </c>
      <c r="D3324"/>
      <c r="E3324">
        <v>5758</v>
      </c>
      <c r="F3324">
        <v>129</v>
      </c>
      <c r="G3324">
        <v>89</v>
      </c>
      <c r="H3324">
        <v>100</v>
      </c>
      <c r="I3324" t="inlineStr">
        <is>
          <t>徒步溯溪</t>
        </is>
      </c>
      <c r="J3324" t="inlineStr">
        <is>
          <t>0.02</t>
        </is>
      </c>
      <c r="K3324"/>
      <c r="L3324" t="inlineStr">
        <is>
          <t>酥城故事服饰的店</t>
        </is>
      </c>
      <c r="M3324">
        <v>333000</v>
      </c>
      <c r="N3324">
        <v>4.52</v>
      </c>
      <c r="O3324">
        <v>294000</v>
      </c>
      <c r="P3324" t="inlineStr">
        <is>
          <t>68302afd6fdc8e0001f93336</t>
        </is>
      </c>
      <c r="Q3324" t="inlineStr">
        <is>
          <t>🚫重复</t>
        </is>
      </c>
      <c r="R3324" t="inlineStr">
        <is>
          <t>14周</t>
        </is>
      </c>
      <c r="S3324" t="inlineStr">
        <is>
          <t>0.02</t>
        </is>
      </c>
      <c r="T3324" t="inlineStr">
        <is>
          <t>服饰穿搭</t>
        </is>
      </c>
      <c r="U3324" t="inlineStr">
        <is>
          <t>女装</t>
        </is>
      </c>
      <c r="V3324" s="3">
        <v>46112.78107638889</v>
      </c>
      <c r="W3324" t="inlineStr">
        <is>
          <t>2026-Q1</t>
        </is>
      </c>
    </row>
    <row r="3325" ht="25.5" customHeight="1">
      <c r="A3325" t="inlineStr">
        <is>
          <t>本哚 · 24h不脱妆粉底液遮瑕养肤油皮持久控油干皮蹭不掉奶油肌</t>
        </is>
      </c>
      <c r="B3325" t="inlineStr">
        <is>
          <t>recvfenb18w2WS.jpg</t>
        </is>
      </c>
      <c r="C3325" s="2" t="str">
        <f>=HYPERLINK("https://xhslink.com/m/6MOuPi9pRGP", "https://xhslink.com/m/6MOuPi9pRGP")</f>
        <v>https://xhslink.com/m/6MOuPi9pRGP</v>
      </c>
      <c r="D3325"/>
      <c r="E3325">
        <v>37000</v>
      </c>
      <c r="F3325">
        <v>54.9</v>
      </c>
      <c r="G3325">
        <v>31.9</v>
      </c>
      <c r="H3325">
        <v>100</v>
      </c>
      <c r="I3325" t="inlineStr">
        <is>
          <t>底妆</t>
        </is>
      </c>
      <c r="J3325" t="inlineStr">
        <is>
          <t>0.00</t>
        </is>
      </c>
      <c r="K3325" t="inlineStr">
        <is>
          <t>🔥低粉爆款</t>
        </is>
      </c>
      <c r="L3325" t="inlineStr">
        <is>
          <t>广州LIRU丽如美妆的店</t>
        </is>
      </c>
      <c r="M3325">
        <v>7871</v>
      </c>
      <c r="N3325">
        <v>4.59</v>
      </c>
      <c r="O3325">
        <v>81000</v>
      </c>
      <c r="P3325" t="inlineStr">
        <is>
          <t>67cfd3dc9648450001b73f68</t>
        </is>
      </c>
      <c r="Q3325" t="inlineStr">
        <is>
          <t>🚫重复</t>
        </is>
      </c>
      <c r="R3325" t="inlineStr">
        <is>
          <t>14周</t>
        </is>
      </c>
      <c r="S3325" t="inlineStr">
        <is>
          <t>4.70</t>
        </is>
      </c>
      <c r="T3325" t="inlineStr">
        <is>
          <t>美妆个护</t>
        </is>
      </c>
      <c r="U3325" t="inlineStr">
        <is>
          <t>护肤彩妆</t>
        </is>
      </c>
      <c r="V3325" s="3">
        <v>46112.78107638889</v>
      </c>
      <c r="W3325" t="inlineStr">
        <is>
          <t>2026-Q1</t>
        </is>
      </c>
    </row>
    <row r="3326" ht="25.5" customHeight="1">
      <c r="A3326" t="inlineStr">
        <is>
          <t>仙丛 · Dekeo四色遮瑕膏学生党平价隐匿斑点痘印黑眼圈提亮泪沟凹陷遮瑕</t>
        </is>
      </c>
      <c r="B3326" t="inlineStr">
        <is>
          <t>recvfenb18JUct.jpg</t>
        </is>
      </c>
      <c r="C3326" s="2" t="str">
        <f>=HYPERLINK("https://xhslink.com/m/7HbnBZLJdMU", "https://xhslink.com/m/7HbnBZLJdMU")</f>
        <v>https://xhslink.com/m/7HbnBZLJdMU</v>
      </c>
      <c r="D3326"/>
      <c r="E3326">
        <v>26000</v>
      </c>
      <c r="F3326">
        <v>96.6</v>
      </c>
      <c r="G3326">
        <v>82.6</v>
      </c>
      <c r="H3326">
        <v>100</v>
      </c>
      <c r="I3326" t="inlineStr">
        <is>
          <t>底妆</t>
        </is>
      </c>
      <c r="J3326" t="inlineStr">
        <is>
          <t>0.00</t>
        </is>
      </c>
      <c r="K3326" t="inlineStr">
        <is>
          <t>🔥低粉爆款</t>
        </is>
      </c>
      <c r="L3326" t="inlineStr">
        <is>
          <t>仙丛旗舰店</t>
        </is>
      </c>
      <c r="M3326">
        <v>3235</v>
      </c>
      <c r="N3326">
        <v>4.65</v>
      </c>
      <c r="O3326">
        <v>271000</v>
      </c>
      <c r="P3326" t="inlineStr">
        <is>
          <t>69a7cf52094aed00018beb7e</t>
        </is>
      </c>
      <c r="Q3326" t="inlineStr">
        <is>
          <t>🚫重复</t>
        </is>
      </c>
      <c r="R3326" t="inlineStr">
        <is>
          <t>14周</t>
        </is>
      </c>
      <c r="S3326" t="inlineStr">
        <is>
          <t>8.04</t>
        </is>
      </c>
      <c r="T3326" t="inlineStr">
        <is>
          <t>美妆个护</t>
        </is>
      </c>
      <c r="U3326" t="inlineStr">
        <is>
          <t>护肤彩妆</t>
        </is>
      </c>
      <c r="V3326" s="3">
        <v>46112.78107638889</v>
      </c>
      <c r="W3326" t="inlineStr">
        <is>
          <t>2026-Q1</t>
        </is>
      </c>
    </row>
    <row r="3327" ht="25.5" customHeight="1">
      <c r="A3327" t="inlineStr">
        <is>
          <t>温丽慈 · 【品牌授权带官方防伪】韩国ongredients肌肤屏障舒缓保湿妆前乳</t>
        </is>
      </c>
      <c r="B3327" t="inlineStr">
        <is>
          <t>recvfenb18lImc.jpg</t>
        </is>
      </c>
      <c r="C3327" s="2" t="str">
        <f>=HYPERLINK("https://xhslink.com/m/A7C8GfdKzO4", "https://xhslink.com/m/A7C8GfdKzO4")</f>
        <v>https://xhslink.com/m/A7C8GfdKzO4</v>
      </c>
      <c r="D3327"/>
      <c r="E3327">
        <v>17000</v>
      </c>
      <c r="F3327">
        <v>54</v>
      </c>
      <c r="G3327"/>
      <c r="H3327">
        <v>100</v>
      </c>
      <c r="I3327" t="inlineStr">
        <is>
          <t>底妆</t>
        </is>
      </c>
      <c r="J3327" t="inlineStr">
        <is>
          <t>0.01</t>
        </is>
      </c>
      <c r="K3327"/>
      <c r="L3327" t="inlineStr">
        <is>
          <t>小依星球的店</t>
        </is>
      </c>
      <c r="M3327">
        <v>15000</v>
      </c>
      <c r="N3327">
        <v>4.46</v>
      </c>
      <c r="O3327">
        <v>117000</v>
      </c>
      <c r="P3327" t="inlineStr">
        <is>
          <t>676ba8ecd048b70001dcd7f7</t>
        </is>
      </c>
      <c r="Q3327" t="inlineStr">
        <is>
          <t>🚫重复</t>
        </is>
      </c>
      <c r="R3327" t="inlineStr">
        <is>
          <t>14周</t>
        </is>
      </c>
      <c r="S3327" t="inlineStr">
        <is>
          <t>1.13</t>
        </is>
      </c>
      <c r="T3327" t="inlineStr">
        <is>
          <t>美妆个护</t>
        </is>
      </c>
      <c r="U3327" t="inlineStr">
        <is>
          <t>护肤彩妆</t>
        </is>
      </c>
      <c r="V3327" s="3">
        <v>46112.78107638889</v>
      </c>
      <c r="W3327" t="inlineStr">
        <is>
          <t>2026-Q1</t>
        </is>
      </c>
    </row>
    <row r="3328" ht="25.5" customHeight="1">
      <c r="A3328" t="inlineStr">
        <is>
          <t>漫野 · 黄油遮瑕膏5色试色卡·遮黑眼圈+泪沟提亮0.15g*5色mini遮瑕盘</t>
        </is>
      </c>
      <c r="B3328" t="inlineStr">
        <is>
          <t>recvfenb18XvYd.jpg</t>
        </is>
      </c>
      <c r="C3328" s="2" t="str">
        <f>=HYPERLINK("https://xhslink.com/m/9UerD0i8ZFT", "https://xhslink.com/m/9UerD0i8ZFT")</f>
        <v>https://xhslink.com/m/9UerD0i8ZFT</v>
      </c>
      <c r="D3328"/>
      <c r="E3328">
        <v>41000</v>
      </c>
      <c r="F3328">
        <v>13.9</v>
      </c>
      <c r="G3328"/>
      <c r="H3328">
        <v>100</v>
      </c>
      <c r="I3328" t="inlineStr">
        <is>
          <t>底妆</t>
        </is>
      </c>
      <c r="J3328" t="inlineStr">
        <is>
          <t>0.00</t>
        </is>
      </c>
      <c r="K3328"/>
      <c r="L3328" t="inlineStr">
        <is>
          <t>漫野旗舰店</t>
        </is>
      </c>
      <c r="M3328">
        <v>36000</v>
      </c>
      <c r="N3328">
        <v>4.7</v>
      </c>
      <c r="O3328">
        <v>200000</v>
      </c>
      <c r="P3328" t="inlineStr">
        <is>
          <t>686b3ab0afc5ca0001f1d0a9</t>
        </is>
      </c>
      <c r="Q3328" t="inlineStr">
        <is>
          <t>🚫重复</t>
        </is>
      </c>
      <c r="R3328" t="inlineStr">
        <is>
          <t>14周</t>
        </is>
      </c>
      <c r="S3328" t="inlineStr">
        <is>
          <t>1.14</t>
        </is>
      </c>
      <c r="T3328" t="inlineStr">
        <is>
          <t>美妆个护</t>
        </is>
      </c>
      <c r="U3328" t="inlineStr">
        <is>
          <t>护肤彩妆</t>
        </is>
      </c>
      <c r="V3328" s="3">
        <v>46112.78107638889</v>
      </c>
      <c r="W3328" t="inlineStr">
        <is>
          <t>2026-Q1</t>
        </is>
      </c>
    </row>
    <row r="3329" ht="25.5" customHeight="1">
      <c r="A3329" t="inlineStr">
        <is>
          <t>格蒙GECOMO · 轻纱焕颜柔焦大粉饼定妆补妆自然提亮轻薄磨皮控油防水耐汗平价</t>
        </is>
      </c>
      <c r="B3329" t="inlineStr">
        <is>
          <t>recvfenb18K5uQ.jpg</t>
        </is>
      </c>
      <c r="C3329" s="2" t="str">
        <f>=HYPERLINK("https://xhslink.com/m/8wiy4OjGiaR", "https://xhslink.com/m/8wiy4OjGiaR")</f>
        <v>https://xhslink.com/m/8wiy4OjGiaR</v>
      </c>
      <c r="D3329"/>
      <c r="E3329">
        <v>48000</v>
      </c>
      <c r="F3329">
        <v>39.9</v>
      </c>
      <c r="G3329">
        <v>8.8</v>
      </c>
      <c r="H3329">
        <v>100</v>
      </c>
      <c r="I3329" t="inlineStr">
        <is>
          <t>底妆</t>
        </is>
      </c>
      <c r="J3329" t="inlineStr">
        <is>
          <t>0.00</t>
        </is>
      </c>
      <c r="K3329" t="inlineStr">
        <is>
          <t>🔥低粉爆款</t>
        </is>
      </c>
      <c r="L3329" t="inlineStr">
        <is>
          <t>学姐美妆的店</t>
        </is>
      </c>
      <c r="M3329">
        <v>3729</v>
      </c>
      <c r="N3329">
        <v>4.55</v>
      </c>
      <c r="O3329">
        <v>93000</v>
      </c>
      <c r="P3329" t="inlineStr">
        <is>
          <t>6782a634e4ed1f0016fcfa7e</t>
        </is>
      </c>
      <c r="Q3329" t="inlineStr">
        <is>
          <t>🚫重复</t>
        </is>
      </c>
      <c r="R3329" t="inlineStr">
        <is>
          <t>14周</t>
        </is>
      </c>
      <c r="S3329" t="inlineStr">
        <is>
          <t>12.87</t>
        </is>
      </c>
      <c r="T3329" t="inlineStr">
        <is>
          <t>美妆个护</t>
        </is>
      </c>
      <c r="U3329" t="inlineStr">
        <is>
          <t>护肤彩妆</t>
        </is>
      </c>
      <c r="V3329" s="3">
        <v>46112.78107638889</v>
      </c>
      <c r="W3329" t="inlineStr">
        <is>
          <t>2026-Q1</t>
        </is>
      </c>
    </row>
    <row r="3330" ht="25.5" customHeight="1">
      <c r="A3330" t="inlineStr">
        <is>
          <t>毛戈平 · 【店播专属】美肌粉膏小金扇粉饼套装 浓缩型  粉底液彩妆</t>
        </is>
      </c>
      <c r="B3330" t="inlineStr">
        <is>
          <t>recvfenb18F4MB.jpg</t>
        </is>
      </c>
      <c r="C3330" s="2" t="str">
        <f>=HYPERLINK("https://xhslink.com/m/8Bku3bagxSw", "https://xhslink.com/m/8Bku3bagxSw")</f>
        <v>https://xhslink.com/m/8Bku3bagxSw</v>
      </c>
      <c r="D3330"/>
      <c r="E3330">
        <v>28000</v>
      </c>
      <c r="F3330">
        <v>510</v>
      </c>
      <c r="G3330">
        <v>399</v>
      </c>
      <c r="H3330">
        <v>100</v>
      </c>
      <c r="I3330" t="inlineStr">
        <is>
          <t>底妆</t>
        </is>
      </c>
      <c r="J3330" t="inlineStr">
        <is>
          <t>0.00</t>
        </is>
      </c>
      <c r="K3330"/>
      <c r="L3330" t="inlineStr">
        <is>
          <t>毛戈平美妆官方旗舰店</t>
        </is>
      </c>
      <c r="M3330">
        <v>1046000</v>
      </c>
      <c r="N3330">
        <v>4.67</v>
      </c>
      <c r="O3330">
        <v>473000</v>
      </c>
      <c r="P3330" t="inlineStr">
        <is>
          <t>68352b34bd112700016a992d</t>
        </is>
      </c>
      <c r="Q3330" t="inlineStr">
        <is>
          <t>🚫重复</t>
        </is>
      </c>
      <c r="R3330" t="inlineStr">
        <is>
          <t>14周</t>
        </is>
      </c>
      <c r="S3330" t="inlineStr">
        <is>
          <t>0.03</t>
        </is>
      </c>
      <c r="T3330" t="inlineStr">
        <is>
          <t>美妆个护</t>
        </is>
      </c>
      <c r="U3330" t="inlineStr">
        <is>
          <t>护肤彩妆</t>
        </is>
      </c>
      <c r="V3330" s="3">
        <v>46112.78107638889</v>
      </c>
      <c r="W3330" t="inlineStr">
        <is>
          <t>2026-Q1</t>
        </is>
      </c>
    </row>
    <row r="3331" ht="25.5" customHeight="1">
      <c r="A3331" t="inlineStr">
        <is>
          <t>Heaven pink · 【达人推荐2支减98】胶原有色面霜妆前初恋霜隔离霜蛋白精华遮瑕</t>
        </is>
      </c>
      <c r="B3331" t="inlineStr">
        <is>
          <t>recvfenb18tbLx.jpg</t>
        </is>
      </c>
      <c r="C3331" s="2" t="str">
        <f>=HYPERLINK("https://xhslink.com/m/3JYFFiGHx3r", "https://xhslink.com/m/3JYFFiGHx3r")</f>
        <v>https://xhslink.com/m/3JYFFiGHx3r</v>
      </c>
      <c r="D3331"/>
      <c r="E3331">
        <v>6797</v>
      </c>
      <c r="F3331">
        <v>148</v>
      </c>
      <c r="G3331"/>
      <c r="H3331">
        <v>100</v>
      </c>
      <c r="I3331" t="inlineStr">
        <is>
          <t>底妆</t>
        </is>
      </c>
      <c r="J3331" t="inlineStr">
        <is>
          <t>0.01</t>
        </is>
      </c>
      <c r="K3331"/>
      <c r="L3331" t="inlineStr">
        <is>
          <t>Heaven Pink旗舰店</t>
        </is>
      </c>
      <c r="M3331">
        <v>5844</v>
      </c>
      <c r="N3331">
        <v>4.45</v>
      </c>
      <c r="O3331">
        <v>45000</v>
      </c>
      <c r="P3331" t="inlineStr">
        <is>
          <t>67fdea9526cdaf00018b271f</t>
        </is>
      </c>
      <c r="Q3331" t="inlineStr">
        <is>
          <t>🚫重复</t>
        </is>
      </c>
      <c r="R3331" t="inlineStr">
        <is>
          <t>14周</t>
        </is>
      </c>
      <c r="S3331" t="inlineStr">
        <is>
          <t>1.16</t>
        </is>
      </c>
      <c r="T3331" t="inlineStr">
        <is>
          <t>美妆个护</t>
        </is>
      </c>
      <c r="U3331" t="inlineStr">
        <is>
          <t>护肤彩妆</t>
        </is>
      </c>
      <c r="V3331" s="3">
        <v>46112.78107638889</v>
      </c>
      <c r="W3331" t="inlineStr">
        <is>
          <t>2026-Q1</t>
        </is>
      </c>
    </row>
    <row r="3332" ht="25.5" customHeight="1">
      <c r="A3332" t="inlineStr">
        <is>
          <t>毛戈平 · 光感美肌无痕粉膏浓缩型粉底液持久不脱妆遮瑕粉膏</t>
        </is>
      </c>
      <c r="B3332" t="inlineStr">
        <is>
          <t>recvfenb18lShF.jpg</t>
        </is>
      </c>
      <c r="C3332" s="2" t="str">
        <f>=HYPERLINK("https://xhslink.com/m/9f2vum1aZ8r", "https://xhslink.com/m/9f2vum1aZ8r")</f>
        <v>https://xhslink.com/m/9f2vum1aZ8r</v>
      </c>
      <c r="D3332"/>
      <c r="E3332">
        <v>3367</v>
      </c>
      <c r="F3332">
        <v>380</v>
      </c>
      <c r="G3332">
        <v>350</v>
      </c>
      <c r="H3332">
        <v>100</v>
      </c>
      <c r="I3332" t="inlineStr">
        <is>
          <t>底妆</t>
        </is>
      </c>
      <c r="J3332" t="inlineStr">
        <is>
          <t>0.03</t>
        </is>
      </c>
      <c r="K3332"/>
      <c r="L3332" t="inlineStr">
        <is>
          <t>毛戈平美妆官方旗舰店</t>
        </is>
      </c>
      <c r="M3332">
        <v>1046000</v>
      </c>
      <c r="N3332">
        <v>4.67</v>
      </c>
      <c r="O3332">
        <v>473000</v>
      </c>
      <c r="P3332" t="inlineStr">
        <is>
          <t>66b18d4f074797000133a897</t>
        </is>
      </c>
      <c r="Q3332" t="inlineStr">
        <is>
          <t>🚫重复</t>
        </is>
      </c>
      <c r="R3332" t="inlineStr">
        <is>
          <t>14周</t>
        </is>
      </c>
      <c r="S3332" t="inlineStr">
        <is>
          <t>0.00</t>
        </is>
      </c>
      <c r="T3332" t="inlineStr">
        <is>
          <t>美妆个护</t>
        </is>
      </c>
      <c r="U3332" t="inlineStr">
        <is>
          <t>护肤彩妆</t>
        </is>
      </c>
      <c r="V3332" s="3">
        <v>46112.78107638889</v>
      </c>
      <c r="W3332" t="inlineStr">
        <is>
          <t>2026-Q1</t>
        </is>
      </c>
    </row>
    <row r="3333" ht="25.5" customHeight="1">
      <c r="A3333" t="inlineStr">
        <is>
          <t>戈戈小熊 · 提亮遮瑕液遮盖斑点痘印黑眼圈脸部泪沟高光修容液水润平价学生d1</t>
        </is>
      </c>
      <c r="B3333" t="inlineStr">
        <is>
          <t>recvfenb188Y44.jpg</t>
        </is>
      </c>
      <c r="C3333" s="2" t="str">
        <f>=HYPERLINK("https://xhslink.com/m/2Y51e7xEmQ2", "https://xhslink.com/m/2Y51e7xEmQ2")</f>
        <v>https://xhslink.com/m/2Y51e7xEmQ2</v>
      </c>
      <c r="D3333"/>
      <c r="E3333">
        <v>10000</v>
      </c>
      <c r="F3333">
        <v>14.9</v>
      </c>
      <c r="G3333">
        <v>13.9</v>
      </c>
      <c r="H3333">
        <v>100</v>
      </c>
      <c r="I3333" t="inlineStr">
        <is>
          <t>底妆</t>
        </is>
      </c>
      <c r="J3333" t="inlineStr">
        <is>
          <t>0.01</t>
        </is>
      </c>
      <c r="K3333" t="inlineStr">
        <is>
          <t>🔥低粉爆款</t>
        </is>
      </c>
      <c r="L3333" t="inlineStr">
        <is>
          <t>BANGNA邦娜彩妆的店</t>
        </is>
      </c>
      <c r="M3333">
        <v>1256</v>
      </c>
      <c r="N3333">
        <v>4.37</v>
      </c>
      <c r="O3333">
        <v>164000</v>
      </c>
      <c r="P3333" t="inlineStr">
        <is>
          <t>68537cc07603fe0015b144e8</t>
        </is>
      </c>
      <c r="Q3333" t="inlineStr">
        <is>
          <t>🚫重复</t>
        </is>
      </c>
      <c r="R3333" t="inlineStr">
        <is>
          <t>14周</t>
        </is>
      </c>
      <c r="S3333" t="inlineStr">
        <is>
          <t>7.96</t>
        </is>
      </c>
      <c r="T3333" t="inlineStr">
        <is>
          <t>美妆个护</t>
        </is>
      </c>
      <c r="U3333" t="inlineStr">
        <is>
          <t>护肤彩妆</t>
        </is>
      </c>
      <c r="V3333" s="3">
        <v>46112.78107638889</v>
      </c>
      <c r="W3333" t="inlineStr">
        <is>
          <t>2026-Q1</t>
        </is>
      </c>
    </row>
    <row r="3334" ht="25.5" customHeight="1">
      <c r="A3334" t="inlineStr">
        <is>
          <t>sheeneffect · 巽菲特单色综合光学变色龙冰透爆闪单色高光眼影</t>
        </is>
      </c>
      <c r="B3334" t="inlineStr">
        <is>
          <t>recvfenb18DRGL.jpg</t>
        </is>
      </c>
      <c r="C3334" s="2" t="str">
        <f>=HYPERLINK("https://xhslink.com/m/8rAfeKpbuCg", "https://xhslink.com/m/8rAfeKpbuCg")</f>
        <v>https://xhslink.com/m/8rAfeKpbuCg</v>
      </c>
      <c r="D3334"/>
      <c r="E3334">
        <v>16000</v>
      </c>
      <c r="F3334">
        <v>89</v>
      </c>
      <c r="G3334">
        <v>69</v>
      </c>
      <c r="H3334">
        <v>100</v>
      </c>
      <c r="I3334" t="inlineStr">
        <is>
          <t>纯欲妆容</t>
        </is>
      </c>
      <c r="J3334" t="inlineStr">
        <is>
          <t>0.01</t>
        </is>
      </c>
      <c r="K3334"/>
      <c r="L3334" t="inlineStr">
        <is>
          <t>SheenEffect巽菲特的店</t>
        </is>
      </c>
      <c r="M3334">
        <v>26000</v>
      </c>
      <c r="N3334">
        <v>4.69</v>
      </c>
      <c r="O3334">
        <v>66000</v>
      </c>
      <c r="P3334" t="inlineStr">
        <is>
          <t>6913077f58a96d0001dcf03e</t>
        </is>
      </c>
      <c r="Q3334"/>
      <c r="R3334" t="inlineStr">
        <is>
          <t>14周</t>
        </is>
      </c>
      <c r="S3334" t="inlineStr">
        <is>
          <t>0.62</t>
        </is>
      </c>
      <c r="T3334" t="inlineStr">
        <is>
          <t>美妆个护</t>
        </is>
      </c>
      <c r="U3334" t="inlineStr">
        <is>
          <t>护肤彩妆</t>
        </is>
      </c>
      <c r="V3334" s="3">
        <v>46112.78107638889</v>
      </c>
      <c r="W3334" t="inlineStr">
        <is>
          <t>2026-Q1</t>
        </is>
      </c>
    </row>
    <row r="3335" ht="25.5" customHeight="1">
      <c r="A3335" t="inlineStr">
        <is>
          <t>万特熊 · 【夏季新品】清冷斜飞呼吸透明感假睫毛自然仿真纯欲狐系大容量</t>
        </is>
      </c>
      <c r="B3335" t="inlineStr">
        <is>
          <t>recvfenb18dlVb.jpg</t>
        </is>
      </c>
      <c r="C3335" s="2" t="str">
        <f>=HYPERLINK("https://xhslink.com/m/4gV1l1ACjAv", "https://xhslink.com/m/4gV1l1ACjAv")</f>
        <v>https://xhslink.com/m/4gV1l1ACjAv</v>
      </c>
      <c r="D3335"/>
      <c r="E3335">
        <v>201000</v>
      </c>
      <c r="F3335">
        <v>9.9</v>
      </c>
      <c r="G3335">
        <v>7.9</v>
      </c>
      <c r="H3335">
        <v>100</v>
      </c>
      <c r="I3335" t="inlineStr">
        <is>
          <t>纯欲妆容</t>
        </is>
      </c>
      <c r="J3335" t="inlineStr">
        <is>
          <t>0.00</t>
        </is>
      </c>
      <c r="K3335" t="inlineStr">
        <is>
          <t>🔥低粉爆款</t>
        </is>
      </c>
      <c r="L3335" t="inlineStr">
        <is>
          <t>海那边的灿烂岛的店</t>
        </is>
      </c>
      <c r="M3335">
        <v>2237</v>
      </c>
      <c r="N3335">
        <v>4.35</v>
      </c>
      <c r="O3335">
        <v>705000</v>
      </c>
      <c r="P3335" t="inlineStr">
        <is>
          <t>6831394abc06d2000179fa41</t>
        </is>
      </c>
      <c r="Q3335"/>
      <c r="R3335" t="inlineStr">
        <is>
          <t>14周</t>
        </is>
      </c>
      <c r="S3335" t="inlineStr">
        <is>
          <t>89.85</t>
        </is>
      </c>
      <c r="T3335" t="inlineStr">
        <is>
          <t>美妆个护</t>
        </is>
      </c>
      <c r="U3335" t="inlineStr">
        <is>
          <t>护肤彩妆</t>
        </is>
      </c>
      <c r="V3335" s="3">
        <v>46112.78107638889</v>
      </c>
      <c r="W3335" t="inlineStr">
        <is>
          <t>2026-Q1</t>
        </is>
      </c>
    </row>
    <row r="3336" ht="25.5" customHeight="1">
      <c r="A3336" t="inlineStr">
        <is>
          <t>HOLD LIVE · 小粉框九色眼影盘大地粉色珠哑光学生平价腮红纯欲眼影</t>
        </is>
      </c>
      <c r="B3336" t="inlineStr">
        <is>
          <t>recvfenb18nrzT.jpg</t>
        </is>
      </c>
      <c r="C3336" s="2" t="str">
        <f>=HYPERLINK("https://xhslink.com/m/34nQiEezsbw", "https://xhslink.com/m/34nQiEezsbw")</f>
        <v>https://xhslink.com/m/34nQiEezsbw</v>
      </c>
      <c r="D3336"/>
      <c r="E3336">
        <v>36000</v>
      </c>
      <c r="F3336">
        <v>29</v>
      </c>
      <c r="G3336"/>
      <c r="H3336">
        <v>100</v>
      </c>
      <c r="I3336" t="inlineStr">
        <is>
          <t>纯欲妆容</t>
        </is>
      </c>
      <c r="J3336" t="inlineStr">
        <is>
          <t>0.00</t>
        </is>
      </c>
      <c r="K3336"/>
      <c r="L3336" t="inlineStr">
        <is>
          <t>Holdlive旗舰店</t>
        </is>
      </c>
      <c r="M3336">
        <v>354000</v>
      </c>
      <c r="N3336">
        <v>4.68</v>
      </c>
      <c r="O3336">
        <v>537000</v>
      </c>
      <c r="P3336" t="inlineStr">
        <is>
          <t>6474507c2f51780001ee9b7d</t>
        </is>
      </c>
      <c r="Q3336" t="inlineStr">
        <is>
          <t>🚫重复</t>
        </is>
      </c>
      <c r="R3336" t="inlineStr">
        <is>
          <t>14周</t>
        </is>
      </c>
      <c r="S3336" t="inlineStr">
        <is>
          <t>0.10</t>
        </is>
      </c>
      <c r="T3336" t="inlineStr">
        <is>
          <t>美妆个护</t>
        </is>
      </c>
      <c r="U3336" t="inlineStr">
        <is>
          <t>护肤彩妆</t>
        </is>
      </c>
      <c r="V3336" s="3">
        <v>46112.78107638889</v>
      </c>
      <c r="W3336" t="inlineStr">
        <is>
          <t>2026-Q1</t>
        </is>
      </c>
    </row>
    <row r="3337" ht="25.5" customHeight="1">
      <c r="A3337" t="inlineStr">
        <is>
          <t>DE'LANCI · 「2件9折 4件8.5折送盘」自组偏光爆闪眼影盘紫色绿色系金属高闪</t>
        </is>
      </c>
      <c r="B3337" t="inlineStr">
        <is>
          <t>recvfenb18QQoe.jpg</t>
        </is>
      </c>
      <c r="C3337" s="2" t="str">
        <f>=HYPERLINK("https://xhslink.com/m/AGSGTyqikvU", "https://xhslink.com/m/AGSGTyqikvU")</f>
        <v>https://xhslink.com/m/AGSGTyqikvU</v>
      </c>
      <c r="D3337"/>
      <c r="E3337">
        <v>27000</v>
      </c>
      <c r="F3337">
        <v>24</v>
      </c>
      <c r="G3337"/>
      <c r="H3337">
        <v>100</v>
      </c>
      <c r="I3337" t="inlineStr">
        <is>
          <t>彩妆</t>
        </is>
      </c>
      <c r="J3337" t="inlineStr">
        <is>
          <t>0.00</t>
        </is>
      </c>
      <c r="K3337"/>
      <c r="L3337" t="inlineStr">
        <is>
          <t>DE'LANCI美妆旗舰店</t>
        </is>
      </c>
      <c r="M3337">
        <v>35000</v>
      </c>
      <c r="N3337">
        <v>4.66</v>
      </c>
      <c r="O3337">
        <v>43000</v>
      </c>
      <c r="P3337" t="inlineStr">
        <is>
          <t>672dabe8878b3d00019b799b</t>
        </is>
      </c>
      <c r="Q3337" t="inlineStr">
        <is>
          <t>🚫重复</t>
        </is>
      </c>
      <c r="R3337" t="inlineStr">
        <is>
          <t>14周</t>
        </is>
      </c>
      <c r="S3337" t="inlineStr">
        <is>
          <t>0.77</t>
        </is>
      </c>
      <c r="T3337" t="inlineStr">
        <is>
          <t>美妆个护</t>
        </is>
      </c>
      <c r="U3337" t="inlineStr">
        <is>
          <t>护肤彩妆</t>
        </is>
      </c>
      <c r="V3337" s="3">
        <v>46112.78107638889</v>
      </c>
      <c r="W3337" t="inlineStr">
        <is>
          <t>2026-Q1</t>
        </is>
      </c>
    </row>
    <row r="3338" ht="25.5" customHeight="1">
      <c r="A3338" t="inlineStr">
        <is>
          <t>Girlcult构奇 · 情话唇霜唇釉 丝绒哑光不沾杯</t>
        </is>
      </c>
      <c r="B3338" t="inlineStr">
        <is>
          <t>recvfenb18TSL4.jpg</t>
        </is>
      </c>
      <c r="C3338" s="2" t="str">
        <f>=HYPERLINK("https://xhslink.com/m/2dH3sNs2eIi", "https://xhslink.com/m/2dH3sNs2eIi")</f>
        <v>https://xhslink.com/m/2dH3sNs2eIi</v>
      </c>
      <c r="D3338"/>
      <c r="E3338">
        <v>226000</v>
      </c>
      <c r="F3338">
        <v>99</v>
      </c>
      <c r="G3338">
        <v>79</v>
      </c>
      <c r="H3338">
        <v>100</v>
      </c>
      <c r="I3338" t="inlineStr">
        <is>
          <t>彩妆</t>
        </is>
      </c>
      <c r="J3338" t="inlineStr">
        <is>
          <t>0.00</t>
        </is>
      </c>
      <c r="K3338"/>
      <c r="L3338" t="inlineStr">
        <is>
          <t>Girlcult构奇旗舰店</t>
        </is>
      </c>
      <c r="M3338">
        <v>193000</v>
      </c>
      <c r="N3338">
        <v>4.76</v>
      </c>
      <c r="O3338">
        <v>816000</v>
      </c>
      <c r="P3338" t="inlineStr">
        <is>
          <t>62de7368c5d890000118bf8a</t>
        </is>
      </c>
      <c r="Q3338" t="inlineStr">
        <is>
          <t>🚫重复</t>
        </is>
      </c>
      <c r="R3338" t="inlineStr">
        <is>
          <t>14周</t>
        </is>
      </c>
      <c r="S3338" t="inlineStr">
        <is>
          <t>1.17</t>
        </is>
      </c>
      <c r="T3338" t="inlineStr">
        <is>
          <t>美妆个护</t>
        </is>
      </c>
      <c r="U3338" t="inlineStr">
        <is>
          <t>护肤彩妆</t>
        </is>
      </c>
      <c r="V3338" s="3">
        <v>46112.78107638889</v>
      </c>
      <c r="W3338" t="inlineStr">
        <is>
          <t>2026-Q1</t>
        </is>
      </c>
    </row>
    <row r="3339" ht="25.5" customHeight="1">
      <c r="A3339" t="inlineStr">
        <is>
          <t>HOLD LIVE · 小粉框九色眼影盘大地粉色珠哑光学生平价腮红纯欲眼影</t>
        </is>
      </c>
      <c r="B3339" t="inlineStr">
        <is>
          <t>recvfenb18NSmM.jpg</t>
        </is>
      </c>
      <c r="C3339" s="2" t="str">
        <f>=HYPERLINK("https://xhslink.com/m/9eZBspSVo7F", "https://xhslink.com/m/9eZBspSVo7F")</f>
        <v>https://xhslink.com/m/9eZBspSVo7F</v>
      </c>
      <c r="D3339"/>
      <c r="E3339">
        <v>36000</v>
      </c>
      <c r="F3339">
        <v>29</v>
      </c>
      <c r="G3339"/>
      <c r="H3339">
        <v>100</v>
      </c>
      <c r="I3339" t="inlineStr">
        <is>
          <t>彩妆</t>
        </is>
      </c>
      <c r="J3339" t="inlineStr">
        <is>
          <t>0.00</t>
        </is>
      </c>
      <c r="K3339"/>
      <c r="L3339" t="inlineStr">
        <is>
          <t>Holdlive旗舰店</t>
        </is>
      </c>
      <c r="M3339">
        <v>354000</v>
      </c>
      <c r="N3339">
        <v>4.68</v>
      </c>
      <c r="O3339">
        <v>537000</v>
      </c>
      <c r="P3339" t="inlineStr">
        <is>
          <t>6690f0545bcbdc00010b7557</t>
        </is>
      </c>
      <c r="Q3339" t="inlineStr">
        <is>
          <t>🚫重复</t>
        </is>
      </c>
      <c r="R3339" t="inlineStr">
        <is>
          <t>14周</t>
        </is>
      </c>
      <c r="S3339" t="inlineStr">
        <is>
          <t>0.10</t>
        </is>
      </c>
      <c r="T3339" t="inlineStr">
        <is>
          <t>美妆个护</t>
        </is>
      </c>
      <c r="U3339" t="inlineStr">
        <is>
          <t>护肤彩妆</t>
        </is>
      </c>
      <c r="V3339" s="3">
        <v>46112.78107638889</v>
      </c>
      <c r="W3339" t="inlineStr">
        <is>
          <t>2026-Q1</t>
        </is>
      </c>
    </row>
    <row r="3340" ht="25.5" customHeight="1">
      <c r="A3340" t="inlineStr">
        <is>
          <t>ins创意香菇番茄抱枕客厅沙发靠垫房间装饰摆件床上背靠垫飘窗垫</t>
        </is>
      </c>
      <c r="B3340" t="inlineStr">
        <is>
          <t>recvfenb18WBRs.jpg</t>
        </is>
      </c>
      <c r="C3340" s="2" t="str">
        <f>=HYPERLINK("https://xhslink.com/m/8UkBIFo8Ies", "https://xhslink.com/m/8UkBIFo8Ies")</f>
        <v>https://xhslink.com/m/8UkBIFo8Ies</v>
      </c>
      <c r="D3340"/>
      <c r="E3340">
        <v>65000</v>
      </c>
      <c r="F3340">
        <v>56.3</v>
      </c>
      <c r="G3340">
        <v>18.9</v>
      </c>
      <c r="H3340">
        <v>100</v>
      </c>
      <c r="I3340" t="inlineStr">
        <is>
          <t>床头装饰</t>
        </is>
      </c>
      <c r="J3340" t="inlineStr">
        <is>
          <t>0.00</t>
        </is>
      </c>
      <c r="K3340" t="inlineStr">
        <is>
          <t>🔥低粉爆款</t>
        </is>
      </c>
      <c r="L3340" t="inlineStr">
        <is>
          <t>nice聚优阁的店</t>
        </is>
      </c>
      <c r="M3340">
        <v>17000</v>
      </c>
      <c r="N3340">
        <v>4.59</v>
      </c>
      <c r="O3340">
        <v>346000</v>
      </c>
      <c r="P3340" t="inlineStr">
        <is>
          <t>66dd8e8c9e30eb00011eb15a</t>
        </is>
      </c>
      <c r="Q3340" t="inlineStr">
        <is>
          <t>🚫重复</t>
        </is>
      </c>
      <c r="R3340" t="inlineStr">
        <is>
          <t>14周</t>
        </is>
      </c>
      <c r="S3340" t="inlineStr">
        <is>
          <t>3.82</t>
        </is>
      </c>
      <c r="T3340" t="inlineStr">
        <is>
          <t>家居生活</t>
        </is>
      </c>
      <c r="U3340" t="inlineStr">
        <is>
          <t>家具家装</t>
        </is>
      </c>
      <c r="V3340" s="3">
        <v>46112.78107638889</v>
      </c>
      <c r="W3340" t="inlineStr">
        <is>
          <t>2026-Q1</t>
        </is>
      </c>
    </row>
    <row r="3341" ht="25.5" customHeight="1">
      <c r="A3341" t="inlineStr">
        <is>
          <t>STILL【蘑菇小夜灯】创意卧室床头灯香薰蜡烛烛台送生日礼物礼品</t>
        </is>
      </c>
      <c r="B3341" t="inlineStr">
        <is>
          <t>recvfenb18N90G.jpg</t>
        </is>
      </c>
      <c r="C3341" s="2" t="str">
        <f>=HYPERLINK("https://xhslink.com/m/Al7sZYeLpNn", "https://xhslink.com/m/Al7sZYeLpNn")</f>
        <v>https://xhslink.com/m/Al7sZYeLpNn</v>
      </c>
      <c r="D3341"/>
      <c r="E3341">
        <v>58000</v>
      </c>
      <c r="F3341">
        <v>29</v>
      </c>
      <c r="G3341">
        <v>25.52</v>
      </c>
      <c r="H3341">
        <v>100</v>
      </c>
      <c r="I3341" t="inlineStr">
        <is>
          <t>床头装饰</t>
        </is>
      </c>
      <c r="J3341" t="inlineStr">
        <is>
          <t>0.00</t>
        </is>
      </c>
      <c r="K3341"/>
      <c r="L3341" t="inlineStr">
        <is>
          <t>still far的店</t>
        </is>
      </c>
      <c r="M3341">
        <v>43000</v>
      </c>
      <c r="N3341">
        <v>4.73</v>
      </c>
      <c r="O3341">
        <v>328000</v>
      </c>
      <c r="P3341" t="inlineStr">
        <is>
          <t>65f91d4cfcf75d000150afa0</t>
        </is>
      </c>
      <c r="Q3341" t="inlineStr">
        <is>
          <t>🚫重复</t>
        </is>
      </c>
      <c r="R3341" t="inlineStr">
        <is>
          <t>14周</t>
        </is>
      </c>
      <c r="S3341" t="inlineStr">
        <is>
          <t>1.35</t>
        </is>
      </c>
      <c r="T3341" t="inlineStr">
        <is>
          <t>家居生活</t>
        </is>
      </c>
      <c r="U3341" t="inlineStr">
        <is>
          <t>家居日用</t>
        </is>
      </c>
      <c r="V3341" s="3">
        <v>46112.78107638889</v>
      </c>
      <c r="W3341" t="inlineStr">
        <is>
          <t>2026-Q1</t>
        </is>
      </c>
    </row>
    <row r="3342" ht="25.5" customHeight="1">
      <c r="A3342" t="inlineStr">
        <is>
          <t>床头靠背加厚奶油雪球靠垫·推荐宿舍/出租屋硬床头~炒鸡舒服！</t>
        </is>
      </c>
      <c r="B3342" t="inlineStr">
        <is>
          <t>recvfenb18K1pa.jpg</t>
        </is>
      </c>
      <c r="C3342" s="2" t="str">
        <f>=HYPERLINK("https://xhslink.com/m/6DfqFKXL0B1", "https://xhslink.com/m/6DfqFKXL0B1")</f>
        <v>https://xhslink.com/m/6DfqFKXL0B1</v>
      </c>
      <c r="D3342"/>
      <c r="E3342">
        <v>7359</v>
      </c>
      <c r="F3342">
        <v>128.5</v>
      </c>
      <c r="G3342">
        <v>89.9</v>
      </c>
      <c r="H3342">
        <v>100</v>
      </c>
      <c r="I3342" t="inlineStr">
        <is>
          <t>床头装饰</t>
        </is>
      </c>
      <c r="J3342" t="inlineStr">
        <is>
          <t>0.01</t>
        </is>
      </c>
      <c r="K3342"/>
      <c r="L3342" t="inlineStr">
        <is>
          <t>乱卖床品的博怀的店</t>
        </is>
      </c>
      <c r="M3342">
        <v>2858</v>
      </c>
      <c r="N3342">
        <v>4.59</v>
      </c>
      <c r="O3342">
        <v>10000</v>
      </c>
      <c r="P3342" t="inlineStr">
        <is>
          <t>68340f63de92b50001dc370b</t>
        </is>
      </c>
      <c r="Q3342" t="inlineStr">
        <is>
          <t>🚫重复</t>
        </is>
      </c>
      <c r="R3342" t="inlineStr">
        <is>
          <t>14周</t>
        </is>
      </c>
      <c r="S3342" t="inlineStr">
        <is>
          <t>2.57</t>
        </is>
      </c>
      <c r="T3342" t="inlineStr">
        <is>
          <t>家居生活</t>
        </is>
      </c>
      <c r="U3342" t="inlineStr">
        <is>
          <t>家具家装</t>
        </is>
      </c>
      <c r="V3342" s="3">
        <v>46112.78107638889</v>
      </c>
      <c r="W3342" t="inlineStr">
        <is>
          <t>2026-Q1</t>
        </is>
      </c>
    </row>
    <row r="3343" ht="25.5" customHeight="1">
      <c r="A3343" t="inlineStr">
        <is>
          <t>虫虫战队 · 【40%呋虫胺】专业灭蟑螂药跳蚤药 家用客卧厨房卫生间窝端杀虫剂</t>
        </is>
      </c>
      <c r="B3343" t="inlineStr">
        <is>
          <t>recvfenb182ttc.jpg</t>
        </is>
      </c>
      <c r="C3343" s="2" t="str">
        <f>=HYPERLINK("https://xhslink.com/m/6zbXT5daRUz", "https://xhslink.com/m/6zbXT5daRUz")</f>
        <v>https://xhslink.com/m/6zbXT5daRUz</v>
      </c>
      <c r="D3343"/>
      <c r="E3343">
        <v>83000</v>
      </c>
      <c r="F3343">
        <v>39.5</v>
      </c>
      <c r="G3343"/>
      <c r="H3343">
        <v>100</v>
      </c>
      <c r="I3343" t="inlineStr">
        <is>
          <t>浴室用品</t>
        </is>
      </c>
      <c r="J3343" t="inlineStr">
        <is>
          <t>0.00</t>
        </is>
      </c>
      <c r="K3343" t="inlineStr">
        <is>
          <t>🔥低粉爆款</t>
        </is>
      </c>
      <c r="L3343" t="inlineStr">
        <is>
          <t>虫虫战队旗舰店</t>
        </is>
      </c>
      <c r="M3343">
        <v>13000</v>
      </c>
      <c r="N3343">
        <v>4.67</v>
      </c>
      <c r="O3343">
        <v>345000</v>
      </c>
      <c r="P3343" t="inlineStr">
        <is>
          <t>6886d8a74daa710001d267dd</t>
        </is>
      </c>
      <c r="Q3343" t="inlineStr">
        <is>
          <t>🚫重复</t>
        </is>
      </c>
      <c r="R3343" t="inlineStr">
        <is>
          <t>14周</t>
        </is>
      </c>
      <c r="S3343" t="inlineStr">
        <is>
          <t>6.38</t>
        </is>
      </c>
      <c r="T3343" t="inlineStr">
        <is>
          <t>家居生活</t>
        </is>
      </c>
      <c r="U3343" t="inlineStr">
        <is>
          <t>厨房餐饮</t>
        </is>
      </c>
      <c r="V3343" s="3">
        <v>46112.78107638889</v>
      </c>
      <c r="W3343" t="inlineStr">
        <is>
          <t>2026-Q1</t>
        </is>
      </c>
    </row>
    <row r="3344" ht="25.5" customHeight="1">
      <c r="A3344" t="inlineStr">
        <is>
          <t>七七家 · 浴室地垫卫生间吸水垫厕所门口防滑垫子脚垫洗手间进门垫速干地毯</t>
        </is>
      </c>
      <c r="B3344" t="inlineStr">
        <is>
          <t>recvfenb18K4P1.jpg</t>
        </is>
      </c>
      <c r="C3344" s="2" t="str">
        <f>=HYPERLINK("https://xhslink.com/m/9cISKtVIwvE", "https://xhslink.com/m/9cISKtVIwvE")</f>
        <v>https://xhslink.com/m/9cISKtVIwvE</v>
      </c>
      <c r="D3344"/>
      <c r="E3344">
        <v>15000</v>
      </c>
      <c r="F3344">
        <v>27.05</v>
      </c>
      <c r="G3344">
        <v>26.05</v>
      </c>
      <c r="H3344">
        <v>100</v>
      </c>
      <c r="I3344" t="inlineStr">
        <is>
          <t>浴室用品</t>
        </is>
      </c>
      <c r="J3344" t="inlineStr">
        <is>
          <t>0.01</t>
        </is>
      </c>
      <c r="K3344" t="inlineStr">
        <is>
          <t>🔥低粉爆款</t>
        </is>
      </c>
      <c r="L3344" t="inlineStr">
        <is>
          <t>七七家旗舰店</t>
        </is>
      </c>
      <c r="M3344">
        <v>3893</v>
      </c>
      <c r="N3344">
        <v>4.48</v>
      </c>
      <c r="O3344">
        <v>28000</v>
      </c>
      <c r="P3344" t="inlineStr">
        <is>
          <t>66b2e549b263710001190578</t>
        </is>
      </c>
      <c r="Q3344" t="inlineStr">
        <is>
          <t>🚫重复</t>
        </is>
      </c>
      <c r="R3344" t="inlineStr">
        <is>
          <t>14周</t>
        </is>
      </c>
      <c r="S3344" t="inlineStr">
        <is>
          <t>3.85</t>
        </is>
      </c>
      <c r="T3344" t="inlineStr">
        <is>
          <t>家居生活</t>
        </is>
      </c>
      <c r="U3344" t="inlineStr">
        <is>
          <t>家居日用</t>
        </is>
      </c>
      <c r="V3344" s="3">
        <v>46112.78107638889</v>
      </c>
      <c r="W3344" t="inlineStr">
        <is>
          <t>2026-Q1</t>
        </is>
      </c>
    </row>
    <row r="3345" ht="25.5" customHeight="1">
      <c r="A3345" t="inlineStr">
        <is>
          <t>妍峻洁 · 刮水扫把家用硅胶地刮玻璃刮魔术地刮浴室地板刮水神器魔术拖把</t>
        </is>
      </c>
      <c r="B3345" t="inlineStr">
        <is>
          <t>recvfenb18TY20.jpg</t>
        </is>
      </c>
      <c r="C3345" s="2" t="str">
        <f>=HYPERLINK("https://xhslink.com/m/9NRH7hy9RoN", "https://xhslink.com/m/9NRH7hy9RoN")</f>
        <v>https://xhslink.com/m/9NRH7hy9RoN</v>
      </c>
      <c r="D3345"/>
      <c r="E3345">
        <v>96000</v>
      </c>
      <c r="F3345">
        <v>35.8</v>
      </c>
      <c r="G3345"/>
      <c r="H3345">
        <v>100</v>
      </c>
      <c r="I3345" t="inlineStr">
        <is>
          <t>浴室用品</t>
        </is>
      </c>
      <c r="J3345" t="inlineStr">
        <is>
          <t>0.00</t>
        </is>
      </c>
      <c r="K3345"/>
      <c r="L3345" t="inlineStr">
        <is>
          <t>郭阿姨（90后保洁）的店</t>
        </is>
      </c>
      <c r="M3345">
        <v>345000</v>
      </c>
      <c r="N3345">
        <v>4.62</v>
      </c>
      <c r="O3345">
        <v>202000</v>
      </c>
      <c r="P3345" t="inlineStr">
        <is>
          <t>66821929d52fff00010a8e4b</t>
        </is>
      </c>
      <c r="Q3345"/>
      <c r="R3345" t="inlineStr">
        <is>
          <t>14周</t>
        </is>
      </c>
      <c r="S3345" t="inlineStr">
        <is>
          <t>0.28</t>
        </is>
      </c>
      <c r="T3345" t="inlineStr">
        <is>
          <t>家居生活</t>
        </is>
      </c>
      <c r="U3345" t="inlineStr">
        <is>
          <t>家居日用</t>
        </is>
      </c>
      <c r="V3345" s="3">
        <v>46112.78107638889</v>
      </c>
      <c r="W3345" t="inlineStr">
        <is>
          <t>2026-Q1</t>
        </is>
      </c>
    </row>
    <row r="3346" ht="25.5" customHeight="1">
      <c r="A3346" t="inlineStr">
        <is>
          <t>植护 · 【4大包】纸巾抽纸批发整箱抽取式面巾纸大包家用装纸巾卫生纸擦</t>
        </is>
      </c>
      <c r="B3346" t="inlineStr">
        <is>
          <t>recvfenb182Uag.jpg</t>
        </is>
      </c>
      <c r="C3346" s="2" t="str">
        <f>=HYPERLINK("https://xhslink.com/m/2gWICAABKdY", "https://xhslink.com/m/2gWICAABKdY")</f>
        <v>https://xhslink.com/m/2gWICAABKdY</v>
      </c>
      <c r="D3346"/>
      <c r="E3346">
        <v>22000</v>
      </c>
      <c r="F3346">
        <v>36.9</v>
      </c>
      <c r="G3346">
        <v>26.9</v>
      </c>
      <c r="H3346">
        <v>100</v>
      </c>
      <c r="I3346" t="inlineStr">
        <is>
          <t>浴室用品</t>
        </is>
      </c>
      <c r="J3346" t="inlineStr">
        <is>
          <t>0.00</t>
        </is>
      </c>
      <c r="K3346" t="inlineStr">
        <is>
          <t>🔥低粉爆款</t>
        </is>
      </c>
      <c r="L3346" t="inlineStr">
        <is>
          <t>植护家居旗舰店</t>
        </is>
      </c>
      <c r="M3346">
        <v>1996</v>
      </c>
      <c r="N3346">
        <v>4.42</v>
      </c>
      <c r="O3346">
        <v>117000</v>
      </c>
      <c r="P3346" t="inlineStr">
        <is>
          <t>69ae426307adea0001b37f12</t>
        </is>
      </c>
      <c r="Q3346"/>
      <c r="R3346" t="inlineStr">
        <is>
          <t>14周</t>
        </is>
      </c>
      <c r="S3346" t="inlineStr">
        <is>
          <t>11.02</t>
        </is>
      </c>
      <c r="T3346" t="inlineStr">
        <is>
          <t>家居生活</t>
        </is>
      </c>
      <c r="U3346" t="inlineStr">
        <is>
          <t>家居日用</t>
        </is>
      </c>
      <c r="V3346" s="3">
        <v>46112.78107638889</v>
      </c>
      <c r="W3346" t="inlineStr">
        <is>
          <t>2026-Q1</t>
        </is>
      </c>
    </row>
    <row r="3347" ht="25.5" customHeight="1">
      <c r="A3347" t="inlineStr">
        <is>
          <t>抱富枣暴富枣幸福枣独立装 血糯米红枣夹夏威夷果仁零食幸福枣</t>
        </is>
      </c>
      <c r="B3347" t="inlineStr">
        <is>
          <t>recvfenb18Holb.jpg</t>
        </is>
      </c>
      <c r="C3347" s="2" t="str">
        <f>=HYPERLINK("https://xhslink.com/m/9Q1ZLdWC3uO", "https://xhslink.com/m/9Q1ZLdWC3uO")</f>
        <v>https://xhslink.com/m/9Q1ZLdWC3uO</v>
      </c>
      <c r="D3347"/>
      <c r="E3347">
        <v>51000</v>
      </c>
      <c r="F3347">
        <v>56.9</v>
      </c>
      <c r="G3347">
        <v>32.9</v>
      </c>
      <c r="H3347">
        <v>100</v>
      </c>
      <c r="I3347" t="inlineStr">
        <is>
          <t>坚果果干</t>
        </is>
      </c>
      <c r="J3347" t="inlineStr">
        <is>
          <t>0.00</t>
        </is>
      </c>
      <c r="K3347" t="inlineStr">
        <is>
          <t>🔥低粉爆款</t>
        </is>
      </c>
      <c r="L3347" t="inlineStr">
        <is>
          <t>果不理的店</t>
        </is>
      </c>
      <c r="M3347">
        <v>1365</v>
      </c>
      <c r="N3347">
        <v>4.51</v>
      </c>
      <c r="O3347">
        <v>126000</v>
      </c>
      <c r="P3347" t="inlineStr">
        <is>
          <t>673de760064fc5000153fd4c</t>
        </is>
      </c>
      <c r="Q3347"/>
      <c r="R3347" t="inlineStr">
        <is>
          <t>14周</t>
        </is>
      </c>
      <c r="S3347" t="inlineStr">
        <is>
          <t>37.36</t>
        </is>
      </c>
      <c r="T3347" t="inlineStr">
        <is>
          <t>美食滋补</t>
        </is>
      </c>
      <c r="U3347" t="inlineStr">
        <is>
          <t>休闲零食</t>
        </is>
      </c>
      <c r="V3347" s="3">
        <v>46112.78107638889</v>
      </c>
      <c r="W3347" t="inlineStr">
        <is>
          <t>2026-Q1</t>
        </is>
      </c>
    </row>
    <row r="3348" ht="25.5" customHeight="1">
      <c r="A3348" t="inlineStr">
        <is>
          <t>开袋即食零食冰烤蜜薯紫薯大学生减脂期代餐轻食健康早餐速食推荐</t>
        </is>
      </c>
      <c r="B3348" t="inlineStr">
        <is>
          <t>recvfenb18S4wT.jpg</t>
        </is>
      </c>
      <c r="C3348" s="2" t="str">
        <f>=HYPERLINK("https://xhslink.com/m/4ndr5OPguYX", "https://xhslink.com/m/4ndr5OPguYX")</f>
        <v>https://xhslink.com/m/4ndr5OPguYX</v>
      </c>
      <c r="D3348"/>
      <c r="E3348">
        <v>30000</v>
      </c>
      <c r="F3348">
        <v>35.8</v>
      </c>
      <c r="G3348">
        <v>25.8</v>
      </c>
      <c r="H3348">
        <v>100</v>
      </c>
      <c r="I3348" t="inlineStr">
        <is>
          <t>坚果果干</t>
        </is>
      </c>
      <c r="J3348" t="inlineStr">
        <is>
          <t>0.00</t>
        </is>
      </c>
      <c r="K3348" t="inlineStr">
        <is>
          <t>🔥低粉爆款</t>
        </is>
      </c>
      <c r="L3348" t="inlineStr">
        <is>
          <t>麦味零食坊的店</t>
        </is>
      </c>
      <c r="M3348">
        <v>6042</v>
      </c>
      <c r="N3348">
        <v>4.77</v>
      </c>
      <c r="O3348">
        <v>135000</v>
      </c>
      <c r="P3348" t="inlineStr">
        <is>
          <t>670bc03d4cd28900014f106d</t>
        </is>
      </c>
      <c r="Q3348" t="inlineStr">
        <is>
          <t>🚫重复</t>
        </is>
      </c>
      <c r="R3348" t="inlineStr">
        <is>
          <t>14周</t>
        </is>
      </c>
      <c r="S3348" t="inlineStr">
        <is>
          <t>4.97</t>
        </is>
      </c>
      <c r="T3348" t="inlineStr">
        <is>
          <t>美食滋补</t>
        </is>
      </c>
      <c r="U3348" t="inlineStr">
        <is>
          <t>休闲零食</t>
        </is>
      </c>
      <c r="V3348" s="3">
        <v>46112.78107638889</v>
      </c>
      <c r="W3348" t="inlineStr">
        <is>
          <t>2026-Q1</t>
        </is>
      </c>
    </row>
    <row r="3349" ht="25.5" customHeight="1">
      <c r="A3349" t="inlineStr">
        <is>
          <t>正宗红瑶地瓜干原味红薯干不加糖软糯香甜无添加儿童孕妇健康零食</t>
        </is>
      </c>
      <c r="B3349" t="inlineStr">
        <is>
          <t>recvfenb18RjPr.jpg</t>
        </is>
      </c>
      <c r="C3349" s="2" t="str">
        <f>=HYPERLINK("https://xhslink.com/m/1tZVdhvQMsr", "https://xhslink.com/m/1tZVdhvQMsr")</f>
        <v>https://xhslink.com/m/1tZVdhvQMsr</v>
      </c>
      <c r="D3349"/>
      <c r="E3349">
        <v>64000</v>
      </c>
      <c r="F3349">
        <v>58.9</v>
      </c>
      <c r="G3349">
        <v>32.9</v>
      </c>
      <c r="H3349">
        <v>100</v>
      </c>
      <c r="I3349" t="inlineStr">
        <is>
          <t>坚果果干</t>
        </is>
      </c>
      <c r="J3349" t="inlineStr">
        <is>
          <t>0.00</t>
        </is>
      </c>
      <c r="K3349"/>
      <c r="L3349" t="inlineStr">
        <is>
          <t>小新糯叽叽的店</t>
        </is>
      </c>
      <c r="M3349">
        <v>27000</v>
      </c>
      <c r="N3349">
        <v>4.59</v>
      </c>
      <c r="O3349">
        <v>705000</v>
      </c>
      <c r="P3349" t="inlineStr">
        <is>
          <t>672059bf534325000173f169</t>
        </is>
      </c>
      <c r="Q3349" t="inlineStr">
        <is>
          <t>🚫重复</t>
        </is>
      </c>
      <c r="R3349" t="inlineStr">
        <is>
          <t>14周</t>
        </is>
      </c>
      <c r="S3349" t="inlineStr">
        <is>
          <t>2.37</t>
        </is>
      </c>
      <c r="T3349" t="inlineStr">
        <is>
          <t>美食滋补</t>
        </is>
      </c>
      <c r="U3349" t="inlineStr">
        <is>
          <t>休闲零食</t>
        </is>
      </c>
      <c r="V3349" s="3">
        <v>46112.78107638889</v>
      </c>
      <c r="W3349" t="inlineStr">
        <is>
          <t>2026-Q1</t>
        </is>
      </c>
    </row>
    <row r="3350" ht="25.5" customHeight="1">
      <c r="A3350" t="inlineStr">
        <is>
          <t>宁德古田芙蓉李干 不另外加糖原味健康果干 解腻孕妇零嘴怕酸慎拍</t>
        </is>
      </c>
      <c r="B3350" t="inlineStr">
        <is>
          <t>recvfenb18r6hM.jpg</t>
        </is>
      </c>
      <c r="C3350" s="2" t="str">
        <f>=HYPERLINK("https://xhslink.com/m/9eeouZHIdDG", "https://xhslink.com/m/9eeouZHIdDG")</f>
        <v>https://xhslink.com/m/9eeouZHIdDG</v>
      </c>
      <c r="D3350"/>
      <c r="E3350">
        <v>24000</v>
      </c>
      <c r="F3350">
        <v>46.8</v>
      </c>
      <c r="G3350"/>
      <c r="H3350">
        <v>100</v>
      </c>
      <c r="I3350" t="inlineStr">
        <is>
          <t>坚果果干</t>
        </is>
      </c>
      <c r="J3350" t="inlineStr">
        <is>
          <t>0.00</t>
        </is>
      </c>
      <c r="K3350"/>
      <c r="L3350" t="inlineStr">
        <is>
          <t>古田阿妹的店</t>
        </is>
      </c>
      <c r="M3350">
        <v>10000</v>
      </c>
      <c r="N3350">
        <v>4.33</v>
      </c>
      <c r="O3350">
        <v>44000</v>
      </c>
      <c r="P3350" t="inlineStr">
        <is>
          <t>673b07b210448500013eeac2</t>
        </is>
      </c>
      <c r="Q3350"/>
      <c r="R3350" t="inlineStr">
        <is>
          <t>14周</t>
        </is>
      </c>
      <c r="S3350" t="inlineStr">
        <is>
          <t>2.40</t>
        </is>
      </c>
      <c r="T3350" t="inlineStr">
        <is>
          <t>美食滋补</t>
        </is>
      </c>
      <c r="U3350" t="inlineStr">
        <is>
          <t>休闲零食</t>
        </is>
      </c>
      <c r="V3350" s="3">
        <v>46112.78107638889</v>
      </c>
      <c r="W3350" t="inlineStr">
        <is>
          <t>2026-Q1</t>
        </is>
      </c>
    </row>
    <row r="3351" ht="25.5" customHeight="1">
      <c r="A3351" t="inlineStr">
        <is>
          <t>香美客苏打饼干解馋鱿鱼芝士酥脆健康酥脆零食四口味</t>
        </is>
      </c>
      <c r="B3351" t="inlineStr">
        <is>
          <t>recvfenb18XD4H.jpg</t>
        </is>
      </c>
      <c r="C3351" s="2" t="str">
        <f>=HYPERLINK("https://xhslink.com/m/qAro1siWYx", "https://xhslink.com/m/qAro1siWYx")</f>
        <v>https://xhslink.com/m/qAro1siWYx</v>
      </c>
      <c r="D3351"/>
      <c r="E3351">
        <v>92000</v>
      </c>
      <c r="F3351">
        <v>29.9</v>
      </c>
      <c r="G3351">
        <v>9.9</v>
      </c>
      <c r="H3351">
        <v>100</v>
      </c>
      <c r="I3351" t="inlineStr">
        <is>
          <t>饼干膨化</t>
        </is>
      </c>
      <c r="J3351" t="inlineStr">
        <is>
          <t>0.00</t>
        </is>
      </c>
      <c r="K3351" t="inlineStr">
        <is>
          <t>🔥低粉爆款</t>
        </is>
      </c>
      <c r="L3351" t="inlineStr">
        <is>
          <t>仙启坊i的店</t>
        </is>
      </c>
      <c r="M3351">
        <v>316</v>
      </c>
      <c r="N3351">
        <v>4.33</v>
      </c>
      <c r="O3351">
        <v>114000</v>
      </c>
      <c r="P3351" t="inlineStr">
        <is>
          <t>687f2725e019f2000188fdd7</t>
        </is>
      </c>
      <c r="Q3351" t="inlineStr">
        <is>
          <t>🚫重复</t>
        </is>
      </c>
      <c r="R3351" t="inlineStr">
        <is>
          <t>14周</t>
        </is>
      </c>
      <c r="S3351" t="inlineStr">
        <is>
          <t>291.14</t>
        </is>
      </c>
      <c r="T3351" t="inlineStr">
        <is>
          <t>美食滋补</t>
        </is>
      </c>
      <c r="U3351" t="inlineStr">
        <is>
          <t>休闲零食</t>
        </is>
      </c>
      <c r="V3351" s="3">
        <v>46112.78107638889</v>
      </c>
      <c r="W3351" t="inlineStr">
        <is>
          <t>2026-Q1</t>
        </is>
      </c>
    </row>
    <row r="3352" ht="25.5" customHeight="1">
      <c r="A3352" t="inlineStr">
        <is>
          <t>臻江味 · 【特惠装】小王子·爆浆手工蛋卷 港式饼干开学好吃礼物零食</t>
        </is>
      </c>
      <c r="B3352" t="inlineStr">
        <is>
          <t>recvfenb18n1D4.jpg</t>
        </is>
      </c>
      <c r="C3352" s="2" t="str">
        <f>=HYPERLINK("https://xhslink.com/m/6Co1swUxxv4", "https://xhslink.com/m/6Co1swUxxv4")</f>
        <v>https://xhslink.com/m/6Co1swUxxv4</v>
      </c>
      <c r="D3352"/>
      <c r="E3352">
        <v>191000</v>
      </c>
      <c r="F3352">
        <v>45.9</v>
      </c>
      <c r="G3352">
        <v>33.9</v>
      </c>
      <c r="H3352">
        <v>100</v>
      </c>
      <c r="I3352" t="inlineStr">
        <is>
          <t>饼干膨化</t>
        </is>
      </c>
      <c r="J3352" t="inlineStr">
        <is>
          <t>0.00</t>
        </is>
      </c>
      <c r="K3352" t="inlineStr">
        <is>
          <t>🔥低粉爆款</t>
        </is>
      </c>
      <c r="L3352" t="inlineStr">
        <is>
          <t>臻江味臻选零食的店</t>
        </is>
      </c>
      <c r="M3352">
        <v>60000</v>
      </c>
      <c r="N3352">
        <v>4.6</v>
      </c>
      <c r="O3352">
        <v>818000</v>
      </c>
      <c r="P3352" t="inlineStr">
        <is>
          <t>653677141a2b6f0001db02ce</t>
        </is>
      </c>
      <c r="Q3352"/>
      <c r="R3352" t="inlineStr">
        <is>
          <t>14周</t>
        </is>
      </c>
      <c r="S3352" t="inlineStr">
        <is>
          <t>3.18</t>
        </is>
      </c>
      <c r="T3352" t="inlineStr">
        <is>
          <t>美食滋补</t>
        </is>
      </c>
      <c r="U3352" t="inlineStr">
        <is>
          <t>休闲零食</t>
        </is>
      </c>
      <c r="V3352" s="3">
        <v>46112.78107638889</v>
      </c>
      <c r="W3352" t="inlineStr">
        <is>
          <t>2026-Q1</t>
        </is>
      </c>
    </row>
    <row r="3353" ht="25.5" customHeight="1">
      <c r="A3353" t="inlineStr">
        <is>
          <t>啵啵奶酥拉丝曲奇巧克力饼干芒果草莓蔓越莓牛轧夹心解馋零食</t>
        </is>
      </c>
      <c r="B3353" t="inlineStr">
        <is>
          <t>recvfenb18ilLC.jpg</t>
        </is>
      </c>
      <c r="C3353" s="2" t="str">
        <f>=HYPERLINK("https://xhslink.com/m/3WlTiLanSNP", "https://xhslink.com/m/3WlTiLanSNP")</f>
        <v>https://xhslink.com/m/3WlTiLanSNP</v>
      </c>
      <c r="D3353"/>
      <c r="E3353">
        <v>55000</v>
      </c>
      <c r="F3353">
        <v>16.98</v>
      </c>
      <c r="G3353">
        <v>6.98</v>
      </c>
      <c r="H3353">
        <v>100</v>
      </c>
      <c r="I3353" t="inlineStr">
        <is>
          <t>饼干膨化</t>
        </is>
      </c>
      <c r="J3353" t="inlineStr">
        <is>
          <t>0.00</t>
        </is>
      </c>
      <c r="K3353" t="inlineStr">
        <is>
          <t>🔥低粉爆款</t>
        </is>
      </c>
      <c r="L3353" t="inlineStr">
        <is>
          <t>馋饱饱零食铺的店</t>
        </is>
      </c>
      <c r="M3353">
        <v>2438</v>
      </c>
      <c r="N3353">
        <v>4.43</v>
      </c>
      <c r="O3353">
        <v>61000</v>
      </c>
      <c r="P3353" t="inlineStr">
        <is>
          <t>6909abdbb96b160001a9aad4</t>
        </is>
      </c>
      <c r="Q3353" t="inlineStr">
        <is>
          <t>🚫重复</t>
        </is>
      </c>
      <c r="R3353" t="inlineStr">
        <is>
          <t>14周</t>
        </is>
      </c>
      <c r="S3353" t="inlineStr">
        <is>
          <t>22.56</t>
        </is>
      </c>
      <c r="T3353" t="inlineStr">
        <is>
          <t>美食滋补</t>
        </is>
      </c>
      <c r="U3353" t="inlineStr">
        <is>
          <t>休闲零食</t>
        </is>
      </c>
      <c r="V3353" s="3">
        <v>46112.78107638889</v>
      </c>
      <c r="W3353" t="inlineStr">
        <is>
          <t>2026-Q1</t>
        </is>
      </c>
    </row>
    <row r="3354" ht="25.5" customHeight="1">
      <c r="A3354" t="inlineStr">
        <is>
          <t>【前1000单9.9】【养雌茶】·种子循环茨养茶</t>
        </is>
      </c>
      <c r="B3354" t="inlineStr">
        <is>
          <t>recvfenb18TsJy.jpg</t>
        </is>
      </c>
      <c r="C3354" s="2" t="str">
        <f>=HYPERLINK("https://xhslink.com/m/1nc6F5JjxG0", "https://xhslink.com/m/1nc6F5JjxG0")</f>
        <v>https://xhslink.com/m/1nc6F5JjxG0</v>
      </c>
      <c r="D3354"/>
      <c r="E3354">
        <v>43000</v>
      </c>
      <c r="F3354">
        <v>39.9</v>
      </c>
      <c r="G3354">
        <v>19.9</v>
      </c>
      <c r="H3354">
        <v>100</v>
      </c>
      <c r="I3354" t="inlineStr">
        <is>
          <t>养生茶</t>
        </is>
      </c>
      <c r="J3354" t="inlineStr">
        <is>
          <t>0.00</t>
        </is>
      </c>
      <c r="K3354" t="inlineStr">
        <is>
          <t>🔥低粉爆款</t>
        </is>
      </c>
      <c r="L3354" t="inlineStr">
        <is>
          <t>开方小茶铺的店</t>
        </is>
      </c>
      <c r="M3354">
        <v>257</v>
      </c>
      <c r="N3354">
        <v>4.48</v>
      </c>
      <c r="O3354">
        <v>45000</v>
      </c>
      <c r="P3354" t="inlineStr">
        <is>
          <t>67b14d307b3de400017f8df6</t>
        </is>
      </c>
      <c r="Q3354"/>
      <c r="R3354" t="inlineStr">
        <is>
          <t>14周</t>
        </is>
      </c>
      <c r="S3354" t="inlineStr">
        <is>
          <t>167.32</t>
        </is>
      </c>
      <c r="T3354" t="inlineStr">
        <is>
          <t>美食滋补</t>
        </is>
      </c>
      <c r="U3354" t="inlineStr">
        <is>
          <t>酒水冲饮</t>
        </is>
      </c>
      <c r="V3354" s="3">
        <v>46112.78107638889</v>
      </c>
      <c r="W3354" t="inlineStr">
        <is>
          <t>2026-Q1</t>
        </is>
      </c>
    </row>
    <row r="3355" ht="25.5" customHeight="1">
      <c r="A3355" t="inlineStr">
        <is>
          <t>【玉竹清润饮】春夏干燥·清润顺口·玉竹雪梨麦冬百合茯苓养生茶水</t>
        </is>
      </c>
      <c r="B3355" t="inlineStr">
        <is>
          <t>recvfenb18Jta6.jpg</t>
        </is>
      </c>
      <c r="C3355" s="2" t="str">
        <f>=HYPERLINK("https://xhslink.com/m/7U2wxRryIt3", "https://xhslink.com/m/7U2wxRryIt3")</f>
        <v>https://xhslink.com/m/7U2wxRryIt3</v>
      </c>
      <c r="D3355"/>
      <c r="E3355">
        <v>22000</v>
      </c>
      <c r="F3355">
        <v>89.8</v>
      </c>
      <c r="G3355">
        <v>69.8</v>
      </c>
      <c r="H3355">
        <v>100</v>
      </c>
      <c r="I3355" t="inlineStr">
        <is>
          <t>养生茶</t>
        </is>
      </c>
      <c r="J3355" t="inlineStr">
        <is>
          <t>0.00</t>
        </is>
      </c>
      <c r="K3355" t="inlineStr">
        <is>
          <t>🔥低粉爆款</t>
        </is>
      </c>
      <c r="L3355" t="inlineStr">
        <is>
          <t>四时轻养的店</t>
        </is>
      </c>
      <c r="M3355">
        <v>269</v>
      </c>
      <c r="N3355">
        <v>4.62</v>
      </c>
      <c r="O3355">
        <v>24000</v>
      </c>
      <c r="P3355" t="inlineStr">
        <is>
          <t>68bc37258f53130001aef4b2</t>
        </is>
      </c>
      <c r="Q3355"/>
      <c r="R3355" t="inlineStr">
        <is>
          <t>14周</t>
        </is>
      </c>
      <c r="S3355" t="inlineStr">
        <is>
          <t>81.78</t>
        </is>
      </c>
      <c r="T3355" t="inlineStr">
        <is>
          <t>美食滋补</t>
        </is>
      </c>
      <c r="U3355" t="inlineStr">
        <is>
          <t>酒水冲饮</t>
        </is>
      </c>
      <c r="V3355" s="3">
        <v>46112.78107638889</v>
      </c>
      <c r="W3355" t="inlineStr">
        <is>
          <t>2026-Q1</t>
        </is>
      </c>
    </row>
    <row r="3356" ht="25.5" customHeight="1">
      <c r="A3356" t="inlineStr">
        <is>
          <t>【茶四喜原创】高配版养雌茶 | 助力内在平衡 呵护女性小房子</t>
        </is>
      </c>
      <c r="B3356" t="inlineStr">
        <is>
          <t>recvfenb18XC5i.jpg</t>
        </is>
      </c>
      <c r="C3356" s="2" t="str">
        <f>=HYPERLINK("https://xhslink.com/m/3XMHoNvo7Ii", "https://xhslink.com/m/3XMHoNvo7Ii")</f>
        <v>https://xhslink.com/m/3XMHoNvo7Ii</v>
      </c>
      <c r="D3356"/>
      <c r="E3356">
        <v>53000</v>
      </c>
      <c r="F3356">
        <v>33.97</v>
      </c>
      <c r="G3356">
        <v>29.89</v>
      </c>
      <c r="H3356">
        <v>100</v>
      </c>
      <c r="I3356" t="inlineStr">
        <is>
          <t>养生茶</t>
        </is>
      </c>
      <c r="J3356" t="inlineStr">
        <is>
          <t>0.00</t>
        </is>
      </c>
      <c r="K3356" t="inlineStr">
        <is>
          <t>🔥低粉爆款</t>
        </is>
      </c>
      <c r="L3356" t="inlineStr">
        <is>
          <t>茶四喜的店</t>
        </is>
      </c>
      <c r="M3356">
        <v>4274</v>
      </c>
      <c r="N3356">
        <v>4.56</v>
      </c>
      <c r="O3356">
        <v>119000</v>
      </c>
      <c r="P3356" t="inlineStr">
        <is>
          <t>67fcfcb92a334f0001123b87</t>
        </is>
      </c>
      <c r="Q3356"/>
      <c r="R3356" t="inlineStr">
        <is>
          <t>14周</t>
        </is>
      </c>
      <c r="S3356" t="inlineStr">
        <is>
          <t>12.40</t>
        </is>
      </c>
      <c r="T3356" t="inlineStr">
        <is>
          <t>美食滋补</t>
        </is>
      </c>
      <c r="U3356" t="inlineStr">
        <is>
          <t>酒水冲饮</t>
        </is>
      </c>
      <c r="V3356" s="3">
        <v>46112.78107638889</v>
      </c>
      <c r="W3356" t="inlineStr">
        <is>
          <t>2026-Q1</t>
        </is>
      </c>
    </row>
    <row r="3357" ht="25.5" customHeight="1">
      <c r="A3357" t="inlineStr">
        <is>
          <t>阿梨奶奶·蒲公英金桔轻颜茶金桔甘草金银花降伙去豆内調养生茶</t>
        </is>
      </c>
      <c r="B3357" t="inlineStr">
        <is>
          <t>recvfenb18Gsu2.jpg</t>
        </is>
      </c>
      <c r="C3357" s="2" t="str">
        <f>=HYPERLINK("https://xhslink.com/m/98I2nEKA0XY", "https://xhslink.com/m/98I2nEKA0XY")</f>
        <v>https://xhslink.com/m/98I2nEKA0XY</v>
      </c>
      <c r="D3357"/>
      <c r="E3357">
        <v>46000</v>
      </c>
      <c r="F3357">
        <v>99.9</v>
      </c>
      <c r="G3357">
        <v>39.9</v>
      </c>
      <c r="H3357">
        <v>100</v>
      </c>
      <c r="I3357" t="inlineStr">
        <is>
          <t>养生茶</t>
        </is>
      </c>
      <c r="J3357" t="inlineStr">
        <is>
          <t>0.00</t>
        </is>
      </c>
      <c r="K3357" t="inlineStr">
        <is>
          <t>🔥低粉爆款</t>
        </is>
      </c>
      <c r="L3357" t="inlineStr">
        <is>
          <t>阿梨奶奶的店</t>
        </is>
      </c>
      <c r="M3357">
        <v>827</v>
      </c>
      <c r="N3357">
        <v>4.56</v>
      </c>
      <c r="O3357">
        <v>51000</v>
      </c>
      <c r="P3357" t="inlineStr">
        <is>
          <t>680dd1e5ba99fa0001ef5b71</t>
        </is>
      </c>
      <c r="Q3357" t="inlineStr">
        <is>
          <t>🚫重复</t>
        </is>
      </c>
      <c r="R3357" t="inlineStr">
        <is>
          <t>14周</t>
        </is>
      </c>
      <c r="S3357" t="inlineStr">
        <is>
          <t>55.62</t>
        </is>
      </c>
      <c r="T3357" t="inlineStr">
        <is>
          <t>美食滋补</t>
        </is>
      </c>
      <c r="U3357" t="inlineStr">
        <is>
          <t>酒水冲饮</t>
        </is>
      </c>
      <c r="V3357" s="3">
        <v>46112.78107638889</v>
      </c>
      <c r="W3357" t="inlineStr">
        <is>
          <t>2026-Q1</t>
        </is>
      </c>
    </row>
    <row r="3358" ht="25.5" customHeight="1">
      <c r="A3358" t="inlineStr">
        <is>
          <t>茯湿 赤小豆薏米芡实茯苓茶 蒸晒炒三重工艺 免熬煮 红豆薏米茶</t>
        </is>
      </c>
      <c r="B3358" t="inlineStr">
        <is>
          <t>recvfenb18wM2h.jpg</t>
        </is>
      </c>
      <c r="C3358" s="2" t="str">
        <f>=HYPERLINK("https://xhslink.com/m/2pcBbHCxwgI", "https://xhslink.com/m/2pcBbHCxwgI")</f>
        <v>https://xhslink.com/m/2pcBbHCxwgI</v>
      </c>
      <c r="D3358"/>
      <c r="E3358">
        <v>172000</v>
      </c>
      <c r="F3358">
        <v>45.9</v>
      </c>
      <c r="G3358">
        <v>15.9</v>
      </c>
      <c r="H3358">
        <v>100</v>
      </c>
      <c r="I3358" t="inlineStr">
        <is>
          <t>红豆薏米茶</t>
        </is>
      </c>
      <c r="J3358" t="inlineStr">
        <is>
          <t>0.00</t>
        </is>
      </c>
      <c r="K3358" t="inlineStr">
        <is>
          <t>🔥低粉爆款</t>
        </is>
      </c>
      <c r="L3358" t="inlineStr">
        <is>
          <t>怡璐食养日记的店</t>
        </is>
      </c>
      <c r="M3358">
        <v>1484</v>
      </c>
      <c r="N3358">
        <v>4.54</v>
      </c>
      <c r="O3358">
        <v>176000</v>
      </c>
      <c r="P3358" t="inlineStr">
        <is>
          <t>671f75b288d33b0001417343</t>
        </is>
      </c>
      <c r="Q3358"/>
      <c r="R3358" t="inlineStr">
        <is>
          <t>14周</t>
        </is>
      </c>
      <c r="S3358" t="inlineStr">
        <is>
          <t>115.90</t>
        </is>
      </c>
      <c r="T3358" t="inlineStr">
        <is>
          <t>美食滋补</t>
        </is>
      </c>
      <c r="U3358" t="inlineStr">
        <is>
          <t>酒水冲饮</t>
        </is>
      </c>
      <c r="V3358" s="3">
        <v>46112.78107638889</v>
      </c>
      <c r="W3358" t="inlineStr">
        <is>
          <t>2026-Q1</t>
        </is>
      </c>
    </row>
    <row r="3359" ht="25.5" customHeight="1">
      <c r="A3359" t="inlineStr">
        <is>
          <t>茯湿 赤小豆薏米芡实茯苓茶 红豆薏米茶 免熬煮 蒸晒炒熟薏米茶</t>
        </is>
      </c>
      <c r="B3359" t="inlineStr">
        <is>
          <t>recvfenb184IBf.jpg</t>
        </is>
      </c>
      <c r="C3359" s="2" t="str">
        <f>=HYPERLINK("https://xhslink.com/m/5mtmT4wwTKX", "https://xhslink.com/m/5mtmT4wwTKX")</f>
        <v>https://xhslink.com/m/5mtmT4wwTKX</v>
      </c>
      <c r="D3359"/>
      <c r="E3359">
        <v>29000</v>
      </c>
      <c r="F3359">
        <v>79.8</v>
      </c>
      <c r="G3359">
        <v>29.9</v>
      </c>
      <c r="H3359">
        <v>100</v>
      </c>
      <c r="I3359" t="inlineStr">
        <is>
          <t>红豆薏米茶</t>
        </is>
      </c>
      <c r="J3359" t="inlineStr">
        <is>
          <t>0.00</t>
        </is>
      </c>
      <c r="K3359" t="inlineStr">
        <is>
          <t>🔥低粉爆款</t>
        </is>
      </c>
      <c r="L3359" t="inlineStr">
        <is>
          <t>兮茶记的店</t>
        </is>
      </c>
      <c r="M3359">
        <v>161</v>
      </c>
      <c r="N3359">
        <v>4.59</v>
      </c>
      <c r="O3359">
        <v>29000</v>
      </c>
      <c r="P3359" t="inlineStr">
        <is>
          <t>67a488bcf4d6570001b7ff60</t>
        </is>
      </c>
      <c r="Q3359"/>
      <c r="R3359" t="inlineStr">
        <is>
          <t>14周</t>
        </is>
      </c>
      <c r="S3359" t="inlineStr">
        <is>
          <t>180.12</t>
        </is>
      </c>
      <c r="T3359" t="inlineStr">
        <is>
          <t>美食滋补</t>
        </is>
      </c>
      <c r="U3359" t="inlineStr">
        <is>
          <t>酒水冲饮</t>
        </is>
      </c>
      <c r="V3359" s="3">
        <v>46112.78107638889</v>
      </c>
      <c r="W3359" t="inlineStr">
        <is>
          <t>2026-Q1</t>
        </is>
      </c>
    </row>
    <row r="3360" ht="25.5" customHeight="1">
      <c r="A3360" t="inlineStr">
        <is>
          <t>SOUL BEAN树本 · 【送奶泡器】冻干颗粒香醇速溶阿拉比卡运动黑咖啡美式2g*15</t>
        </is>
      </c>
      <c r="B3360" t="inlineStr">
        <is>
          <t>recvfenb18iQAk.jpg</t>
        </is>
      </c>
      <c r="C3360" s="2" t="str">
        <f>=HYPERLINK("https://xhslink.com/m/473j73xXFS5", "https://xhslink.com/m/473j73xXFS5")</f>
        <v>https://xhslink.com/m/473j73xXFS5</v>
      </c>
      <c r="D3360"/>
      <c r="E3360">
        <v>24000</v>
      </c>
      <c r="F3360">
        <v>29.9</v>
      </c>
      <c r="G3360">
        <v>18.9</v>
      </c>
      <c r="H3360">
        <v>100</v>
      </c>
      <c r="I3360" t="inlineStr">
        <is>
          <t>冻干咖啡</t>
        </is>
      </c>
      <c r="J3360" t="inlineStr">
        <is>
          <t>0.00</t>
        </is>
      </c>
      <c r="K3360" t="inlineStr">
        <is>
          <t>🔥低粉爆款</t>
        </is>
      </c>
      <c r="L3360" t="inlineStr">
        <is>
          <t>SOUL BEAN树本咖啡旗舰店</t>
        </is>
      </c>
      <c r="M3360">
        <v>3223</v>
      </c>
      <c r="N3360">
        <v>4.59</v>
      </c>
      <c r="O3360">
        <v>44000</v>
      </c>
      <c r="P3360" t="inlineStr">
        <is>
          <t>68db2fe7ce94ee0001ef1fff</t>
        </is>
      </c>
      <c r="Q3360"/>
      <c r="R3360" t="inlineStr">
        <is>
          <t>14周</t>
        </is>
      </c>
      <c r="S3360" t="inlineStr">
        <is>
          <t>7.45</t>
        </is>
      </c>
      <c r="T3360" t="inlineStr">
        <is>
          <t>美食滋补</t>
        </is>
      </c>
      <c r="U3360" t="inlineStr">
        <is>
          <t>酒水冲饮</t>
        </is>
      </c>
      <c r="V3360" s="3">
        <v>46112.78107638889</v>
      </c>
      <c r="W3360" t="inlineStr">
        <is>
          <t>2026-Q1</t>
        </is>
      </c>
    </row>
    <row r="3361" ht="25.5" customHeight="1">
      <c r="A3361" t="inlineStr">
        <is>
          <t>鲨鱼菲特 · 黑咖啡冷萃冻干黑咖啡0脂0蔗糖速溶咖啡粉纯黑美式罐装</t>
        </is>
      </c>
      <c r="B3361" t="inlineStr">
        <is>
          <t>recvfenb18LrdE.jpg</t>
        </is>
      </c>
      <c r="C3361" s="2" t="str">
        <f>=HYPERLINK("https://xhslink.com/m/6WrRTF42BLi", "https://xhslink.com/m/6WrRTF42BLi")</f>
        <v>https://xhslink.com/m/6WrRTF42BLi</v>
      </c>
      <c r="D3361"/>
      <c r="E3361">
        <v>2087</v>
      </c>
      <c r="F3361">
        <v>99.9</v>
      </c>
      <c r="G3361"/>
      <c r="H3361">
        <v>100</v>
      </c>
      <c r="I3361" t="inlineStr">
        <is>
          <t>冻干咖啡</t>
        </is>
      </c>
      <c r="J3361" t="inlineStr">
        <is>
          <t>0.05</t>
        </is>
      </c>
      <c r="K3361"/>
      <c r="L3361" t="inlineStr">
        <is>
          <t>鲨鱼菲特咖啡旗舰店</t>
        </is>
      </c>
      <c r="M3361">
        <v>18000</v>
      </c>
      <c r="N3361">
        <v>4.57</v>
      </c>
      <c r="O3361">
        <v>19000</v>
      </c>
      <c r="P3361" t="inlineStr">
        <is>
          <t>699ff6c976da220001ba39be</t>
        </is>
      </c>
      <c r="Q3361"/>
      <c r="R3361" t="inlineStr">
        <is>
          <t>14周</t>
        </is>
      </c>
      <c r="S3361" t="inlineStr">
        <is>
          <t>0.12</t>
        </is>
      </c>
      <c r="T3361" t="inlineStr">
        <is>
          <t>美食滋补</t>
        </is>
      </c>
      <c r="U3361" t="inlineStr">
        <is>
          <t>酒水冲饮</t>
        </is>
      </c>
      <c r="V3361" s="3">
        <v>46112.78107638889</v>
      </c>
      <c r="W3361" t="inlineStr">
        <is>
          <t>2026-Q1</t>
        </is>
      </c>
    </row>
    <row r="3362" ht="25.5" customHeight="1">
      <c r="A3362" t="inlineStr">
        <is>
          <t>汐谷轻岚 · 纯黑巧克力无蔗糖饱腹感进口纯可可脂液块烘焙原料健身零食学生</t>
        </is>
      </c>
      <c r="B3362" t="inlineStr">
        <is>
          <t>recvfenb18fdKn.jpg</t>
        </is>
      </c>
      <c r="C3362" s="2" t="str">
        <f>=HYPERLINK("https://xhslink.com/m/8ezfGHRsJRe", "https://xhslink.com/m/8ezfGHRsJRe")</f>
        <v>https://xhslink.com/m/8ezfGHRsJRe</v>
      </c>
      <c r="D3362"/>
      <c r="E3362">
        <v>86000</v>
      </c>
      <c r="F3362">
        <v>39.9</v>
      </c>
      <c r="G3362"/>
      <c r="H3362">
        <v>100</v>
      </c>
      <c r="I3362" t="inlineStr">
        <is>
          <t>低脂零食</t>
        </is>
      </c>
      <c r="J3362" t="inlineStr">
        <is>
          <t>0.00</t>
        </is>
      </c>
      <c r="K3362" t="inlineStr">
        <is>
          <t>🔥低粉爆款</t>
        </is>
      </c>
      <c r="L3362" t="inlineStr">
        <is>
          <t>铭铭好吃宝的店</t>
        </is>
      </c>
      <c r="M3362">
        <v>10000</v>
      </c>
      <c r="N3362">
        <v>4.66</v>
      </c>
      <c r="O3362">
        <v>91000</v>
      </c>
      <c r="P3362" t="inlineStr">
        <is>
          <t>673be0b8bf5b2400013b6a11</t>
        </is>
      </c>
      <c r="Q3362" t="inlineStr">
        <is>
          <t>🚫重复</t>
        </is>
      </c>
      <c r="R3362" t="inlineStr">
        <is>
          <t>14周</t>
        </is>
      </c>
      <c r="S3362" t="inlineStr">
        <is>
          <t>8.60</t>
        </is>
      </c>
      <c r="T3362" t="inlineStr">
        <is>
          <t>美食滋补</t>
        </is>
      </c>
      <c r="U3362" t="inlineStr">
        <is>
          <t>休闲零食</t>
        </is>
      </c>
      <c r="V3362" s="3">
        <v>46112.78107638889</v>
      </c>
      <c r="W3362" t="inlineStr">
        <is>
          <t>2026-Q1</t>
        </is>
      </c>
    </row>
    <row r="3363" ht="25.5" customHeight="1">
      <c r="A3363" t="inlineStr">
        <is>
          <t>Oarmilk吾岛酸奶无蔗糖希腊酸奶420g中桶多口味低温特浓0蔗糖酸奶</t>
        </is>
      </c>
      <c r="B3363" t="inlineStr">
        <is>
          <t>recvfenb18dwpS.jpg</t>
        </is>
      </c>
      <c r="C3363" s="2" t="str">
        <f>=HYPERLINK("https://xhslink.com/m/7JLM0MKfuZS", "https://xhslink.com/m/7JLM0MKfuZS")</f>
        <v>https://xhslink.com/m/7JLM0MKfuZS</v>
      </c>
      <c r="D3363"/>
      <c r="E3363">
        <v>12000</v>
      </c>
      <c r="F3363">
        <v>24</v>
      </c>
      <c r="G3363">
        <v>14</v>
      </c>
      <c r="H3363">
        <v>100</v>
      </c>
      <c r="I3363" t="inlineStr">
        <is>
          <t>低脂零食</t>
        </is>
      </c>
      <c r="J3363" t="inlineStr">
        <is>
          <t>0.01</t>
        </is>
      </c>
      <c r="K3363" t="inlineStr">
        <is>
          <t>🔥低粉爆款</t>
        </is>
      </c>
      <c r="L3363" t="inlineStr">
        <is>
          <t>新鲜美食的店</t>
        </is>
      </c>
      <c r="M3363">
        <v>476</v>
      </c>
      <c r="N3363">
        <v>4.3</v>
      </c>
      <c r="O3363">
        <v>23000</v>
      </c>
      <c r="P3363" t="inlineStr">
        <is>
          <t>68930b1eeab7930001a78563</t>
        </is>
      </c>
      <c r="Q3363" t="inlineStr">
        <is>
          <t>🚫重复</t>
        </is>
      </c>
      <c r="R3363" t="inlineStr">
        <is>
          <t>14周</t>
        </is>
      </c>
      <c r="S3363" t="inlineStr">
        <is>
          <t>25.21</t>
        </is>
      </c>
      <c r="T3363" t="inlineStr">
        <is>
          <t>美食滋补</t>
        </is>
      </c>
      <c r="U3363" t="inlineStr">
        <is>
          <t>休闲零食</t>
        </is>
      </c>
      <c r="V3363" s="3">
        <v>46112.78107638889</v>
      </c>
      <c r="W3363" t="inlineStr">
        <is>
          <t>2026-Q1</t>
        </is>
      </c>
    </row>
    <row r="3364" ht="25.5" customHeight="1">
      <c r="A3364" t="inlineStr">
        <is>
          <t>【高蛋白】生巧坚果燕麦脆黑巧克力燕麦饼干轻食代餐健康零食</t>
        </is>
      </c>
      <c r="B3364" t="inlineStr">
        <is>
          <t>recvfenb18oJ4Q.jpg</t>
        </is>
      </c>
      <c r="C3364" s="2" t="str">
        <f>=HYPERLINK("https://xhslink.com/m/4vnX18OhoNj", "https://xhslink.com/m/4vnX18OhoNj")</f>
        <v>https://xhslink.com/m/4vnX18OhoNj</v>
      </c>
      <c r="D3364"/>
      <c r="E3364">
        <v>30000</v>
      </c>
      <c r="F3364">
        <v>36.9</v>
      </c>
      <c r="G3364">
        <v>16.8</v>
      </c>
      <c r="H3364">
        <v>100</v>
      </c>
      <c r="I3364" t="inlineStr">
        <is>
          <t>低脂零食</t>
        </is>
      </c>
      <c r="J3364" t="inlineStr">
        <is>
          <t>0.00</t>
        </is>
      </c>
      <c r="K3364" t="inlineStr">
        <is>
          <t>🔥低粉爆款</t>
        </is>
      </c>
      <c r="L3364" t="inlineStr">
        <is>
          <t>小新饿胖了的店</t>
        </is>
      </c>
      <c r="M3364">
        <v>246</v>
      </c>
      <c r="N3364">
        <v>4.47</v>
      </c>
      <c r="O3364">
        <v>33000</v>
      </c>
      <c r="P3364" t="inlineStr">
        <is>
          <t>68f5f3f604ab1900016dc340</t>
        </is>
      </c>
      <c r="Q3364" t="inlineStr">
        <is>
          <t>🚫重复</t>
        </is>
      </c>
      <c r="R3364" t="inlineStr">
        <is>
          <t>14周</t>
        </is>
      </c>
      <c r="S3364" t="inlineStr">
        <is>
          <t>121.95</t>
        </is>
      </c>
      <c r="T3364" t="inlineStr">
        <is>
          <t>美食滋补</t>
        </is>
      </c>
      <c r="U3364" t="inlineStr">
        <is>
          <t>休闲零食</t>
        </is>
      </c>
      <c r="V3364" s="3">
        <v>46112.78107638889</v>
      </c>
      <c r="W3364" t="inlineStr">
        <is>
          <t>2026-Q1</t>
        </is>
      </c>
    </row>
    <row r="3365" ht="25.5" customHeight="1">
      <c r="A3365" t="inlineStr">
        <is>
          <t>懒.全麦五黑紫薯养生米糕代餐饱腹低卡脂无蔗糖早八宿舍早餐解馋</t>
        </is>
      </c>
      <c r="B3365" t="inlineStr">
        <is>
          <t>recvfenb1892vk.jpg</t>
        </is>
      </c>
      <c r="C3365" s="2" t="str">
        <f>=HYPERLINK("https://xhslink.com/m/6QS8j4WSqSJ", "https://xhslink.com/m/6QS8j4WSqSJ")</f>
        <v>https://xhslink.com/m/6QS8j4WSqSJ</v>
      </c>
      <c r="D3365"/>
      <c r="E3365">
        <v>49000</v>
      </c>
      <c r="F3365">
        <v>23.9</v>
      </c>
      <c r="G3365">
        <v>13.9</v>
      </c>
      <c r="H3365">
        <v>100</v>
      </c>
      <c r="I3365" t="inlineStr">
        <is>
          <t>低脂零食</t>
        </is>
      </c>
      <c r="J3365" t="inlineStr">
        <is>
          <t>0.00</t>
        </is>
      </c>
      <c r="K3365" t="inlineStr">
        <is>
          <t>🔥低粉爆款</t>
        </is>
      </c>
      <c r="L3365" t="inlineStr">
        <is>
          <t>木子姐姐食语的店</t>
        </is>
      </c>
      <c r="M3365">
        <v>10000</v>
      </c>
      <c r="N3365">
        <v>4.38</v>
      </c>
      <c r="O3365">
        <v>156000</v>
      </c>
      <c r="P3365" t="inlineStr">
        <is>
          <t>69436f1bc3ae5b0001750003</t>
        </is>
      </c>
      <c r="Q3365" t="inlineStr">
        <is>
          <t>🚫重复</t>
        </is>
      </c>
      <c r="R3365" t="inlineStr">
        <is>
          <t>14周</t>
        </is>
      </c>
      <c r="S3365" t="inlineStr">
        <is>
          <t>4.90</t>
        </is>
      </c>
      <c r="T3365" t="inlineStr">
        <is>
          <t>美食滋补</t>
        </is>
      </c>
      <c r="U3365" t="inlineStr">
        <is>
          <t>休闲零食</t>
        </is>
      </c>
      <c r="V3365" s="3">
        <v>46112.78107638889</v>
      </c>
      <c r="W3365" t="inlineStr">
        <is>
          <t>2026-Q1</t>
        </is>
      </c>
    </row>
    <row r="3366" ht="25.5" customHeight="1">
      <c r="A3366" t="inlineStr">
        <is>
          <t>薄脆鸡肉片鸡肉干0防腐色素鸡胸肉脆片健身追剧解馋减脂期小零食</t>
        </is>
      </c>
      <c r="B3366" t="inlineStr">
        <is>
          <t>recvfenb180Bh3.jpg</t>
        </is>
      </c>
      <c r="C3366" s="2" t="str">
        <f>=HYPERLINK("https://xhslink.com/m/5gQfu0x6oBS", "https://xhslink.com/m/5gQfu0x6oBS")</f>
        <v>https://xhslink.com/m/5gQfu0x6oBS</v>
      </c>
      <c r="D3366"/>
      <c r="E3366">
        <v>26000</v>
      </c>
      <c r="F3366">
        <v>59.9</v>
      </c>
      <c r="G3366">
        <v>35.9</v>
      </c>
      <c r="H3366">
        <v>100</v>
      </c>
      <c r="I3366" t="inlineStr">
        <is>
          <t>低脂零食</t>
        </is>
      </c>
      <c r="J3366" t="inlineStr">
        <is>
          <t>0.00</t>
        </is>
      </c>
      <c r="K3366" t="inlineStr">
        <is>
          <t>🔥低粉爆款</t>
        </is>
      </c>
      <c r="L3366" t="inlineStr">
        <is>
          <t>阿赞哥食品工厂的店</t>
        </is>
      </c>
      <c r="M3366">
        <v>1958</v>
      </c>
      <c r="N3366">
        <v>4.43</v>
      </c>
      <c r="O3366">
        <v>46000</v>
      </c>
      <c r="P3366" t="inlineStr">
        <is>
          <t>67e100279800e50001be4527</t>
        </is>
      </c>
      <c r="Q3366" t="inlineStr">
        <is>
          <t>🚫重复</t>
        </is>
      </c>
      <c r="R3366" t="inlineStr">
        <is>
          <t>14周</t>
        </is>
      </c>
      <c r="S3366" t="inlineStr">
        <is>
          <t>13.28</t>
        </is>
      </c>
      <c r="T3366" t="inlineStr">
        <is>
          <t>美食滋补</t>
        </is>
      </c>
      <c r="U3366" t="inlineStr">
        <is>
          <t>休闲零食</t>
        </is>
      </c>
      <c r="V3366" s="3">
        <v>46112.78107638889</v>
      </c>
      <c r="W3366" t="inlineStr">
        <is>
          <t>2026-Q1</t>
        </is>
      </c>
    </row>
    <row r="3367" ht="25.5" customHeight="1">
      <c r="A3367" t="inlineStr">
        <is>
          <t>【低盐版】炭烤手工牛肉干 瘦多有肥边儿～（冷冻储存）</t>
        </is>
      </c>
      <c r="B3367" t="inlineStr">
        <is>
          <t>recvfenb18c2zx.jpg</t>
        </is>
      </c>
      <c r="C3367" s="2" t="str">
        <f>=HYPERLINK("https://xhslink.com/m/6pJkNuesgiY", "https://xhslink.com/m/6pJkNuesgiY")</f>
        <v>https://xhslink.com/m/6pJkNuesgiY</v>
      </c>
      <c r="D3367"/>
      <c r="E3367">
        <v>2591</v>
      </c>
      <c r="F3367">
        <v>48</v>
      </c>
      <c r="G3367"/>
      <c r="H3367">
        <v>100</v>
      </c>
      <c r="I3367" t="inlineStr">
        <is>
          <t>低脂零食</t>
        </is>
      </c>
      <c r="J3367" t="inlineStr">
        <is>
          <t>0.04</t>
        </is>
      </c>
      <c r="K3367"/>
      <c r="L3367" t="inlineStr">
        <is>
          <t>侯玥儿儿儿～的店</t>
        </is>
      </c>
      <c r="M3367">
        <v>31000</v>
      </c>
      <c r="N3367">
        <v>4.66</v>
      </c>
      <c r="O3367">
        <v>231000</v>
      </c>
      <c r="P3367" t="inlineStr">
        <is>
          <t>69885463eb0d9a00015c9fac</t>
        </is>
      </c>
      <c r="Q3367" t="inlineStr">
        <is>
          <t>🚫重复</t>
        </is>
      </c>
      <c r="R3367" t="inlineStr">
        <is>
          <t>14周</t>
        </is>
      </c>
      <c r="S3367" t="inlineStr">
        <is>
          <t>0.08</t>
        </is>
      </c>
      <c r="T3367" t="inlineStr">
        <is>
          <t>美食滋补</t>
        </is>
      </c>
      <c r="U3367" t="inlineStr">
        <is>
          <t>休闲零食</t>
        </is>
      </c>
      <c r="V3367" s="3">
        <v>46112.78107638889</v>
      </c>
      <c r="W3367" t="inlineStr">
        <is>
          <t>2026-Q1</t>
        </is>
      </c>
    </row>
    <row r="3368" ht="25.5" customHeight="1">
      <c r="A3368" t="inlineStr">
        <is>
          <t>【有运费补贴】26年新款春夏新款白色U领短袖T恤夏季薄款舒适上衣</t>
        </is>
      </c>
      <c r="B3368" t="inlineStr">
        <is>
          <t>recvfenb18HXA5.jpg</t>
        </is>
      </c>
      <c r="C3368" s="2" t="str">
        <f>=HYPERLINK("https://xhslink.com/m/28Fz5rlQBlu", "https://xhslink.com/m/28Fz5rlQBlu")</f>
        <v>https://xhslink.com/m/28Fz5rlQBlu</v>
      </c>
      <c r="D3368"/>
      <c r="E3368">
        <v>117000</v>
      </c>
      <c r="F3368">
        <v>29.9</v>
      </c>
      <c r="G3368">
        <v>19.9</v>
      </c>
      <c r="H3368">
        <v>100</v>
      </c>
      <c r="I3368" t="inlineStr">
        <is>
          <t>T恤</t>
        </is>
      </c>
      <c r="J3368" t="inlineStr">
        <is>
          <t>0.00</t>
        </is>
      </c>
      <c r="K3368" t="inlineStr">
        <is>
          <t>🔥低粉爆款</t>
        </is>
      </c>
      <c r="L3368" t="inlineStr">
        <is>
          <t>韩圆圆OVO的店</t>
        </is>
      </c>
      <c r="M3368">
        <v>14000</v>
      </c>
      <c r="N3368">
        <v>4.5</v>
      </c>
      <c r="O3368">
        <v>334000</v>
      </c>
      <c r="P3368" t="inlineStr">
        <is>
          <t>664108e1313f5600018ecbf1</t>
        </is>
      </c>
      <c r="Q3368" t="inlineStr">
        <is>
          <t>🚫重复</t>
        </is>
      </c>
      <c r="R3368" t="inlineStr">
        <is>
          <t>14周</t>
        </is>
      </c>
      <c r="S3368" t="inlineStr">
        <is>
          <t>8.36</t>
        </is>
      </c>
      <c r="T3368" t="inlineStr">
        <is>
          <t>服饰穿搭</t>
        </is>
      </c>
      <c r="U3368" t="inlineStr">
        <is>
          <t>女装</t>
        </is>
      </c>
      <c r="V3368" s="3">
        <v>46112.78107638889</v>
      </c>
      <c r="W3368" t="inlineStr">
        <is>
          <t>2026-Q1</t>
        </is>
      </c>
    </row>
    <row r="3369" ht="25.5" customHeight="1">
      <c r="A3369" t="inlineStr">
        <is>
          <t>欧货小衫正肩短袖t恤女2026夏季新款爆款纯棉半袖内搭打底衫ins</t>
        </is>
      </c>
      <c r="B3369" t="inlineStr">
        <is>
          <t>recvfenb18XJaR.jpg</t>
        </is>
      </c>
      <c r="C3369" s="2" t="str">
        <f>=HYPERLINK("https://xhslink.com/m/89GRC0qbLeF", "https://xhslink.com/m/89GRC0qbLeF")</f>
        <v>https://xhslink.com/m/89GRC0qbLeF</v>
      </c>
      <c r="D3369"/>
      <c r="E3369">
        <v>7520</v>
      </c>
      <c r="F3369">
        <v>49.9</v>
      </c>
      <c r="G3369">
        <v>39.9</v>
      </c>
      <c r="H3369">
        <v>100</v>
      </c>
      <c r="I3369" t="inlineStr">
        <is>
          <t>T恤</t>
        </is>
      </c>
      <c r="J3369" t="inlineStr">
        <is>
          <t>0.01</t>
        </is>
      </c>
      <c r="K3369"/>
      <c r="L3369" t="inlineStr">
        <is>
          <t>XIAO桉家原创的店</t>
        </is>
      </c>
      <c r="M3369">
        <v>21000</v>
      </c>
      <c r="N3369">
        <v>4.76</v>
      </c>
      <c r="O3369">
        <v>163000</v>
      </c>
      <c r="P3369" t="inlineStr">
        <is>
          <t>69be75b2ca64b300017ba64d</t>
        </is>
      </c>
      <c r="Q3369" t="inlineStr">
        <is>
          <t>🚫重复</t>
        </is>
      </c>
      <c r="R3369" t="inlineStr">
        <is>
          <t>14周</t>
        </is>
      </c>
      <c r="S3369" t="inlineStr">
        <is>
          <t>0.36</t>
        </is>
      </c>
      <c r="T3369" t="inlineStr">
        <is>
          <t>服饰穿搭</t>
        </is>
      </c>
      <c r="U3369" t="inlineStr">
        <is>
          <t>女装</t>
        </is>
      </c>
      <c r="V3369" s="3">
        <v>46112.78107638889</v>
      </c>
      <c r="W3369" t="inlineStr">
        <is>
          <t>2026-Q1</t>
        </is>
      </c>
    </row>
    <row r="3370" ht="25.5" customHeight="1">
      <c r="A3370" t="inlineStr">
        <is>
          <t>夏季多巴胺日系纯棉短袖t恤女短款修身别致设计感小众百搭上衣</t>
        </is>
      </c>
      <c r="B3370" t="inlineStr">
        <is>
          <t>recvfenb18B6Jf.jpg</t>
        </is>
      </c>
      <c r="C3370" s="2" t="str">
        <f>=HYPERLINK("https://xhslink.com/m/45BEj0zoQ7J", "https://xhslink.com/m/45BEj0zoQ7J")</f>
        <v>https://xhslink.com/m/45BEj0zoQ7J</v>
      </c>
      <c r="D3370"/>
      <c r="E3370">
        <v>3282</v>
      </c>
      <c r="F3370">
        <v>49.8</v>
      </c>
      <c r="G3370">
        <v>39.8</v>
      </c>
      <c r="H3370">
        <v>100</v>
      </c>
      <c r="I3370" t="inlineStr">
        <is>
          <t>T恤</t>
        </is>
      </c>
      <c r="J3370" t="inlineStr">
        <is>
          <t>0.03</t>
        </is>
      </c>
      <c r="K3370"/>
      <c r="L3370" t="inlineStr">
        <is>
          <t>杨听听原创服装的店</t>
        </is>
      </c>
      <c r="M3370">
        <v>1484</v>
      </c>
      <c r="N3370">
        <v>4.48</v>
      </c>
      <c r="O3370">
        <v>19000</v>
      </c>
      <c r="P3370" t="inlineStr">
        <is>
          <t>68466bf20ec1ca00013c308f</t>
        </is>
      </c>
      <c r="Q3370" t="inlineStr">
        <is>
          <t>🚫重复</t>
        </is>
      </c>
      <c r="R3370" t="inlineStr">
        <is>
          <t>14周</t>
        </is>
      </c>
      <c r="S3370" t="inlineStr">
        <is>
          <t>2.21</t>
        </is>
      </c>
      <c r="T3370" t="inlineStr">
        <is>
          <t>服饰穿搭</t>
        </is>
      </c>
      <c r="U3370" t="inlineStr">
        <is>
          <t>女装</t>
        </is>
      </c>
      <c r="V3370" s="3">
        <v>46112.78107638889</v>
      </c>
      <c r="W3370" t="inlineStr">
        <is>
          <t>2026-Q1</t>
        </is>
      </c>
    </row>
    <row r="3371" ht="25.5" customHeight="1">
      <c r="A3371" t="inlineStr">
        <is>
          <t>纯棉短袖T恤女装夏季新款设计感个性纯色潮牌三条杆宽松拼接上衣</t>
        </is>
      </c>
      <c r="B3371" t="inlineStr">
        <is>
          <t>recvfenb18xz9K.jpg</t>
        </is>
      </c>
      <c r="C3371" s="2" t="str">
        <f>=HYPERLINK("https://xhslink.com/m/6owlJ2tY05B", "https://xhslink.com/m/6owlJ2tY05B")</f>
        <v>https://xhslink.com/m/6owlJ2tY05B</v>
      </c>
      <c r="D3371"/>
      <c r="E3371">
        <v>7118</v>
      </c>
      <c r="F3371">
        <v>43.8</v>
      </c>
      <c r="G3371">
        <v>38.8</v>
      </c>
      <c r="H3371">
        <v>100</v>
      </c>
      <c r="I3371" t="inlineStr">
        <is>
          <t>T恤</t>
        </is>
      </c>
      <c r="J3371" t="inlineStr">
        <is>
          <t>0.01</t>
        </is>
      </c>
      <c r="K3371"/>
      <c r="L3371" t="inlineStr">
        <is>
          <t>XIAO詹原创工作室的店</t>
        </is>
      </c>
      <c r="M3371">
        <v>531000</v>
      </c>
      <c r="N3371">
        <v>4.55</v>
      </c>
      <c r="O3371">
        <v>1835000</v>
      </c>
      <c r="P3371" t="inlineStr">
        <is>
          <t>67d953a3bd666b00016411e7</t>
        </is>
      </c>
      <c r="Q3371" t="inlineStr">
        <is>
          <t>🚫重复</t>
        </is>
      </c>
      <c r="R3371" t="inlineStr">
        <is>
          <t>14周</t>
        </is>
      </c>
      <c r="S3371" t="inlineStr">
        <is>
          <t>0.01</t>
        </is>
      </c>
      <c r="T3371" t="inlineStr">
        <is>
          <t>服饰穿搭</t>
        </is>
      </c>
      <c r="U3371" t="inlineStr">
        <is>
          <t>女装</t>
        </is>
      </c>
      <c r="V3371" s="3">
        <v>46112.78107638889</v>
      </c>
      <c r="W3371" t="inlineStr">
        <is>
          <t>2026-Q1</t>
        </is>
      </c>
    </row>
    <row r="3372" ht="25.5" customHeight="1">
      <c r="A3372" t="inlineStr">
        <is>
          <t>infan 纸片人上衣3.0短袖版本4色可选～正肩纯色短袖t恤7862</t>
        </is>
      </c>
      <c r="B3372" t="inlineStr">
        <is>
          <t>recvfenb18W2kc.jpg</t>
        </is>
      </c>
      <c r="C3372" s="2" t="str">
        <f>=HYPERLINK("https://xhslink.com/m/5IPAd0iDgzy", "https://xhslink.com/m/5IPAd0iDgzy")</f>
        <v>https://xhslink.com/m/5IPAd0iDgzy</v>
      </c>
      <c r="D3372"/>
      <c r="E3372">
        <v>20000</v>
      </c>
      <c r="F3372">
        <v>59</v>
      </c>
      <c r="G3372"/>
      <c r="H3372">
        <v>100</v>
      </c>
      <c r="I3372" t="inlineStr">
        <is>
          <t>T恤</t>
        </is>
      </c>
      <c r="J3372" t="inlineStr">
        <is>
          <t>0.01</t>
        </is>
      </c>
      <c r="K3372"/>
      <c r="L3372" t="inlineStr">
        <is>
          <t>infan的店</t>
        </is>
      </c>
      <c r="M3372">
        <v>82000</v>
      </c>
      <c r="N3372">
        <v>4.52</v>
      </c>
      <c r="O3372">
        <v>644000</v>
      </c>
      <c r="P3372" t="inlineStr">
        <is>
          <t>67ed3c42ae4ae000019e5f2b</t>
        </is>
      </c>
      <c r="Q3372" t="inlineStr">
        <is>
          <t>🚫重复</t>
        </is>
      </c>
      <c r="R3372" t="inlineStr">
        <is>
          <t>14周</t>
        </is>
      </c>
      <c r="S3372" t="inlineStr">
        <is>
          <t>0.24</t>
        </is>
      </c>
      <c r="T3372" t="inlineStr">
        <is>
          <t>服饰穿搭</t>
        </is>
      </c>
      <c r="U3372" t="inlineStr">
        <is>
          <t>女装</t>
        </is>
      </c>
      <c r="V3372" s="3">
        <v>46112.78107638889</v>
      </c>
      <c r="W3372" t="inlineStr">
        <is>
          <t>2026-Q1</t>
        </is>
      </c>
    </row>
    <row r="3373" ht="25.5" customHeight="1">
      <c r="A3373" t="inlineStr">
        <is>
          <t>美式高街设计感小众字母印花白灰色短袖T恤女夏季百搭宽松上衣服</t>
        </is>
      </c>
      <c r="B3373" t="inlineStr">
        <is>
          <t>recvfenb18UEwz.jpg</t>
        </is>
      </c>
      <c r="C3373" s="2" t="str">
        <f>=HYPERLINK("https://xhslink.com/m/7EBW83zRMxO", "https://xhslink.com/m/7EBW83zRMxO")</f>
        <v>https://xhslink.com/m/7EBW83zRMxO</v>
      </c>
      <c r="D3373"/>
      <c r="E3373">
        <v>2515</v>
      </c>
      <c r="F3373">
        <v>30.8</v>
      </c>
      <c r="G3373">
        <v>28.8</v>
      </c>
      <c r="H3373">
        <v>100</v>
      </c>
      <c r="I3373" t="inlineStr">
        <is>
          <t>T恤</t>
        </is>
      </c>
      <c r="J3373" t="inlineStr">
        <is>
          <t>0.04</t>
        </is>
      </c>
      <c r="K3373"/>
      <c r="L3373" t="inlineStr">
        <is>
          <t>XIAO詹原创工作室的店</t>
        </is>
      </c>
      <c r="M3373">
        <v>531000</v>
      </c>
      <c r="N3373">
        <v>4.55</v>
      </c>
      <c r="O3373">
        <v>1835000</v>
      </c>
      <c r="P3373" t="inlineStr">
        <is>
          <t>684968b5fab3990001c647ca</t>
        </is>
      </c>
      <c r="Q3373" t="inlineStr">
        <is>
          <t>🚫重复</t>
        </is>
      </c>
      <c r="R3373" t="inlineStr">
        <is>
          <t>14周</t>
        </is>
      </c>
      <c r="S3373" t="inlineStr">
        <is>
          <t>0.00</t>
        </is>
      </c>
      <c r="T3373" t="inlineStr">
        <is>
          <t>服饰穿搭</t>
        </is>
      </c>
      <c r="U3373" t="inlineStr">
        <is>
          <t>女装</t>
        </is>
      </c>
      <c r="V3373" s="3">
        <v>46112.78107638889</v>
      </c>
      <c r="W3373" t="inlineStr">
        <is>
          <t>2026-Q1</t>
        </is>
      </c>
    </row>
    <row r="3374" ht="25.5" customHeight="1">
      <c r="A3374" t="inlineStr">
        <is>
          <t>轻奢体感！恶魔眼！液氨水柔棉 夏季男女同款情侣圆领休闲短袖T恤</t>
        </is>
      </c>
      <c r="B3374" t="inlineStr">
        <is>
          <t>recvfenb18jyDU.jpg</t>
        </is>
      </c>
      <c r="C3374" s="2" t="str">
        <f>=HYPERLINK("https://xhslink.com/m/AMwcy0R4p1O", "https://xhslink.com/m/AMwcy0R4p1O")</f>
        <v>https://xhslink.com/m/AMwcy0R4p1O</v>
      </c>
      <c r="D3374"/>
      <c r="E3374">
        <v>12000</v>
      </c>
      <c r="F3374">
        <v>69</v>
      </c>
      <c r="G3374"/>
      <c r="H3374">
        <v>100</v>
      </c>
      <c r="I3374" t="inlineStr">
        <is>
          <t>T恤</t>
        </is>
      </c>
      <c r="J3374" t="inlineStr">
        <is>
          <t>0.01</t>
        </is>
      </c>
      <c r="K3374"/>
      <c r="L3374" t="inlineStr">
        <is>
          <t>冰川户外严选的店</t>
        </is>
      </c>
      <c r="M3374">
        <v>69000</v>
      </c>
      <c r="N3374">
        <v>4.64</v>
      </c>
      <c r="O3374">
        <v>99000</v>
      </c>
      <c r="P3374" t="inlineStr">
        <is>
          <t>669f38fe14ffa20001397b72</t>
        </is>
      </c>
      <c r="Q3374"/>
      <c r="R3374" t="inlineStr">
        <is>
          <t>14周</t>
        </is>
      </c>
      <c r="S3374" t="inlineStr">
        <is>
          <t>0.17</t>
        </is>
      </c>
      <c r="T3374" t="inlineStr">
        <is>
          <t>服饰穿搭</t>
        </is>
      </c>
      <c r="U3374" t="inlineStr">
        <is>
          <t>女装</t>
        </is>
      </c>
      <c r="V3374" s="3">
        <v>46112.78107638889</v>
      </c>
      <c r="W3374" t="inlineStr">
        <is>
          <t>2026-Q1</t>
        </is>
      </c>
    </row>
    <row r="3375" ht="25.5" customHeight="1">
      <c r="A3375" t="inlineStr">
        <is>
          <t>毛绒可爱左卫门猪猪适用于苹果AirPods可爱无线耳机套</t>
        </is>
      </c>
      <c r="B3375" t="inlineStr">
        <is>
          <t>recvfenb180mvJ.jpg</t>
        </is>
      </c>
      <c r="C3375" s="2" t="str">
        <f>=HYPERLINK("https://xhslink.com/m/9Ch8VjJnu2b", "https://xhslink.com/m/9Ch8VjJnu2b")</f>
        <v>https://xhslink.com/m/9Ch8VjJnu2b</v>
      </c>
      <c r="D3375"/>
      <c r="E3375">
        <v>552</v>
      </c>
      <c r="F3375">
        <v>29.9</v>
      </c>
      <c r="G3375"/>
      <c r="H3375">
        <v>100</v>
      </c>
      <c r="I3375" t="inlineStr">
        <is>
          <t>耳机套</t>
        </is>
      </c>
      <c r="J3375" t="inlineStr">
        <is>
          <t>0.18</t>
        </is>
      </c>
      <c r="K3375"/>
      <c r="L3375" t="inlineStr">
        <is>
          <t>九野星河的店</t>
        </is>
      </c>
      <c r="M3375">
        <v>274</v>
      </c>
      <c r="N3375">
        <v>4.56</v>
      </c>
      <c r="O3375">
        <v>2401</v>
      </c>
      <c r="P3375" t="inlineStr">
        <is>
          <t>69ba0766e6196b000167c80f</t>
        </is>
      </c>
      <c r="Q3375" t="inlineStr">
        <is>
          <t>🚫重复</t>
        </is>
      </c>
      <c r="R3375" t="inlineStr">
        <is>
          <t>14周</t>
        </is>
      </c>
      <c r="S3375" t="inlineStr">
        <is>
          <t>2.01</t>
        </is>
      </c>
      <c r="T3375" t="inlineStr">
        <is>
          <t>数码家电</t>
        </is>
      </c>
      <c r="U3375" t="inlineStr">
        <is>
          <t>数码配件</t>
        </is>
      </c>
      <c r="V3375" s="3">
        <v>46112.78107638889</v>
      </c>
      <c r="W3375" t="inlineStr">
        <is>
          <t>2026-Q1</t>
        </is>
      </c>
    </row>
    <row r="3376" ht="25.5" customHeight="1">
      <c r="A3376" t="inlineStr">
        <is>
          <t>现摘现发！正宗海南金钻凤梨！香甜多汁！海南热带新鲜水果！</t>
        </is>
      </c>
      <c r="B3376" t="inlineStr">
        <is>
          <t>recvfenb18zv6b.jpg</t>
        </is>
      </c>
      <c r="C3376" s="2" t="str">
        <f>=HYPERLINK("https://xhslink.com/m/91AAcpaNhZn", "https://xhslink.com/m/91AAcpaNhZn")</f>
        <v>https://xhslink.com/m/91AAcpaNhZn</v>
      </c>
      <c r="D3376"/>
      <c r="E3376">
        <v>51000</v>
      </c>
      <c r="F3376">
        <v>24.9</v>
      </c>
      <c r="G3376">
        <v>11.9</v>
      </c>
      <c r="H3376">
        <v>100</v>
      </c>
      <c r="I3376" t="inlineStr">
        <is>
          <t>时令水果</t>
        </is>
      </c>
      <c r="J3376" t="inlineStr">
        <is>
          <t>0.00</t>
        </is>
      </c>
      <c r="K3376" t="inlineStr">
        <is>
          <t>🔥低粉爆款</t>
        </is>
      </c>
      <c r="L3376" t="inlineStr">
        <is>
          <t>释迦果果铺的店</t>
        </is>
      </c>
      <c r="M3376">
        <v>139</v>
      </c>
      <c r="N3376">
        <v>4.54</v>
      </c>
      <c r="O3376">
        <v>14000</v>
      </c>
      <c r="P3376" t="inlineStr">
        <is>
          <t>69a925d607adea00012615b3</t>
        </is>
      </c>
      <c r="Q3376"/>
      <c r="R3376" t="inlineStr">
        <is>
          <t>14周</t>
        </is>
      </c>
      <c r="S3376" t="inlineStr">
        <is>
          <t>366.91</t>
        </is>
      </c>
      <c r="T3376" t="inlineStr">
        <is>
          <t>美食滋补</t>
        </is>
      </c>
      <c r="U3376" t="inlineStr">
        <is>
          <t>生鲜特产</t>
        </is>
      </c>
      <c r="V3376" s="3">
        <v>46112.78107638889</v>
      </c>
      <c r="W3376" t="inlineStr">
        <is>
          <t>2026-Q1</t>
        </is>
      </c>
    </row>
    <row r="3377" ht="25.5" customHeight="1">
      <c r="A3377" t="inlineStr">
        <is>
          <t>【花皮果，口感很棒】广西武鸣花皮沃柑当季水果皮薄肉厚爆甜多汁</t>
        </is>
      </c>
      <c r="B3377" t="inlineStr">
        <is>
          <t>recvfenb18FfMR.jpg</t>
        </is>
      </c>
      <c r="C3377" s="2" t="str">
        <f>=HYPERLINK("https://xhslink.com/m/3HVmzbSzKvO", "https://xhslink.com/m/3HVmzbSzKvO")</f>
        <v>https://xhslink.com/m/3HVmzbSzKvO</v>
      </c>
      <c r="D3377"/>
      <c r="E3377">
        <v>118000</v>
      </c>
      <c r="F3377">
        <v>21.8</v>
      </c>
      <c r="G3377">
        <v>15.8</v>
      </c>
      <c r="H3377">
        <v>100</v>
      </c>
      <c r="I3377" t="inlineStr">
        <is>
          <t>时令水果</t>
        </is>
      </c>
      <c r="J3377" t="inlineStr">
        <is>
          <t>0.00</t>
        </is>
      </c>
      <c r="K3377" t="inlineStr">
        <is>
          <t>🔥低粉爆款</t>
        </is>
      </c>
      <c r="L3377" t="inlineStr">
        <is>
          <t>贝贝在果园的店</t>
        </is>
      </c>
      <c r="M3377">
        <v>6395</v>
      </c>
      <c r="N3377">
        <v>4.54</v>
      </c>
      <c r="O3377">
        <v>72000</v>
      </c>
      <c r="P3377" t="inlineStr">
        <is>
          <t>676b26526a9b620001584972</t>
        </is>
      </c>
      <c r="Q3377"/>
      <c r="R3377" t="inlineStr">
        <is>
          <t>14周</t>
        </is>
      </c>
      <c r="S3377" t="inlineStr">
        <is>
          <t>18.45</t>
        </is>
      </c>
      <c r="T3377" t="inlineStr">
        <is>
          <t>美食滋补</t>
        </is>
      </c>
      <c r="U3377" t="inlineStr">
        <is>
          <t>生鲜特产</t>
        </is>
      </c>
      <c r="V3377" s="3">
        <v>46112.78107638889</v>
      </c>
      <c r="W3377" t="inlineStr">
        <is>
          <t>2026-Q1</t>
        </is>
      </c>
    </row>
    <row r="3378" ht="25.5" customHeight="1">
      <c r="A3378" t="inlineStr">
        <is>
          <t>新鲜现摘圣女果小番茄水果商超精品小番茄新鲜应季水果</t>
        </is>
      </c>
      <c r="B3378" t="inlineStr">
        <is>
          <t>recvfenb182ern.jpg</t>
        </is>
      </c>
      <c r="C3378" s="2" t="str">
        <f>=HYPERLINK("https://xhslink.com/m/4o1sDMpYK1L", "https://xhslink.com/m/4o1sDMpYK1L")</f>
        <v>https://xhslink.com/m/4o1sDMpYK1L</v>
      </c>
      <c r="D3378"/>
      <c r="E3378">
        <v>11000</v>
      </c>
      <c r="F3378">
        <v>24.6</v>
      </c>
      <c r="G3378">
        <v>12.6</v>
      </c>
      <c r="H3378">
        <v>100</v>
      </c>
      <c r="I3378" t="inlineStr">
        <is>
          <t>时令水果</t>
        </is>
      </c>
      <c r="J3378" t="inlineStr">
        <is>
          <t>0.01</t>
        </is>
      </c>
      <c r="K3378" t="inlineStr">
        <is>
          <t>🔥低粉爆款</t>
        </is>
      </c>
      <c r="L3378" t="inlineStr">
        <is>
          <t>圣女果酱酱的店</t>
        </is>
      </c>
      <c r="M3378">
        <v>107</v>
      </c>
      <c r="N3378">
        <v>4.54</v>
      </c>
      <c r="O3378">
        <v>12000</v>
      </c>
      <c r="P3378" t="inlineStr">
        <is>
          <t>695b29b400d76200016955f6</t>
        </is>
      </c>
      <c r="Q3378" t="inlineStr">
        <is>
          <t>🚫重复</t>
        </is>
      </c>
      <c r="R3378" t="inlineStr">
        <is>
          <t>14周</t>
        </is>
      </c>
      <c r="S3378" t="inlineStr">
        <is>
          <t>102.80</t>
        </is>
      </c>
      <c r="T3378" t="inlineStr">
        <is>
          <t>美食滋补</t>
        </is>
      </c>
      <c r="U3378" t="inlineStr">
        <is>
          <t>生鲜特产</t>
        </is>
      </c>
      <c r="V3378" s="3">
        <v>46112.78107638889</v>
      </c>
      <c r="W3378" t="inlineStr">
        <is>
          <t>2026-Q1</t>
        </is>
      </c>
    </row>
    <row r="3379" ht="25.5" customHeight="1">
      <c r="A3379" t="inlineStr">
        <is>
          <t>贡枝果栈 · 新鲜无花果农家应季时令水果天然孕妇下奶鲜果现摘现发顺丰包邮</t>
        </is>
      </c>
      <c r="B3379" t="inlineStr">
        <is>
          <t>recvfenb18kTNU.jpg</t>
        </is>
      </c>
      <c r="C3379" s="2" t="str">
        <f>=HYPERLINK("https://xhslink.com/m/9A0lSn4izsD", "https://xhslink.com/m/9A0lSn4izsD")</f>
        <v>https://xhslink.com/m/9A0lSn4izsD</v>
      </c>
      <c r="D3379"/>
      <c r="E3379">
        <v>205000</v>
      </c>
      <c r="F3379">
        <v>106</v>
      </c>
      <c r="G3379"/>
      <c r="H3379">
        <v>100</v>
      </c>
      <c r="I3379" t="inlineStr">
        <is>
          <t>时令水果</t>
        </is>
      </c>
      <c r="J3379" t="inlineStr">
        <is>
          <t>0.00</t>
        </is>
      </c>
      <c r="K3379" t="inlineStr">
        <is>
          <t>🔥低粉爆款</t>
        </is>
      </c>
      <c r="L3379" t="inlineStr">
        <is>
          <t>贡枝果栈旗舰店</t>
        </is>
      </c>
      <c r="M3379">
        <v>10000</v>
      </c>
      <c r="N3379">
        <v>4.6</v>
      </c>
      <c r="O3379">
        <v>237000</v>
      </c>
      <c r="P3379" t="inlineStr">
        <is>
          <t>690ff5f00319c90001931ccb</t>
        </is>
      </c>
      <c r="Q3379" t="inlineStr">
        <is>
          <t>🚫重复</t>
        </is>
      </c>
      <c r="R3379" t="inlineStr">
        <is>
          <t>14周</t>
        </is>
      </c>
      <c r="S3379" t="inlineStr">
        <is>
          <t>20.50</t>
        </is>
      </c>
      <c r="T3379" t="inlineStr">
        <is>
          <t>美食滋补</t>
        </is>
      </c>
      <c r="U3379" t="inlineStr">
        <is>
          <t>生鲜特产</t>
        </is>
      </c>
      <c r="V3379" s="3">
        <v>46112.78107638889</v>
      </c>
      <c r="W3379" t="inlineStr">
        <is>
          <t>2026-Q1</t>
        </is>
      </c>
    </row>
    <row r="3380" ht="25.5" customHeight="1">
      <c r="A3380" t="inlineStr">
        <is>
          <t>【顺丰包邮】云南蓝莓花香蓝莓抚仙湖蓝莓脆甜带花香</t>
        </is>
      </c>
      <c r="B3380" t="inlineStr">
        <is>
          <t>recvfenb18amMS.jpg</t>
        </is>
      </c>
      <c r="C3380" s="2" t="str">
        <f>=HYPERLINK("https://xhslink.com/m/qN3BxzgGud", "https://xhslink.com/m/qN3BxzgGud")</f>
        <v>https://xhslink.com/m/qN3BxzgGud</v>
      </c>
      <c r="D3380"/>
      <c r="E3380">
        <v>186000</v>
      </c>
      <c r="F3380">
        <v>96.8</v>
      </c>
      <c r="G3380">
        <v>71.8</v>
      </c>
      <c r="H3380">
        <v>100</v>
      </c>
      <c r="I3380" t="inlineStr">
        <is>
          <t>时令水果</t>
        </is>
      </c>
      <c r="J3380" t="inlineStr">
        <is>
          <t>0.00</t>
        </is>
      </c>
      <c r="K3380" t="inlineStr">
        <is>
          <t>🔥低粉爆款</t>
        </is>
      </c>
      <c r="L3380" t="inlineStr">
        <is>
          <t>sweet果记的店</t>
        </is>
      </c>
      <c r="M3380">
        <v>31000</v>
      </c>
      <c r="N3380">
        <v>4.47</v>
      </c>
      <c r="O3380">
        <v>336000</v>
      </c>
      <c r="P3380" t="inlineStr">
        <is>
          <t>67667d235677c9000139c45a</t>
        </is>
      </c>
      <c r="Q3380" t="inlineStr">
        <is>
          <t>🚫重复</t>
        </is>
      </c>
      <c r="R3380" t="inlineStr">
        <is>
          <t>14周</t>
        </is>
      </c>
      <c r="S3380" t="inlineStr">
        <is>
          <t>6.00</t>
        </is>
      </c>
      <c r="T3380" t="inlineStr">
        <is>
          <t>美食滋补</t>
        </is>
      </c>
      <c r="U3380" t="inlineStr">
        <is>
          <t>生鲜特产</t>
        </is>
      </c>
      <c r="V3380" s="3">
        <v>46112.78107638889</v>
      </c>
      <c r="W3380" t="inlineStr">
        <is>
          <t>2026-Q1</t>
        </is>
      </c>
    </row>
    <row r="3381" ht="25.5" customHeight="1">
      <c r="A3381" t="inlineStr">
        <is>
          <t>【春季福利】风干牛胸口边角料（不脆）满嘴留香零食</t>
        </is>
      </c>
      <c r="B3381" t="inlineStr">
        <is>
          <t>recvfenb18sk4d.jpg</t>
        </is>
      </c>
      <c r="C3381" s="2" t="str">
        <f>=HYPERLINK("https://xhslink.com/m/84PEYJnUooB", "https://xhslink.com/m/84PEYJnUooB")</f>
        <v>https://xhslink.com/m/84PEYJnUooB</v>
      </c>
      <c r="D3381"/>
      <c r="E3381">
        <v>3883</v>
      </c>
      <c r="F3381">
        <v>89.9</v>
      </c>
      <c r="G3381"/>
      <c r="H3381">
        <v>100</v>
      </c>
      <c r="I3381" t="inlineStr">
        <is>
          <t>牛肉零食</t>
        </is>
      </c>
      <c r="J3381" t="inlineStr">
        <is>
          <t>0.03</t>
        </is>
      </c>
      <c r="K3381"/>
      <c r="L3381" t="inlineStr">
        <is>
          <t>满洲里蒙祥羊食品有限公司的店</t>
        </is>
      </c>
      <c r="M3381">
        <v>12000</v>
      </c>
      <c r="N3381">
        <v>4.73</v>
      </c>
      <c r="O3381">
        <v>37000</v>
      </c>
      <c r="P3381" t="inlineStr">
        <is>
          <t>6785e07703b5e400014dce80</t>
        </is>
      </c>
      <c r="Q3381" t="inlineStr">
        <is>
          <t>🚫重复</t>
        </is>
      </c>
      <c r="R3381" t="inlineStr">
        <is>
          <t>14周</t>
        </is>
      </c>
      <c r="S3381" t="inlineStr">
        <is>
          <t>0.32</t>
        </is>
      </c>
      <c r="T3381" t="inlineStr">
        <is>
          <t>美食滋补</t>
        </is>
      </c>
      <c r="U3381" t="inlineStr">
        <is>
          <t>休闲零食</t>
        </is>
      </c>
      <c r="V3381" s="3">
        <v>46112.78107638889</v>
      </c>
      <c r="W3381" t="inlineStr">
        <is>
          <t>2026-Q1</t>
        </is>
      </c>
    </row>
    <row r="3382" ht="25.5" customHeight="1">
      <c r="A3382" t="inlineStr">
        <is>
          <t>纯手工鸡排（送辣椒孜然）</t>
        </is>
      </c>
      <c r="B3382" t="inlineStr">
        <is>
          <t>recvfenb18aQti.jpg</t>
        </is>
      </c>
      <c r="C3382" s="2" t="str">
        <f>=HYPERLINK("https://xhslink.com/m/8uDVT11x2TB", "https://xhslink.com/m/8uDVT11x2TB")</f>
        <v>https://xhslink.com/m/8uDVT11x2TB</v>
      </c>
      <c r="D3382"/>
      <c r="E3382">
        <v>9389</v>
      </c>
      <c r="F3382">
        <v>62</v>
      </c>
      <c r="G3382"/>
      <c r="H3382">
        <v>100</v>
      </c>
      <c r="I3382" t="inlineStr">
        <is>
          <t>肉禽</t>
        </is>
      </c>
      <c r="J3382" t="inlineStr">
        <is>
          <t>0.01</t>
        </is>
      </c>
      <c r="K3382"/>
      <c r="L3382" t="inlineStr">
        <is>
          <t>小满砂锅麻辣烫和炸串的店</t>
        </is>
      </c>
      <c r="M3382">
        <v>11000</v>
      </c>
      <c r="N3382">
        <v>4.52</v>
      </c>
      <c r="O3382">
        <v>83000</v>
      </c>
      <c r="P3382" t="inlineStr">
        <is>
          <t>6838876e9111390001cb3b73</t>
        </is>
      </c>
      <c r="Q3382" t="inlineStr">
        <is>
          <t>🚫重复</t>
        </is>
      </c>
      <c r="R3382" t="inlineStr">
        <is>
          <t>14周</t>
        </is>
      </c>
      <c r="S3382" t="inlineStr">
        <is>
          <t>0.85</t>
        </is>
      </c>
      <c r="T3382" t="inlineStr">
        <is>
          <t>美食滋补</t>
        </is>
      </c>
      <c r="U3382" t="inlineStr">
        <is>
          <t>生鲜特产</t>
        </is>
      </c>
      <c r="V3382" s="3">
        <v>46112.78107638889</v>
      </c>
      <c r="W3382" t="inlineStr">
        <is>
          <t>2026-Q1</t>
        </is>
      </c>
    </row>
    <row r="3383" ht="25.5" customHeight="1">
      <c r="A3383" t="inlineStr">
        <is>
          <t>炒三仙积食包舌苔三星汤厚腻大人宝宝开味消禾麦芽谷芽炒三楂</t>
        </is>
      </c>
      <c r="B3383" t="inlineStr">
        <is>
          <t>recvfenb18Lm5f.jpg</t>
        </is>
      </c>
      <c r="C3383" s="2" t="str">
        <f>=HYPERLINK("https://xhslink.com/m/8LY7hFuqDqE", "https://xhslink.com/m/8LY7hFuqDqE")</f>
        <v>https://xhslink.com/m/8LY7hFuqDqE</v>
      </c>
      <c r="D3383"/>
      <c r="E3383">
        <v>9769</v>
      </c>
      <c r="F3383">
        <v>99.9</v>
      </c>
      <c r="G3383">
        <v>27.9</v>
      </c>
      <c r="H3383">
        <v>100</v>
      </c>
      <c r="I3383" t="inlineStr">
        <is>
          <t>儿童早餐</t>
        </is>
      </c>
      <c r="J3383" t="inlineStr">
        <is>
          <t>0.01</t>
        </is>
      </c>
      <c r="K3383" t="inlineStr">
        <is>
          <t>🔥低粉爆款</t>
        </is>
      </c>
      <c r="L3383" t="inlineStr">
        <is>
          <t>燃苒精选的店</t>
        </is>
      </c>
      <c r="M3383">
        <v>43</v>
      </c>
      <c r="N3383">
        <v>4.66</v>
      </c>
      <c r="O3383">
        <v>28000</v>
      </c>
      <c r="P3383" t="inlineStr">
        <is>
          <t>68ac28278ec6fa00013eb752</t>
        </is>
      </c>
      <c r="Q3383" t="inlineStr">
        <is>
          <t>🚫重复</t>
        </is>
      </c>
      <c r="R3383" t="inlineStr">
        <is>
          <t>14周</t>
        </is>
      </c>
      <c r="S3383" t="inlineStr">
        <is>
          <t>227.19</t>
        </is>
      </c>
      <c r="T3383" t="inlineStr">
        <is>
          <t>母婴亲子</t>
        </is>
      </c>
      <c r="U3383" t="inlineStr">
        <is>
          <t>童装童鞋</t>
        </is>
      </c>
      <c r="V3383" s="3">
        <v>46112.78107638889</v>
      </c>
      <c r="W3383" t="inlineStr">
        <is>
          <t>2026-Q1</t>
        </is>
      </c>
    </row>
    <row r="3384" ht="25.5" customHeight="1">
      <c r="A3384" t="inlineStr">
        <is>
          <t>小样酸Q糖怀旧小零食果味软糖儿童小零食橡皮糖软糖办公室零食</t>
        </is>
      </c>
      <c r="B3384" t="inlineStr">
        <is>
          <t>recvfenb18sdJ8.jpg</t>
        </is>
      </c>
      <c r="C3384" s="2" t="str">
        <f>=HYPERLINK("https://xhslink.com/m/5TccdzPBYaf", "https://xhslink.com/m/5TccdzPBYaf")</f>
        <v>https://xhslink.com/m/5TccdzPBYaf</v>
      </c>
      <c r="D3384"/>
      <c r="E3384">
        <v>21000</v>
      </c>
      <c r="F3384">
        <v>5.9</v>
      </c>
      <c r="G3384">
        <v>4.9</v>
      </c>
      <c r="H3384">
        <v>100</v>
      </c>
      <c r="I3384" t="inlineStr">
        <is>
          <t>儿童早餐</t>
        </is>
      </c>
      <c r="J3384" t="inlineStr">
        <is>
          <t>0.00</t>
        </is>
      </c>
      <c r="K3384" t="inlineStr">
        <is>
          <t>🔥低粉爆款</t>
        </is>
      </c>
      <c r="L3384" t="inlineStr">
        <is>
          <t>吃饱饱小卖部的店</t>
        </is>
      </c>
      <c r="M3384">
        <v>1033</v>
      </c>
      <c r="N3384">
        <v>4.5</v>
      </c>
      <c r="O3384">
        <v>27000</v>
      </c>
      <c r="P3384" t="inlineStr">
        <is>
          <t>68d4d2efc34eef0015443fab</t>
        </is>
      </c>
      <c r="Q3384" t="inlineStr">
        <is>
          <t>🚫重复</t>
        </is>
      </c>
      <c r="R3384" t="inlineStr">
        <is>
          <t>14周</t>
        </is>
      </c>
      <c r="S3384" t="inlineStr">
        <is>
          <t>20.33</t>
        </is>
      </c>
      <c r="T3384" t="inlineStr">
        <is>
          <t>美食滋补</t>
        </is>
      </c>
      <c r="U3384" t="inlineStr">
        <is>
          <t>休闲零食</t>
        </is>
      </c>
      <c r="V3384" s="3">
        <v>46112.78107638889</v>
      </c>
      <c r="W3384" t="inlineStr">
        <is>
          <t>2026-Q1</t>
        </is>
      </c>
    </row>
    <row r="3385" ht="25.5" customHeight="1">
      <c r="A3385" t="inlineStr">
        <is>
          <t>糙能农场 · 【全新升级】九谷O脂荞麦面 九种粗粮谷物添加非油炸免煮低钠配方</t>
        </is>
      </c>
      <c r="B3385" t="inlineStr">
        <is>
          <t>recvfjOYGL67t8.jpg</t>
        </is>
      </c>
      <c r="C3385" s="2" t="str">
        <f>=HYPERLINK("https://xhslink.com/m/2wmXlJkJOQn", "https://xhslink.com/m/2wmXlJkJOQn")</f>
        <v>https://xhslink.com/m/2wmXlJkJOQn</v>
      </c>
      <c r="D3385"/>
      <c r="E3385">
        <v>106000</v>
      </c>
      <c r="F3385">
        <v>72.9</v>
      </c>
      <c r="G3385">
        <v>52.9</v>
      </c>
      <c r="H3385">
        <v>100</v>
      </c>
      <c r="I3385" t="inlineStr">
        <is>
          <t>一人食</t>
        </is>
      </c>
      <c r="J3385" t="inlineStr">
        <is>
          <t>0.00</t>
        </is>
      </c>
      <c r="K3385" t="inlineStr">
        <is>
          <t>🔥低粉爆款</t>
        </is>
      </c>
      <c r="L3385" t="inlineStr">
        <is>
          <t>糙能农场旗舰店</t>
        </is>
      </c>
      <c r="M3385">
        <v>9976</v>
      </c>
      <c r="N3385">
        <v>4.72</v>
      </c>
      <c r="O3385">
        <v>268000</v>
      </c>
      <c r="P3385" t="inlineStr">
        <is>
          <t>67596974bdb5900001dfdce6</t>
        </is>
      </c>
      <c r="Q3385" t="inlineStr">
        <is>
          <t>🚫重复</t>
        </is>
      </c>
      <c r="R3385" t="inlineStr">
        <is>
          <t>14周</t>
        </is>
      </c>
      <c r="S3385" t="inlineStr">
        <is>
          <t>10.63</t>
        </is>
      </c>
      <c r="T3385" t="inlineStr">
        <is>
          <t>美食滋补</t>
        </is>
      </c>
      <c r="U3385" t="inlineStr">
        <is>
          <t>休闲零食</t>
        </is>
      </c>
      <c r="V3385" s="3">
        <v>46112.78107638889</v>
      </c>
      <c r="W3385" t="inlineStr">
        <is>
          <t>2026-Q1</t>
        </is>
      </c>
    </row>
    <row r="3386" ht="25.5" customHeight="1">
      <c r="A3386" t="inlineStr">
        <is>
          <t>【18.8R到手7枚】全麦0蔗糖早八党贝果早餐大学生</t>
        </is>
      </c>
      <c r="B3386" t="inlineStr">
        <is>
          <t>recvfjOYGLfF90.jpg</t>
        </is>
      </c>
      <c r="C3386" s="2" t="str">
        <f>=HYPERLINK("https://xhslink.com/m/AV7kqO3ecZP", "https://xhslink.com/m/AV7kqO3ecZP")</f>
        <v>https://xhslink.com/m/AV7kqO3ecZP</v>
      </c>
      <c r="D3386"/>
      <c r="E3386">
        <v>62000</v>
      </c>
      <c r="F3386">
        <v>37.8</v>
      </c>
      <c r="G3386">
        <v>18.8</v>
      </c>
      <c r="H3386">
        <v>100</v>
      </c>
      <c r="I3386" t="inlineStr">
        <is>
          <t>面包早餐</t>
        </is>
      </c>
      <c r="J3386" t="inlineStr">
        <is>
          <t>0.00</t>
        </is>
      </c>
      <c r="K3386" t="inlineStr">
        <is>
          <t>🔥低粉爆款</t>
        </is>
      </c>
      <c r="L3386" t="inlineStr">
        <is>
          <t>麦语烘焙坊的店</t>
        </is>
      </c>
      <c r="M3386">
        <v>3973</v>
      </c>
      <c r="N3386">
        <v>4.48</v>
      </c>
      <c r="O3386">
        <v>106000</v>
      </c>
      <c r="P3386" t="inlineStr">
        <is>
          <t>67bdc5d6f6588900013033bb</t>
        </is>
      </c>
      <c r="Q3386" t="inlineStr">
        <is>
          <t>🚫重复</t>
        </is>
      </c>
      <c r="R3386" t="inlineStr">
        <is>
          <t>14周</t>
        </is>
      </c>
      <c r="S3386" t="inlineStr">
        <is>
          <t>15.61</t>
        </is>
      </c>
      <c r="T3386" t="inlineStr">
        <is>
          <t>美食滋补</t>
        </is>
      </c>
      <c r="U3386" t="inlineStr">
        <is>
          <t>休闲零食</t>
        </is>
      </c>
      <c r="V3386" s="3">
        <v>46112.78107638889</v>
      </c>
      <c r="W3386" t="inlineStr">
        <is>
          <t>2026-Q1</t>
        </is>
      </c>
    </row>
    <row r="3387" ht="25.5" customHeight="1">
      <c r="A3387" t="inlineStr">
        <is>
          <t>雪怪超市丨超轻小鸡软顶帽 防水防晒户外 加大加深显头小</t>
        </is>
      </c>
      <c r="B3387" t="inlineStr">
        <is>
          <t>recvfjOYGLV0jb.jpg</t>
        </is>
      </c>
      <c r="C3387" s="2" t="str">
        <f>=HYPERLINK("https://xhslink.com/m/3UNvgmDpQHP", "https://xhslink.com/m/3UNvgmDpQHP")</f>
        <v>https://xhslink.com/m/3UNvgmDpQHP</v>
      </c>
      <c r="D3387"/>
      <c r="E3387">
        <v>16000</v>
      </c>
      <c r="F3387">
        <v>88</v>
      </c>
      <c r="G3387">
        <v>68</v>
      </c>
      <c r="H3387">
        <v>100</v>
      </c>
      <c r="I3387" t="inlineStr">
        <is>
          <t>帽子</t>
        </is>
      </c>
      <c r="J3387" t="inlineStr">
        <is>
          <t>0.01</t>
        </is>
      </c>
      <c r="K3387"/>
      <c r="L3387" t="inlineStr">
        <is>
          <t>雪怪超市Snowmost的店</t>
        </is>
      </c>
      <c r="M3387">
        <v>23000</v>
      </c>
      <c r="N3387">
        <v>4.59</v>
      </c>
      <c r="O3387">
        <v>77000</v>
      </c>
      <c r="P3387" t="inlineStr">
        <is>
          <t>68b9b4f52773df0001cab2b9</t>
        </is>
      </c>
      <c r="Q3387" t="inlineStr">
        <is>
          <t>🚫重复</t>
        </is>
      </c>
      <c r="R3387" t="inlineStr">
        <is>
          <t>14周</t>
        </is>
      </c>
      <c r="S3387" t="inlineStr">
        <is>
          <t>0.70</t>
        </is>
      </c>
      <c r="T3387" t="inlineStr">
        <is>
          <t>服饰穿搭</t>
        </is>
      </c>
      <c r="U3387" t="inlineStr">
        <is>
          <t>配饰</t>
        </is>
      </c>
      <c r="V3387" s="3">
        <v>46112.78107638889</v>
      </c>
      <c r="W3387" t="inlineStr">
        <is>
          <t>2026-Q1</t>
        </is>
      </c>
    </row>
    <row r="3388" ht="25.5" customHeight="1">
      <c r="A3388" t="inlineStr">
        <is>
          <t>春夏复古纯色棉麻鸭舌前进帽子女显脸小轻薄透气个性贝雷帽报童帽</t>
        </is>
      </c>
      <c r="B3388" t="inlineStr">
        <is>
          <t>recvfjOYGLIgc9.jpg</t>
        </is>
      </c>
      <c r="C3388" s="2" t="str">
        <f>=HYPERLINK("https://xhslink.com/m/7ka65mc2ybr", "https://xhslink.com/m/7ka65mc2ybr")</f>
        <v>https://xhslink.com/m/7ka65mc2ybr</v>
      </c>
      <c r="D3388"/>
      <c r="E3388">
        <v>10000</v>
      </c>
      <c r="F3388">
        <v>43.8</v>
      </c>
      <c r="G3388"/>
      <c r="H3388">
        <v>100</v>
      </c>
      <c r="I3388" t="inlineStr">
        <is>
          <t>帽子</t>
        </is>
      </c>
      <c r="J3388" t="inlineStr">
        <is>
          <t>0.01</t>
        </is>
      </c>
      <c r="K3388"/>
      <c r="L3388" t="inlineStr">
        <is>
          <t>姜鱼哥（闪电小狗）的店</t>
        </is>
      </c>
      <c r="M3388">
        <v>92000</v>
      </c>
      <c r="N3388">
        <v>4.49</v>
      </c>
      <c r="O3388">
        <v>298000</v>
      </c>
      <c r="P3388" t="inlineStr">
        <is>
          <t>68a41e7616b0c8000192a926</t>
        </is>
      </c>
      <c r="Q3388"/>
      <c r="R3388" t="inlineStr">
        <is>
          <t>14周</t>
        </is>
      </c>
      <c r="S3388" t="inlineStr">
        <is>
          <t>0.11</t>
        </is>
      </c>
      <c r="T3388" t="inlineStr">
        <is>
          <t>服饰穿搭</t>
        </is>
      </c>
      <c r="U3388" t="inlineStr">
        <is>
          <t>配饰</t>
        </is>
      </c>
      <c r="V3388" s="3">
        <v>46112.78107638889</v>
      </c>
      <c r="W3388" t="inlineStr">
        <is>
          <t>2026-Q1</t>
        </is>
      </c>
    </row>
    <row r="3389" ht="25.5" customHeight="1">
      <c r="A3389" t="inlineStr">
        <is>
          <t>GR刺绣·韩版复古棒球帽百搭透气显脸小大头围休闲遮阳百搭鸭舌帽</t>
        </is>
      </c>
      <c r="B3389" t="inlineStr">
        <is>
          <t>recvfjOYGLNLZe.jpg</t>
        </is>
      </c>
      <c r="C3389" s="2" t="str">
        <f>=HYPERLINK("https://xhslink.com/m/7cbzsFz4omH", "https://xhslink.com/m/7cbzsFz4omH")</f>
        <v>https://xhslink.com/m/7cbzsFz4omH</v>
      </c>
      <c r="D3389"/>
      <c r="E3389">
        <v>713</v>
      </c>
      <c r="F3389">
        <v>49.9</v>
      </c>
      <c r="G3389">
        <v>39.9</v>
      </c>
      <c r="H3389">
        <v>100</v>
      </c>
      <c r="I3389" t="inlineStr">
        <is>
          <t>帽子</t>
        </is>
      </c>
      <c r="J3389" t="inlineStr">
        <is>
          <t>0.14</t>
        </is>
      </c>
      <c r="K3389"/>
      <c r="L3389" t="inlineStr">
        <is>
          <t>帽子戴歪歪的店</t>
        </is>
      </c>
      <c r="M3389">
        <v>250</v>
      </c>
      <c r="N3389">
        <v>4.61</v>
      </c>
      <c r="O3389">
        <v>12000</v>
      </c>
      <c r="P3389" t="inlineStr">
        <is>
          <t>699ea430c3a4860001b7ddde</t>
        </is>
      </c>
      <c r="Q3389"/>
      <c r="R3389" t="inlineStr">
        <is>
          <t>14周</t>
        </is>
      </c>
      <c r="S3389" t="inlineStr">
        <is>
          <t>2.85</t>
        </is>
      </c>
      <c r="T3389" t="inlineStr">
        <is>
          <t>服饰穿搭</t>
        </is>
      </c>
      <c r="U3389" t="inlineStr">
        <is>
          <t>配饰</t>
        </is>
      </c>
      <c r="V3389" s="3">
        <v>46112.78107638889</v>
      </c>
      <c r="W3389" t="inlineStr">
        <is>
          <t>2026-Q1</t>
        </is>
      </c>
    </row>
    <row r="3390" ht="25.5" customHeight="1">
      <c r="A3390" t="inlineStr">
        <is>
          <t>blingbling素链合集｜钛钢真空镀18K/24K金高保色素链条</t>
        </is>
      </c>
      <c r="B3390" t="inlineStr">
        <is>
          <t>recvfjOYGLn89G.jpg</t>
        </is>
      </c>
      <c r="C3390" s="2" t="str">
        <f>=HYPERLINK("https://xhslink.com/m/2NhEXiZSiAD", "https://xhslink.com/m/2NhEXiZSiAD")</f>
        <v>https://xhslink.com/m/2NhEXiZSiAD</v>
      </c>
      <c r="D3390"/>
      <c r="E3390">
        <v>10000</v>
      </c>
      <c r="F3390">
        <v>32.8</v>
      </c>
      <c r="G3390"/>
      <c r="H3390">
        <v>100</v>
      </c>
      <c r="I3390" t="inlineStr">
        <is>
          <t>项链</t>
        </is>
      </c>
      <c r="J3390" t="inlineStr">
        <is>
          <t>0.01</t>
        </is>
      </c>
      <c r="K3390" t="inlineStr">
        <is>
          <t>🔥低粉爆款</t>
        </is>
      </c>
      <c r="L3390" t="inlineStr">
        <is>
          <t>nora叨叨的店</t>
        </is>
      </c>
      <c r="M3390">
        <v>3239</v>
      </c>
      <c r="N3390">
        <v>4.58</v>
      </c>
      <c r="O3390">
        <v>13000</v>
      </c>
      <c r="P3390" t="inlineStr">
        <is>
          <t>68a0b4b011247e00013b14c8</t>
        </is>
      </c>
      <c r="Q3390" t="inlineStr">
        <is>
          <t>🚫重复</t>
        </is>
      </c>
      <c r="R3390" t="inlineStr">
        <is>
          <t>14周</t>
        </is>
      </c>
      <c r="S3390" t="inlineStr">
        <is>
          <t>3.09</t>
        </is>
      </c>
      <c r="T3390" t="inlineStr">
        <is>
          <t>服饰穿搭</t>
        </is>
      </c>
      <c r="U3390" t="inlineStr">
        <is>
          <t>配饰</t>
        </is>
      </c>
      <c r="V3390" s="3">
        <v>46112.78107638889</v>
      </c>
      <c r="W3390" t="inlineStr">
        <is>
          <t>2026-Q1</t>
        </is>
      </c>
    </row>
    <row r="3391" ht="25.5" customHeight="1">
      <c r="A3391" t="inlineStr">
        <is>
          <t>blingbling素链合集｜钛钢真空镀18K/24K金高保色素链条</t>
        </is>
      </c>
      <c r="B3391" t="inlineStr">
        <is>
          <t>recvfjOYGLdfK6.jpg</t>
        </is>
      </c>
      <c r="C3391" s="2" t="str">
        <f>=HYPERLINK("https://xhslink.com/m/4uFHp57eN4Z", "https://xhslink.com/m/4uFHp57eN4Z")</f>
        <v>https://xhslink.com/m/4uFHp57eN4Z</v>
      </c>
      <c r="D3391"/>
      <c r="E3391">
        <v>10000</v>
      </c>
      <c r="F3391">
        <v>35.2</v>
      </c>
      <c r="G3391"/>
      <c r="H3391">
        <v>100</v>
      </c>
      <c r="I3391" t="inlineStr">
        <is>
          <t>项链</t>
        </is>
      </c>
      <c r="J3391" t="inlineStr">
        <is>
          <t>0.01</t>
        </is>
      </c>
      <c r="K3391" t="inlineStr">
        <is>
          <t>🔥低粉爆款</t>
        </is>
      </c>
      <c r="L3391" t="inlineStr">
        <is>
          <t>nora叨叨的店</t>
        </is>
      </c>
      <c r="M3391">
        <v>3239</v>
      </c>
      <c r="N3391">
        <v>4.58</v>
      </c>
      <c r="O3391">
        <v>13000</v>
      </c>
      <c r="P3391" t="inlineStr">
        <is>
          <t>68358edd2e3a00000182df41</t>
        </is>
      </c>
      <c r="Q3391" t="inlineStr">
        <is>
          <t>🚫重复</t>
        </is>
      </c>
      <c r="R3391" t="inlineStr">
        <is>
          <t>14周</t>
        </is>
      </c>
      <c r="S3391" t="inlineStr">
        <is>
          <t>3.09</t>
        </is>
      </c>
      <c r="T3391" t="inlineStr">
        <is>
          <t>服饰穿搭</t>
        </is>
      </c>
      <c r="U3391" t="inlineStr">
        <is>
          <t>配饰</t>
        </is>
      </c>
      <c r="V3391" s="3">
        <v>46112.78107638889</v>
      </c>
      <c r="W3391" t="inlineStr">
        <is>
          <t>2026-Q1</t>
        </is>
      </c>
    </row>
    <row r="3392" ht="25.5" customHeight="1">
      <c r="A3392" t="inlineStr">
        <is>
          <t>Petrichor.yu原创设计时光镜花可调节长款项链</t>
        </is>
      </c>
      <c r="B3392" t="inlineStr">
        <is>
          <t>recvfjOYGLOd26.jpg</t>
        </is>
      </c>
      <c r="C3392" s="2" t="str">
        <f>=HYPERLINK("https://xhslink.com/m/1OqBaai9oTV", "https://xhslink.com/m/1OqBaai9oTV")</f>
        <v>https://xhslink.com/m/1OqBaai9oTV</v>
      </c>
      <c r="D3392"/>
      <c r="E3392">
        <v>2085</v>
      </c>
      <c r="F3392">
        <v>158</v>
      </c>
      <c r="G3392"/>
      <c r="H3392">
        <v>100</v>
      </c>
      <c r="I3392" t="inlineStr">
        <is>
          <t>项链</t>
        </is>
      </c>
      <c r="J3392" t="inlineStr">
        <is>
          <t>0.05</t>
        </is>
      </c>
      <c r="K3392"/>
      <c r="L3392" t="inlineStr">
        <is>
          <t>Petrichor yu的店</t>
        </is>
      </c>
      <c r="M3392">
        <v>15000</v>
      </c>
      <c r="N3392">
        <v>4.53</v>
      </c>
      <c r="O3392">
        <v>24000</v>
      </c>
      <c r="P3392" t="inlineStr">
        <is>
          <t>67b6e158acc82c0001b955a6</t>
        </is>
      </c>
      <c r="Q3392" t="inlineStr">
        <is>
          <t>🚫重复</t>
        </is>
      </c>
      <c r="R3392" t="inlineStr">
        <is>
          <t>14周</t>
        </is>
      </c>
      <c r="S3392" t="inlineStr">
        <is>
          <t>0.14</t>
        </is>
      </c>
      <c r="T3392" t="inlineStr">
        <is>
          <t>服饰穿搭</t>
        </is>
      </c>
      <c r="U3392" t="inlineStr">
        <is>
          <t>配饰</t>
        </is>
      </c>
      <c r="V3392" s="3">
        <v>46112.78107638889</v>
      </c>
      <c r="W3392" t="inlineStr">
        <is>
          <t>2026-Q1</t>
        </is>
      </c>
    </row>
    <row r="3393" ht="25.5" customHeight="1">
      <c r="A3393" t="inlineStr">
        <is>
          <t>miu系高级感复古大容量托特包！单肩斜挎双肩三用包！多种背法！</t>
        </is>
      </c>
      <c r="B3393" t="inlineStr">
        <is>
          <t>recvfjOYGL0286.jpg</t>
        </is>
      </c>
      <c r="C3393" s="2" t="str">
        <f>=HYPERLINK("https://xhslink.com/m/14TzdKA2YX6", "https://xhslink.com/m/14TzdKA2YX6")</f>
        <v>https://xhslink.com/m/14TzdKA2YX6</v>
      </c>
      <c r="D3393"/>
      <c r="E3393">
        <v>23000</v>
      </c>
      <c r="F3393">
        <v>57.9</v>
      </c>
      <c r="G3393">
        <v>49.9</v>
      </c>
      <c r="H3393">
        <v>100</v>
      </c>
      <c r="I3393" t="inlineStr">
        <is>
          <t>包包</t>
        </is>
      </c>
      <c r="J3393" t="inlineStr">
        <is>
          <t>0.00</t>
        </is>
      </c>
      <c r="K3393" t="inlineStr">
        <is>
          <t>🔥低粉爆款</t>
        </is>
      </c>
      <c r="L3393" t="inlineStr">
        <is>
          <t>里物s27的店</t>
        </is>
      </c>
      <c r="M3393">
        <v>1213</v>
      </c>
      <c r="N3393">
        <v>4.44</v>
      </c>
      <c r="O3393">
        <v>24000</v>
      </c>
      <c r="P3393" t="inlineStr">
        <is>
          <t>6940c97ab049690001b0acb6</t>
        </is>
      </c>
      <c r="Q3393"/>
      <c r="R3393" t="inlineStr">
        <is>
          <t>14周</t>
        </is>
      </c>
      <c r="S3393" t="inlineStr">
        <is>
          <t>18.96</t>
        </is>
      </c>
      <c r="T3393" t="inlineStr">
        <is>
          <t>服饰穿搭</t>
        </is>
      </c>
      <c r="U3393" t="inlineStr">
        <is>
          <t>鞋靴箱包</t>
        </is>
      </c>
      <c r="V3393" s="3">
        <v>46112.78107638889</v>
      </c>
      <c r="W3393" t="inlineStr">
        <is>
          <t>2026-Q1</t>
        </is>
      </c>
    </row>
    <row r="3394" ht="25.5" customHeight="1">
      <c r="A3394" t="inlineStr">
        <is>
          <t>weekendgetaway 简约时尚帆布包 白 橙 咖</t>
        </is>
      </c>
      <c r="B3394" t="inlineStr">
        <is>
          <t>recvfjOYGLVDMD.jpg</t>
        </is>
      </c>
      <c r="C3394" s="2" t="str">
        <f>=HYPERLINK("https://xhslink.com/m/ugbjOtQDdb", "https://xhslink.com/m/ugbjOtQDdb")</f>
        <v>https://xhslink.com/m/ugbjOtQDdb</v>
      </c>
      <c r="D3394"/>
      <c r="E3394">
        <v>6967</v>
      </c>
      <c r="F3394">
        <v>36.3</v>
      </c>
      <c r="G3394"/>
      <c r="H3394">
        <v>100</v>
      </c>
      <c r="I3394" t="inlineStr">
        <is>
          <t>包包</t>
        </is>
      </c>
      <c r="J3394" t="inlineStr">
        <is>
          <t>0.01</t>
        </is>
      </c>
      <c r="K3394"/>
      <c r="L3394" t="inlineStr">
        <is>
          <t>三千服饰STUDIO的店</t>
        </is>
      </c>
      <c r="M3394">
        <v>17000</v>
      </c>
      <c r="N3394">
        <v>4.53</v>
      </c>
      <c r="O3394">
        <v>54000</v>
      </c>
      <c r="P3394" t="inlineStr">
        <is>
          <t>688300594daa7100018f5f6c</t>
        </is>
      </c>
      <c r="Q3394" t="inlineStr">
        <is>
          <t>🚫重复</t>
        </is>
      </c>
      <c r="R3394" t="inlineStr">
        <is>
          <t>14周</t>
        </is>
      </c>
      <c r="S3394" t="inlineStr">
        <is>
          <t>0.41</t>
        </is>
      </c>
      <c r="T3394" t="inlineStr">
        <is>
          <t>服饰穿搭</t>
        </is>
      </c>
      <c r="U3394" t="inlineStr">
        <is>
          <t>鞋靴箱包</t>
        </is>
      </c>
      <c r="V3394" s="3">
        <v>46112.78107638889</v>
      </c>
      <c r="W3394" t="inlineStr">
        <is>
          <t>2026-Q1</t>
        </is>
      </c>
    </row>
    <row r="3395" ht="25.5" customHeight="1">
      <c r="A3395" t="inlineStr">
        <is>
          <t>店主自制·波点蝴蝶结立体植绒大容量女休闲单肩包学生通勤上班</t>
        </is>
      </c>
      <c r="B3395" t="inlineStr">
        <is>
          <t>recvfjOYGLII8b.jpg</t>
        </is>
      </c>
      <c r="C3395" s="2" t="str">
        <f>=HYPERLINK("https://xhslink.com/m/4i2wN7iHTHf", "https://xhslink.com/m/4i2wN7iHTHf")</f>
        <v>https://xhslink.com/m/4i2wN7iHTHf</v>
      </c>
      <c r="D3395"/>
      <c r="E3395">
        <v>6686</v>
      </c>
      <c r="F3395">
        <v>36.9</v>
      </c>
      <c r="G3395">
        <v>24.9</v>
      </c>
      <c r="H3395">
        <v>100</v>
      </c>
      <c r="I3395" t="inlineStr">
        <is>
          <t>包包</t>
        </is>
      </c>
      <c r="J3395" t="inlineStr">
        <is>
          <t>0.01</t>
        </is>
      </c>
      <c r="K3395"/>
      <c r="L3395" t="inlineStr">
        <is>
          <t>奶油桃子啵啵的店</t>
        </is>
      </c>
      <c r="M3395">
        <v>35000</v>
      </c>
      <c r="N3395">
        <v>4.46</v>
      </c>
      <c r="O3395">
        <v>76000</v>
      </c>
      <c r="P3395" t="inlineStr">
        <is>
          <t>6909f302becfcc0001afd635</t>
        </is>
      </c>
      <c r="Q3395"/>
      <c r="R3395" t="inlineStr">
        <is>
          <t>14周</t>
        </is>
      </c>
      <c r="S3395" t="inlineStr">
        <is>
          <t>0.19</t>
        </is>
      </c>
      <c r="T3395" t="inlineStr">
        <is>
          <t>服饰穿搭</t>
        </is>
      </c>
      <c r="U3395" t="inlineStr">
        <is>
          <t>鞋靴箱包</t>
        </is>
      </c>
      <c r="V3395" s="3">
        <v>46112.78107638889</v>
      </c>
      <c r="W3395" t="inlineStr">
        <is>
          <t>2026-Q1</t>
        </is>
      </c>
    </row>
    <row r="3396" ht="25.5" customHeight="1">
      <c r="A3396" t="inlineStr">
        <is>
          <t>自制 极简主义「软盒子」包包 可手提可斜挎</t>
        </is>
      </c>
      <c r="B3396" t="inlineStr">
        <is>
          <t>recvfjOYGLMymR.jpg</t>
        </is>
      </c>
      <c r="C3396" s="2" t="str">
        <f>=HYPERLINK("https://xhslink.com/m/8kSijHJZx67", "https://xhslink.com/m/8kSijHJZx67")</f>
        <v>https://xhslink.com/m/8kSijHJZx67</v>
      </c>
      <c r="D3396"/>
      <c r="E3396">
        <v>7114</v>
      </c>
      <c r="F3396">
        <v>199</v>
      </c>
      <c r="G3396"/>
      <c r="H3396">
        <v>100</v>
      </c>
      <c r="I3396" t="inlineStr">
        <is>
          <t>包包</t>
        </is>
      </c>
      <c r="J3396" t="inlineStr">
        <is>
          <t>0.01</t>
        </is>
      </c>
      <c r="K3396"/>
      <c r="L3396" t="inlineStr">
        <is>
          <t>大宇姓张的店</t>
        </is>
      </c>
      <c r="M3396">
        <v>186000</v>
      </c>
      <c r="N3396">
        <v>4.72</v>
      </c>
      <c r="O3396">
        <v>303000</v>
      </c>
      <c r="P3396" t="inlineStr">
        <is>
          <t>68d4bbae9176f50001c33e57</t>
        </is>
      </c>
      <c r="Q3396" t="inlineStr">
        <is>
          <t>🚫重复</t>
        </is>
      </c>
      <c r="R3396" t="inlineStr">
        <is>
          <t>14周</t>
        </is>
      </c>
      <c r="S3396" t="inlineStr">
        <is>
          <t>0.04</t>
        </is>
      </c>
      <c r="T3396" t="inlineStr">
        <is>
          <t>服饰穿搭</t>
        </is>
      </c>
      <c r="U3396" t="inlineStr">
        <is>
          <t>鞋靴箱包</t>
        </is>
      </c>
      <c r="V3396" s="3">
        <v>46112.78107638889</v>
      </c>
      <c r="W3396" t="inlineStr">
        <is>
          <t>2026-Q1</t>
        </is>
      </c>
    </row>
    <row r="3397" ht="25.5" customHeight="1">
      <c r="A3397" t="inlineStr">
        <is>
          <t>HOYOZI 新号开播b，新品包包都在这里【原创设计】</t>
        </is>
      </c>
      <c r="B3397" t="inlineStr">
        <is>
          <t>recvfjOYGLgcjO.jpg</t>
        </is>
      </c>
      <c r="C3397" s="2" t="str">
        <f>=HYPERLINK("https://xhslink.com/m/1RY5M8VEv0O", "https://xhslink.com/m/1RY5M8VEv0O")</f>
        <v>https://xhslink.com/m/1RY5M8VEv0O</v>
      </c>
      <c r="D3397"/>
      <c r="E3397">
        <v>12000</v>
      </c>
      <c r="F3397">
        <v>59.9</v>
      </c>
      <c r="G3397"/>
      <c r="H3397">
        <v>100</v>
      </c>
      <c r="I3397" t="inlineStr">
        <is>
          <t>包包</t>
        </is>
      </c>
      <c r="J3397" t="inlineStr">
        <is>
          <t>0.01</t>
        </is>
      </c>
      <c r="K3397"/>
      <c r="L3397" t="inlineStr">
        <is>
          <t>HOYOZi的店</t>
        </is>
      </c>
      <c r="M3397">
        <v>66000</v>
      </c>
      <c r="N3397">
        <v>4.61</v>
      </c>
      <c r="O3397">
        <v>46000</v>
      </c>
      <c r="P3397" t="inlineStr">
        <is>
          <t>66a4d4292612e8000121ff09</t>
        </is>
      </c>
      <c r="Q3397"/>
      <c r="R3397" t="inlineStr">
        <is>
          <t>14周</t>
        </is>
      </c>
      <c r="S3397" t="inlineStr">
        <is>
          <t>0.18</t>
        </is>
      </c>
      <c r="T3397" t="inlineStr">
        <is>
          <t>服饰穿搭</t>
        </is>
      </c>
      <c r="U3397" t="inlineStr">
        <is>
          <t>鞋靴箱包</t>
        </is>
      </c>
      <c r="V3397" s="3">
        <v>46112.78107638889</v>
      </c>
      <c r="W3397" t="inlineStr">
        <is>
          <t>2026-Q1</t>
        </is>
      </c>
    </row>
    <row r="3398" ht="25.5" customHeight="1">
      <c r="A3398" t="inlineStr">
        <is>
          <t>idealOfidol原创设计百搭单肩手提日常吧唧痛包娃包【链爱心动】</t>
        </is>
      </c>
      <c r="B3398" t="inlineStr">
        <is>
          <t>recvfjOYGLru0f.jpg</t>
        </is>
      </c>
      <c r="C3398" s="2" t="str">
        <f>=HYPERLINK("https://xhslink.com/m/AwLGxyEqnP5", "https://xhslink.com/m/AwLGxyEqnP5")</f>
        <v>https://xhslink.com/m/AwLGxyEqnP5</v>
      </c>
      <c r="D3398"/>
      <c r="E3398">
        <v>3115</v>
      </c>
      <c r="F3398">
        <v>58</v>
      </c>
      <c r="G3398"/>
      <c r="H3398">
        <v>100</v>
      </c>
      <c r="I3398" t="inlineStr">
        <is>
          <t>包包</t>
        </is>
      </c>
      <c r="J3398" t="inlineStr">
        <is>
          <t>0.03</t>
        </is>
      </c>
      <c r="K3398"/>
      <c r="L3398" t="inlineStr">
        <is>
          <t>idealOfidol原创设计的店</t>
        </is>
      </c>
      <c r="M3398">
        <v>10000</v>
      </c>
      <c r="N3398">
        <v>4.48</v>
      </c>
      <c r="O3398">
        <v>8885</v>
      </c>
      <c r="P3398" t="inlineStr">
        <is>
          <t>6818b3913366f1000194b71f</t>
        </is>
      </c>
      <c r="Q3398"/>
      <c r="R3398" t="inlineStr">
        <is>
          <t>14周</t>
        </is>
      </c>
      <c r="S3398" t="inlineStr">
        <is>
          <t>0.31</t>
        </is>
      </c>
      <c r="T3398" t="inlineStr">
        <is>
          <t>服饰穿搭</t>
        </is>
      </c>
      <c r="U3398" t="inlineStr">
        <is>
          <t>鞋靴箱包</t>
        </is>
      </c>
      <c r="V3398" s="3">
        <v>46112.78107638889</v>
      </c>
      <c r="W3398" t="inlineStr">
        <is>
          <t>2026-Q1</t>
        </is>
      </c>
    </row>
    <row r="3399" ht="25.5" customHeight="1">
      <c r="A3399" t="inlineStr">
        <is>
          <t>四喜手工·【自在旅行】定制款法式慵懒大容量手提单肩托特包</t>
        </is>
      </c>
      <c r="B3399" t="inlineStr">
        <is>
          <t>recvfjOYGLWpmE.jpg</t>
        </is>
      </c>
      <c r="C3399" s="2" t="str">
        <f>=HYPERLINK("https://xhslink.com/m/6wHcO9u9mae", "https://xhslink.com/m/6wHcO9u9mae")</f>
        <v>https://xhslink.com/m/6wHcO9u9mae</v>
      </c>
      <c r="D3399"/>
      <c r="E3399">
        <v>10000</v>
      </c>
      <c r="F3399">
        <v>1104</v>
      </c>
      <c r="G3399">
        <v>358</v>
      </c>
      <c r="H3399">
        <v>100</v>
      </c>
      <c r="I3399" t="inlineStr">
        <is>
          <t>包包</t>
        </is>
      </c>
      <c r="J3399" t="inlineStr">
        <is>
          <t>0.01</t>
        </is>
      </c>
      <c r="K3399"/>
      <c r="L3399" t="inlineStr">
        <is>
          <t>四喜手工皮具的店</t>
        </is>
      </c>
      <c r="M3399">
        <v>213000</v>
      </c>
      <c r="N3399">
        <v>4.7</v>
      </c>
      <c r="O3399">
        <v>251000</v>
      </c>
      <c r="P3399" t="inlineStr">
        <is>
          <t>66489e2c152c2f000197890d</t>
        </is>
      </c>
      <c r="Q3399"/>
      <c r="R3399" t="inlineStr">
        <is>
          <t>14周</t>
        </is>
      </c>
      <c r="S3399" t="inlineStr">
        <is>
          <t>0.05</t>
        </is>
      </c>
      <c r="T3399" t="inlineStr">
        <is>
          <t>服饰穿搭</t>
        </is>
      </c>
      <c r="U3399" t="inlineStr">
        <is>
          <t>鞋靴箱包</t>
        </is>
      </c>
      <c r="V3399" s="3">
        <v>46112.78107638889</v>
      </c>
      <c r="W3399" t="inlineStr">
        <is>
          <t>2026-Q1</t>
        </is>
      </c>
    </row>
    <row r="3400" ht="25.5" customHeight="1">
      <c r="A3400" t="inlineStr">
        <is>
          <t>复古大容量托特腋下包！通勤上课旅游百搭推荐必备！手提单肩均可</t>
        </is>
      </c>
      <c r="B3400" t="inlineStr">
        <is>
          <t>recvfjOYGLhUI8.jpg</t>
        </is>
      </c>
      <c r="C3400" s="2" t="str">
        <f>=HYPERLINK("https://xhslink.com/m/49MX8IxvJ3M", "https://xhslink.com/m/49MX8IxvJ3M")</f>
        <v>https://xhslink.com/m/49MX8IxvJ3M</v>
      </c>
      <c r="D3400"/>
      <c r="E3400">
        <v>1671</v>
      </c>
      <c r="F3400">
        <v>74.9</v>
      </c>
      <c r="G3400">
        <v>54.9</v>
      </c>
      <c r="H3400">
        <v>100</v>
      </c>
      <c r="I3400" t="inlineStr">
        <is>
          <t>包包</t>
        </is>
      </c>
      <c r="J3400" t="inlineStr">
        <is>
          <t>0.06</t>
        </is>
      </c>
      <c r="K3400"/>
      <c r="L3400" t="inlineStr">
        <is>
          <t>奶油酱小屋的店</t>
        </is>
      </c>
      <c r="M3400">
        <v>566</v>
      </c>
      <c r="N3400">
        <v>4.61</v>
      </c>
      <c r="O3400">
        <v>3258</v>
      </c>
      <c r="P3400" t="inlineStr">
        <is>
          <t>6948e940f489e400012318d8</t>
        </is>
      </c>
      <c r="Q3400"/>
      <c r="R3400" t="inlineStr">
        <is>
          <t>14周</t>
        </is>
      </c>
      <c r="S3400" t="inlineStr">
        <is>
          <t>2.95</t>
        </is>
      </c>
      <c r="T3400" t="inlineStr">
        <is>
          <t>服饰穿搭</t>
        </is>
      </c>
      <c r="U3400" t="inlineStr">
        <is>
          <t>鞋靴箱包</t>
        </is>
      </c>
      <c r="V3400" s="3">
        <v>46112.78107638889</v>
      </c>
      <c r="W3400" t="inlineStr">
        <is>
          <t>2026-Q1</t>
        </is>
      </c>
    </row>
    <row r="3401" ht="25.5" customHeight="1">
      <c r="A3401" t="inlineStr">
        <is>
          <t>酒姨Juuye香槟手工星星编织托特包高级大容量通勤手提水桶单肩包</t>
        </is>
      </c>
      <c r="B3401" t="inlineStr">
        <is>
          <t>recvfjOYGLCkAj.jpg</t>
        </is>
      </c>
      <c r="C3401" s="2" t="str">
        <f>=HYPERLINK("https://xhslink.com/m/4wPmgaaeqgx", "https://xhslink.com/m/4wPmgaaeqgx")</f>
        <v>https://xhslink.com/m/4wPmgaaeqgx</v>
      </c>
      <c r="D3401"/>
      <c r="E3401">
        <v>2141</v>
      </c>
      <c r="F3401">
        <v>179</v>
      </c>
      <c r="G3401">
        <v>149</v>
      </c>
      <c r="H3401">
        <v>100</v>
      </c>
      <c r="I3401" t="inlineStr">
        <is>
          <t>包包</t>
        </is>
      </c>
      <c r="J3401" t="inlineStr">
        <is>
          <t>0.05</t>
        </is>
      </c>
      <c r="K3401" t="inlineStr">
        <is>
          <t>🔥低粉爆款</t>
        </is>
      </c>
      <c r="L3401" t="inlineStr">
        <is>
          <t>酒姨Juuye的店</t>
        </is>
      </c>
      <c r="M3401">
        <v>458</v>
      </c>
      <c r="N3401">
        <v>4.47</v>
      </c>
      <c r="O3401">
        <v>2817</v>
      </c>
      <c r="P3401" t="inlineStr">
        <is>
          <t>67ebd51fae4ae00001dd46c9</t>
        </is>
      </c>
      <c r="Q3401" t="inlineStr">
        <is>
          <t>🚫重复</t>
        </is>
      </c>
      <c r="R3401" t="inlineStr">
        <is>
          <t>14周</t>
        </is>
      </c>
      <c r="S3401" t="inlineStr">
        <is>
          <t>4.67</t>
        </is>
      </c>
      <c r="T3401" t="inlineStr">
        <is>
          <t>服饰穿搭</t>
        </is>
      </c>
      <c r="U3401" t="inlineStr">
        <is>
          <t>鞋靴箱包</t>
        </is>
      </c>
      <c r="V3401" s="3">
        <v>46112.78107638889</v>
      </c>
      <c r="W3401" t="inlineStr">
        <is>
          <t>2026-Q1</t>
        </is>
      </c>
    </row>
    <row r="3402" ht="25.5" customHeight="1">
      <c r="A3402" t="inlineStr">
        <is>
          <t>托特包新款大容量包包女休闲百搭单肩包复古轻便通勤包女子母包</t>
        </is>
      </c>
      <c r="B3402" t="inlineStr">
        <is>
          <t>recvfjOYGLgINp.jpg</t>
        </is>
      </c>
      <c r="C3402" s="2" t="str">
        <f>=HYPERLINK("https://xhslink.com/m/tEeSQGtsB4", "https://xhslink.com/m/tEeSQGtsB4")</f>
        <v>https://xhslink.com/m/tEeSQGtsB4</v>
      </c>
      <c r="D3402"/>
      <c r="E3402">
        <v>1188</v>
      </c>
      <c r="F3402">
        <v>65.9</v>
      </c>
      <c r="G3402">
        <v>48.9</v>
      </c>
      <c r="H3402">
        <v>100</v>
      </c>
      <c r="I3402" t="inlineStr">
        <is>
          <t>包包</t>
        </is>
      </c>
      <c r="J3402" t="inlineStr">
        <is>
          <t>0.08</t>
        </is>
      </c>
      <c r="K3402" t="inlineStr">
        <is>
          <t>🔥低粉爆款</t>
        </is>
      </c>
      <c r="L3402" t="inlineStr">
        <is>
          <t>一条小锦李🦈的店</t>
        </is>
      </c>
      <c r="M3402">
        <v>347</v>
      </c>
      <c r="N3402">
        <v>4.56</v>
      </c>
      <c r="O3402">
        <v>3768</v>
      </c>
      <c r="P3402" t="inlineStr">
        <is>
          <t>6854af90b93d410001770b2f</t>
        </is>
      </c>
      <c r="Q3402"/>
      <c r="R3402" t="inlineStr">
        <is>
          <t>14周</t>
        </is>
      </c>
      <c r="S3402" t="inlineStr">
        <is>
          <t>3.42</t>
        </is>
      </c>
      <c r="T3402" t="inlineStr">
        <is>
          <t>服饰穿搭</t>
        </is>
      </c>
      <c r="U3402" t="inlineStr">
        <is>
          <t>鞋靴箱包</t>
        </is>
      </c>
      <c r="V3402" s="3">
        <v>46112.78107638889</v>
      </c>
      <c r="W3402" t="inlineStr">
        <is>
          <t>2026-Q1</t>
        </is>
      </c>
    </row>
    <row r="3403" ht="25.5" customHeight="1">
      <c r="A3403" t="inlineStr">
        <is>
          <t>FFDolly原创手作ins芭蕾风痛包通勤小众抽绳双肩包少女</t>
        </is>
      </c>
      <c r="B3403" t="inlineStr">
        <is>
          <t>recvfjOYGLBtMa.jpg</t>
        </is>
      </c>
      <c r="C3403" s="2" t="str">
        <f>=HYPERLINK("https://xhslink.com/m/8QUlgMXw6OK", "https://xhslink.com/m/8QUlgMXw6OK")</f>
        <v>https://xhslink.com/m/8QUlgMXw6OK</v>
      </c>
      <c r="D3403"/>
      <c r="E3403">
        <v>2661</v>
      </c>
      <c r="F3403">
        <v>128</v>
      </c>
      <c r="G3403"/>
      <c r="H3403">
        <v>100</v>
      </c>
      <c r="I3403" t="inlineStr">
        <is>
          <t>包包</t>
        </is>
      </c>
      <c r="J3403" t="inlineStr">
        <is>
          <t>0.04</t>
        </is>
      </c>
      <c r="K3403"/>
      <c r="L3403" t="inlineStr">
        <is>
          <t>FFDolly的店</t>
        </is>
      </c>
      <c r="M3403">
        <v>4860</v>
      </c>
      <c r="N3403">
        <v>4.53</v>
      </c>
      <c r="O3403">
        <v>6824</v>
      </c>
      <c r="P3403" t="inlineStr">
        <is>
          <t>68a85d58acb116000165886c</t>
        </is>
      </c>
      <c r="Q3403" t="inlineStr">
        <is>
          <t>🚫重复</t>
        </is>
      </c>
      <c r="R3403" t="inlineStr">
        <is>
          <t>14周</t>
        </is>
      </c>
      <c r="S3403" t="inlineStr">
        <is>
          <t>0.55</t>
        </is>
      </c>
      <c r="T3403" t="inlineStr">
        <is>
          <t>服饰穿搭</t>
        </is>
      </c>
      <c r="U3403" t="inlineStr">
        <is>
          <t>鞋靴箱包</t>
        </is>
      </c>
      <c r="V3403" s="3">
        <v>46112.78107638889</v>
      </c>
      <c r="W3403" t="inlineStr">
        <is>
          <t>2026-Q1</t>
        </is>
      </c>
    </row>
    <row r="3404" ht="25.5" customHeight="1">
      <c r="A3404" t="inlineStr">
        <is>
          <t>牛皮荔枝纹水桶包手提菜篮子真皮手拎包休闲手挽包女士时尚大容量</t>
        </is>
      </c>
      <c r="B3404" t="inlineStr">
        <is>
          <t>recvfjOYGL7t3C.jpg</t>
        </is>
      </c>
      <c r="C3404" s="2" t="str">
        <f>=HYPERLINK("https://xhslink.com/m/yNhJS00303", "https://xhslink.com/m/yNhJS00303")</f>
        <v>https://xhslink.com/m/yNhJS00303</v>
      </c>
      <c r="D3404"/>
      <c r="E3404">
        <v>2921</v>
      </c>
      <c r="F3404">
        <v>199.9</v>
      </c>
      <c r="G3404">
        <v>149.9</v>
      </c>
      <c r="H3404">
        <v>100</v>
      </c>
      <c r="I3404" t="inlineStr">
        <is>
          <t>包包</t>
        </is>
      </c>
      <c r="J3404" t="inlineStr">
        <is>
          <t>0.03</t>
        </is>
      </c>
      <c r="K3404"/>
      <c r="L3404" t="inlineStr">
        <is>
          <t>小五的包的店</t>
        </is>
      </c>
      <c r="M3404">
        <v>2435</v>
      </c>
      <c r="N3404">
        <v>4.67</v>
      </c>
      <c r="O3404">
        <v>3157</v>
      </c>
      <c r="P3404" t="inlineStr">
        <is>
          <t>68b2a87a3da2360015653237</t>
        </is>
      </c>
      <c r="Q3404"/>
      <c r="R3404" t="inlineStr">
        <is>
          <t>14周</t>
        </is>
      </c>
      <c r="S3404" t="inlineStr">
        <is>
          <t>1.20</t>
        </is>
      </c>
      <c r="T3404" t="inlineStr">
        <is>
          <t>服饰穿搭</t>
        </is>
      </c>
      <c r="U3404" t="inlineStr">
        <is>
          <t>鞋靴箱包</t>
        </is>
      </c>
      <c r="V3404" s="3">
        <v>46112.78107638889</v>
      </c>
      <c r="W3404" t="inlineStr">
        <is>
          <t>2026-Q1</t>
        </is>
      </c>
    </row>
    <row r="3405" ht="25.5" customHeight="1">
      <c r="A3405" t="inlineStr">
        <is>
          <t>日单纯麻刺绣手提包单肩包卡通背包</t>
        </is>
      </c>
      <c r="B3405" t="inlineStr">
        <is>
          <t>recvfjOYGLS4uI.jpg</t>
        </is>
      </c>
      <c r="C3405" s="2" t="str">
        <f>=HYPERLINK("https://xhslink.com/m/4Ig7nHI1zF0", "https://xhslink.com/m/4Ig7nHI1zF0")</f>
        <v>https://xhslink.com/m/4Ig7nHI1zF0</v>
      </c>
      <c r="D3405"/>
      <c r="E3405">
        <v>946</v>
      </c>
      <c r="F3405">
        <v>24.9</v>
      </c>
      <c r="G3405"/>
      <c r="H3405">
        <v>100</v>
      </c>
      <c r="I3405" t="inlineStr">
        <is>
          <t>包包</t>
        </is>
      </c>
      <c r="J3405" t="inlineStr">
        <is>
          <t>0.11</t>
        </is>
      </c>
      <c r="K3405"/>
      <c r="L3405" t="inlineStr">
        <is>
          <t>九姐优品多多的店</t>
        </is>
      </c>
      <c r="M3405">
        <v>2015</v>
      </c>
      <c r="N3405">
        <v>4.59</v>
      </c>
      <c r="O3405">
        <v>5351</v>
      </c>
      <c r="P3405" t="inlineStr">
        <is>
          <t>69ac1b304a35340001cd5b8d</t>
        </is>
      </c>
      <c r="Q3405"/>
      <c r="R3405" t="inlineStr">
        <is>
          <t>14周</t>
        </is>
      </c>
      <c r="S3405" t="inlineStr">
        <is>
          <t>0.47</t>
        </is>
      </c>
      <c r="T3405" t="inlineStr">
        <is>
          <t>服饰穿搭</t>
        </is>
      </c>
      <c r="U3405" t="inlineStr">
        <is>
          <t>鞋靴箱包</t>
        </is>
      </c>
      <c r="V3405" s="3">
        <v>46112.78107638889</v>
      </c>
      <c r="W3405" t="inlineStr">
        <is>
          <t>2026-Q1</t>
        </is>
      </c>
    </row>
    <row r="3406" ht="25.5" customHeight="1">
      <c r="A3406" t="inlineStr">
        <is>
          <t>RONZIZI【经典款•每月上新色】原创极简帆布包 网红同款帆布包</t>
        </is>
      </c>
      <c r="B3406" t="inlineStr">
        <is>
          <t>recvfjOYGLhSa7.jpg</t>
        </is>
      </c>
      <c r="C3406" s="2" t="str">
        <f>=HYPERLINK("https://xhslink.com/m/9aymgwyknZW", "https://xhslink.com/m/9aymgwyknZW")</f>
        <v>https://xhslink.com/m/9aymgwyknZW</v>
      </c>
      <c r="D3406"/>
      <c r="E3406">
        <v>2065</v>
      </c>
      <c r="F3406">
        <v>88</v>
      </c>
      <c r="G3406"/>
      <c r="H3406">
        <v>100</v>
      </c>
      <c r="I3406" t="inlineStr">
        <is>
          <t>包包</t>
        </is>
      </c>
      <c r="J3406" t="inlineStr">
        <is>
          <t>0.05</t>
        </is>
      </c>
      <c r="K3406"/>
      <c r="L3406" t="inlineStr">
        <is>
          <t>RONZIZI的店</t>
        </is>
      </c>
      <c r="M3406">
        <v>1819</v>
      </c>
      <c r="N3406">
        <v>4.68</v>
      </c>
      <c r="O3406">
        <v>3503</v>
      </c>
      <c r="P3406" t="inlineStr">
        <is>
          <t>67b72f169759260001c14503</t>
        </is>
      </c>
      <c r="Q3406"/>
      <c r="R3406" t="inlineStr">
        <is>
          <t>14周</t>
        </is>
      </c>
      <c r="S3406" t="inlineStr">
        <is>
          <t>1.14</t>
        </is>
      </c>
      <c r="T3406" t="inlineStr">
        <is>
          <t>服饰穿搭</t>
        </is>
      </c>
      <c r="U3406" t="inlineStr">
        <is>
          <t>鞋靴箱包</t>
        </is>
      </c>
      <c r="V3406" s="3">
        <v>46112.78107638889</v>
      </c>
      <c r="W3406" t="inlineStr">
        <is>
          <t>2026-Q1</t>
        </is>
      </c>
    </row>
    <row r="3407" ht="25.5" customHeight="1">
      <c r="A3407" t="inlineStr">
        <is>
          <t>夏季辣妹修身显瘦正肩t恤女短袖设计感不规则褶皱短款Polo衫上衣</t>
        </is>
      </c>
      <c r="B3407" t="inlineStr">
        <is>
          <t>recvfjOYGLA6sa.jpg</t>
        </is>
      </c>
      <c r="C3407" s="2" t="str">
        <f>=HYPERLINK("https://xhslink.com/m/9jqT8HV9k6I", "https://xhslink.com/m/9jqT8HV9k6I")</f>
        <v>https://xhslink.com/m/9jqT8HV9k6I</v>
      </c>
      <c r="D3407"/>
      <c r="E3407">
        <v>2137</v>
      </c>
      <c r="F3407">
        <v>69.8</v>
      </c>
      <c r="G3407">
        <v>39.8</v>
      </c>
      <c r="H3407">
        <v>100</v>
      </c>
      <c r="I3407" t="inlineStr">
        <is>
          <t>短袖</t>
        </is>
      </c>
      <c r="J3407" t="inlineStr">
        <is>
          <t>0.05</t>
        </is>
      </c>
      <c r="K3407" t="inlineStr">
        <is>
          <t>🔥低粉爆款</t>
        </is>
      </c>
      <c r="L3407" t="inlineStr">
        <is>
          <t>xiao轩工作室的店</t>
        </is>
      </c>
      <c r="M3407">
        <v>686</v>
      </c>
      <c r="N3407">
        <v>4.52</v>
      </c>
      <c r="O3407">
        <v>14000</v>
      </c>
      <c r="P3407" t="inlineStr">
        <is>
          <t>69ba0ea6ffa26d0001140d8e</t>
        </is>
      </c>
      <c r="Q3407" t="inlineStr">
        <is>
          <t>🚫重复</t>
        </is>
      </c>
      <c r="R3407" t="inlineStr">
        <is>
          <t>14周</t>
        </is>
      </c>
      <c r="S3407" t="inlineStr">
        <is>
          <t>3.12</t>
        </is>
      </c>
      <c r="T3407" t="inlineStr">
        <is>
          <t>服饰穿搭</t>
        </is>
      </c>
      <c r="U3407" t="inlineStr">
        <is>
          <t>女装</t>
        </is>
      </c>
      <c r="V3407" s="3">
        <v>46112.78107638889</v>
      </c>
      <c r="W3407" t="inlineStr">
        <is>
          <t>2026-Q1</t>
        </is>
      </c>
    </row>
    <row r="3408" ht="25.5" customHeight="1">
      <c r="A3408" t="inlineStr">
        <is>
          <t>法式高级感正肩圆领短袖t恤女夏季薄款宽松显瘦半袖休闲体恤上衣</t>
        </is>
      </c>
      <c r="B3408" t="inlineStr">
        <is>
          <t>recvfjOYGL9uZx.jpg</t>
        </is>
      </c>
      <c r="C3408" s="2" t="str">
        <f>=HYPERLINK("https://xhslink.com/m/21Q1VJcrcqt", "https://xhslink.com/m/21Q1VJcrcqt")</f>
        <v>https://xhslink.com/m/21Q1VJcrcqt</v>
      </c>
      <c r="D3408"/>
      <c r="E3408">
        <v>4489</v>
      </c>
      <c r="F3408">
        <v>69.9</v>
      </c>
      <c r="G3408">
        <v>61.51</v>
      </c>
      <c r="H3408">
        <v>100</v>
      </c>
      <c r="I3408" t="inlineStr">
        <is>
          <t>短袖</t>
        </is>
      </c>
      <c r="J3408" t="inlineStr">
        <is>
          <t>0.02</t>
        </is>
      </c>
      <c r="K3408"/>
      <c r="L3408" t="inlineStr">
        <is>
          <t>王兴兴的店</t>
        </is>
      </c>
      <c r="M3408">
        <v>3321</v>
      </c>
      <c r="N3408">
        <v>4.49</v>
      </c>
      <c r="O3408">
        <v>82000</v>
      </c>
      <c r="P3408" t="inlineStr">
        <is>
          <t>67e5533a5020170001763752</t>
        </is>
      </c>
      <c r="Q3408"/>
      <c r="R3408" t="inlineStr">
        <is>
          <t>14周</t>
        </is>
      </c>
      <c r="S3408" t="inlineStr">
        <is>
          <t>1.35</t>
        </is>
      </c>
      <c r="T3408" t="inlineStr">
        <is>
          <t>服饰穿搭</t>
        </is>
      </c>
      <c r="U3408" t="inlineStr">
        <is>
          <t>女装</t>
        </is>
      </c>
      <c r="V3408" s="3">
        <v>46112.78107638889</v>
      </c>
      <c r="W3408" t="inlineStr">
        <is>
          <t>2026-Q1</t>
        </is>
      </c>
    </row>
    <row r="3409" ht="25.5" customHeight="1">
      <c r="A3409" t="inlineStr">
        <is>
          <t>BM新款深棕色V领绑带短袖针织开衫女bm围裹式百搭罩衫外搭上衣</t>
        </is>
      </c>
      <c r="B3409" t="inlineStr">
        <is>
          <t>recvfjOYGLFwMk.jpg</t>
        </is>
      </c>
      <c r="C3409" s="2" t="str">
        <f>=HYPERLINK("https://xhslink.com/m/9hf5hYK8T2p", "https://xhslink.com/m/9hf5hYK8T2p")</f>
        <v>https://xhslink.com/m/9hf5hYK8T2p</v>
      </c>
      <c r="D3409"/>
      <c r="E3409">
        <v>1147</v>
      </c>
      <c r="F3409">
        <v>69</v>
      </c>
      <c r="G3409"/>
      <c r="H3409">
        <v>100</v>
      </c>
      <c r="I3409" t="inlineStr">
        <is>
          <t>短袖</t>
        </is>
      </c>
      <c r="J3409" t="inlineStr">
        <is>
          <t>0.09</t>
        </is>
      </c>
      <c r="K3409"/>
      <c r="L3409" t="inlineStr">
        <is>
          <t>浅浅家的BM的店</t>
        </is>
      </c>
      <c r="M3409">
        <v>45000</v>
      </c>
      <c r="N3409">
        <v>4.69</v>
      </c>
      <c r="O3409">
        <v>159000</v>
      </c>
      <c r="P3409" t="inlineStr">
        <is>
          <t>6942250e4d53380001bbf6cc</t>
        </is>
      </c>
      <c r="Q3409" t="inlineStr">
        <is>
          <t>🚫重复</t>
        </is>
      </c>
      <c r="R3409" t="inlineStr">
        <is>
          <t>14周</t>
        </is>
      </c>
      <c r="S3409" t="inlineStr">
        <is>
          <t>0.03</t>
        </is>
      </c>
      <c r="T3409" t="inlineStr">
        <is>
          <t>服饰穿搭</t>
        </is>
      </c>
      <c r="U3409" t="inlineStr">
        <is>
          <t>女装</t>
        </is>
      </c>
      <c r="V3409" s="3">
        <v>46112.78107638889</v>
      </c>
      <c r="W3409" t="inlineStr">
        <is>
          <t>2026-Q1</t>
        </is>
      </c>
    </row>
    <row r="3410" ht="25.5" customHeight="1">
      <c r="A3410" t="inlineStr">
        <is>
          <t>Hellooo Eat 通勤百搭天丝亚麻短袖EM3249</t>
        </is>
      </c>
      <c r="B3410" t="inlineStr">
        <is>
          <t>recvfjOYGLDvcT.jpg</t>
        </is>
      </c>
      <c r="C3410" s="2" t="str">
        <f>=HYPERLINK("https://xhslink.com/m/7mhu4Q7O9s0", "https://xhslink.com/m/7mhu4Q7O9s0")</f>
        <v>https://xhslink.com/m/7mhu4Q7O9s0</v>
      </c>
      <c r="D3410"/>
      <c r="E3410">
        <v>5261</v>
      </c>
      <c r="F3410">
        <v>115</v>
      </c>
      <c r="G3410">
        <v>101.2</v>
      </c>
      <c r="H3410">
        <v>100</v>
      </c>
      <c r="I3410" t="inlineStr">
        <is>
          <t>短袖</t>
        </is>
      </c>
      <c r="J3410" t="inlineStr">
        <is>
          <t>0.02</t>
        </is>
      </c>
      <c r="K3410"/>
      <c r="L3410" t="inlineStr">
        <is>
          <t>HelloooEat online的店</t>
        </is>
      </c>
      <c r="M3410">
        <v>180000</v>
      </c>
      <c r="N3410">
        <v>4.64</v>
      </c>
      <c r="O3410">
        <v>262000</v>
      </c>
      <c r="P3410" t="inlineStr">
        <is>
          <t>6870b0a6ef11920015182a47</t>
        </is>
      </c>
      <c r="Q3410" t="inlineStr">
        <is>
          <t>🚫重复</t>
        </is>
      </c>
      <c r="R3410" t="inlineStr">
        <is>
          <t>14周</t>
        </is>
      </c>
      <c r="S3410" t="inlineStr">
        <is>
          <t>0.03</t>
        </is>
      </c>
      <c r="T3410" t="inlineStr">
        <is>
          <t>服饰穿搭</t>
        </is>
      </c>
      <c r="U3410" t="inlineStr">
        <is>
          <t>女装</t>
        </is>
      </c>
      <c r="V3410" s="3">
        <v>46112.78107638889</v>
      </c>
      <c r="W3410" t="inlineStr">
        <is>
          <t>2026-Q1</t>
        </is>
      </c>
    </row>
    <row r="3411" ht="25.5" customHeight="1">
      <c r="A3411" t="inlineStr">
        <is>
          <t>2025水果T恤收腰修身款甜辣风百搭短袖t恤女辣妹休闲打底衫短袖</t>
        </is>
      </c>
      <c r="B3411" t="inlineStr">
        <is>
          <t>recvfjOYGLtjOL.jpg</t>
        </is>
      </c>
      <c r="C3411" s="2" t="str">
        <f>=HYPERLINK("https://xhslink.com/m/7FIuB4iJku6", "https://xhslink.com/m/7FIuB4iJku6")</f>
        <v>https://xhslink.com/m/7FIuB4iJku6</v>
      </c>
      <c r="D3411"/>
      <c r="E3411">
        <v>1671</v>
      </c>
      <c r="F3411">
        <v>79</v>
      </c>
      <c r="G3411">
        <v>69.52</v>
      </c>
      <c r="H3411">
        <v>100</v>
      </c>
      <c r="I3411" t="inlineStr">
        <is>
          <t>短袖</t>
        </is>
      </c>
      <c r="J3411" t="inlineStr">
        <is>
          <t>0.06</t>
        </is>
      </c>
      <c r="K3411"/>
      <c r="L3411" t="inlineStr">
        <is>
          <t>So cute hao自制的店</t>
        </is>
      </c>
      <c r="M3411">
        <v>2441</v>
      </c>
      <c r="N3411">
        <v>4.7</v>
      </c>
      <c r="O3411">
        <v>2936</v>
      </c>
      <c r="P3411" t="inlineStr">
        <is>
          <t>67fd32d3e8f24300010a80c0</t>
        </is>
      </c>
      <c r="Q3411"/>
      <c r="R3411" t="inlineStr">
        <is>
          <t>14周</t>
        </is>
      </c>
      <c r="S3411" t="inlineStr">
        <is>
          <t>0.68</t>
        </is>
      </c>
      <c r="T3411" t="inlineStr">
        <is>
          <t>服饰穿搭</t>
        </is>
      </c>
      <c r="U3411" t="inlineStr">
        <is>
          <t>女装</t>
        </is>
      </c>
      <c r="V3411" s="3">
        <v>46112.78107638889</v>
      </c>
      <c r="W3411" t="inlineStr">
        <is>
          <t>2026-Q1</t>
        </is>
      </c>
    </row>
    <row r="3412" ht="25.5" customHeight="1">
      <c r="A3412" t="inlineStr">
        <is>
          <t>CORAZON DEL ALMA · 【酥茶】干爽亲肤天丝棉麻面料 百搭圆领卷边微修身短袖T恤-7243</t>
        </is>
      </c>
      <c r="B3412" t="inlineStr">
        <is>
          <t>recvfjOYGLKBuw.jpg</t>
        </is>
      </c>
      <c r="C3412" s="2" t="str">
        <f>=HYPERLINK("https://xhslink.com/m/8ZMwRpDFWue", "https://xhslink.com/m/8ZMwRpDFWue")</f>
        <v>https://xhslink.com/m/8ZMwRpDFWue</v>
      </c>
      <c r="D3412"/>
      <c r="E3412">
        <v>2540</v>
      </c>
      <c r="F3412">
        <v>168</v>
      </c>
      <c r="G3412">
        <v>158</v>
      </c>
      <c r="H3412">
        <v>100</v>
      </c>
      <c r="I3412" t="inlineStr">
        <is>
          <t>短袖</t>
        </is>
      </c>
      <c r="J3412" t="inlineStr">
        <is>
          <t>0.04</t>
        </is>
      </c>
      <c r="K3412"/>
      <c r="L3412" t="inlineStr">
        <is>
          <t>CORAZON DEL ALMA的店</t>
        </is>
      </c>
      <c r="M3412">
        <v>253000</v>
      </c>
      <c r="N3412">
        <v>4.77</v>
      </c>
      <c r="O3412">
        <v>1072000</v>
      </c>
      <c r="P3412" t="inlineStr">
        <is>
          <t>697193d48a7838001546ab6a</t>
        </is>
      </c>
      <c r="Q3412" t="inlineStr">
        <is>
          <t>🚫重复</t>
        </is>
      </c>
      <c r="R3412" t="inlineStr">
        <is>
          <t>14周</t>
        </is>
      </c>
      <c r="S3412" t="inlineStr">
        <is>
          <t>0.01</t>
        </is>
      </c>
      <c r="T3412" t="inlineStr">
        <is>
          <t>服饰穿搭</t>
        </is>
      </c>
      <c r="U3412" t="inlineStr">
        <is>
          <t>女装</t>
        </is>
      </c>
      <c r="V3412" s="3">
        <v>46112.78107638889</v>
      </c>
      <c r="W3412" t="inlineStr">
        <is>
          <t>2026-Q1</t>
        </is>
      </c>
    </row>
    <row r="3413" ht="25.5" customHeight="1">
      <c r="A3413" t="inlineStr">
        <is>
          <t>可爱拉链金渐层猫咪印花260g纯棉宽松短袖T恤夏季潮流情侣装上衣</t>
        </is>
      </c>
      <c r="B3413" t="inlineStr">
        <is>
          <t>recvfjOYGLtvMF.jpg</t>
        </is>
      </c>
      <c r="C3413" s="2" t="str">
        <f>=HYPERLINK("https://xhslink.com/m/5y5NCBSibzr", "https://xhslink.com/m/5y5NCBSibzr")</f>
        <v>https://xhslink.com/m/5y5NCBSibzr</v>
      </c>
      <c r="D3413"/>
      <c r="E3413">
        <v>448</v>
      </c>
      <c r="F3413">
        <v>79</v>
      </c>
      <c r="G3413">
        <v>69</v>
      </c>
      <c r="H3413">
        <v>100</v>
      </c>
      <c r="I3413" t="inlineStr">
        <is>
          <t>短袖</t>
        </is>
      </c>
      <c r="J3413" t="inlineStr">
        <is>
          <t>0.22</t>
        </is>
      </c>
      <c r="K3413"/>
      <c r="L3413" t="inlineStr">
        <is>
          <t>SHPM工作室的店</t>
        </is>
      </c>
      <c r="M3413">
        <v>1443</v>
      </c>
      <c r="N3413">
        <v>4.57</v>
      </c>
      <c r="O3413">
        <v>12000</v>
      </c>
      <c r="P3413" t="inlineStr">
        <is>
          <t>69a9764bf209ba000172f3d3</t>
        </is>
      </c>
      <c r="Q3413"/>
      <c r="R3413" t="inlineStr">
        <is>
          <t>14周</t>
        </is>
      </c>
      <c r="S3413" t="inlineStr">
        <is>
          <t>0.31</t>
        </is>
      </c>
      <c r="T3413" t="inlineStr">
        <is>
          <t>服饰穿搭</t>
        </is>
      </c>
      <c r="U3413" t="inlineStr">
        <is>
          <t>女装</t>
        </is>
      </c>
      <c r="V3413" s="3">
        <v>46112.78107638889</v>
      </c>
      <c r="W3413" t="inlineStr">
        <is>
          <t>2026-Q1</t>
        </is>
      </c>
    </row>
    <row r="3414" ht="25.5" customHeight="1">
      <c r="A3414" t="inlineStr">
        <is>
          <t>拿铁萝莉 · 【螺纹双肩带美背Bra】自带Bra健身瑜伽运动背心交叉美背透气舒适</t>
        </is>
      </c>
      <c r="B3414" t="inlineStr">
        <is>
          <t>recvfjOYGLc8RS.jpg</t>
        </is>
      </c>
      <c r="C3414" s="2" t="str">
        <f>=HYPERLINK("https://xhslink.com/m/7xPdtiMiqU5", "https://xhslink.com/m/7xPdtiMiqU5")</f>
        <v>https://xhslink.com/m/7xPdtiMiqU5</v>
      </c>
      <c r="D3414"/>
      <c r="E3414">
        <v>7582</v>
      </c>
      <c r="F3414">
        <v>84.9</v>
      </c>
      <c r="G3414">
        <v>64.9</v>
      </c>
      <c r="H3414">
        <v>100</v>
      </c>
      <c r="I3414" t="inlineStr">
        <is>
          <t>背心吊带</t>
        </is>
      </c>
      <c r="J3414" t="inlineStr">
        <is>
          <t>0.01</t>
        </is>
      </c>
      <c r="K3414"/>
      <c r="L3414" t="inlineStr">
        <is>
          <t>猪猪健身穿什么的店</t>
        </is>
      </c>
      <c r="M3414">
        <v>48000</v>
      </c>
      <c r="N3414">
        <v>4.55</v>
      </c>
      <c r="O3414">
        <v>116000</v>
      </c>
      <c r="P3414" t="inlineStr">
        <is>
          <t>67161cd9c42e3d0001d62daa</t>
        </is>
      </c>
      <c r="Q3414" t="inlineStr">
        <is>
          <t>🚫重复</t>
        </is>
      </c>
      <c r="R3414" t="inlineStr">
        <is>
          <t>14周</t>
        </is>
      </c>
      <c r="S3414" t="inlineStr">
        <is>
          <t>0.16</t>
        </is>
      </c>
      <c r="T3414" t="inlineStr">
        <is>
          <t>运动潮玩</t>
        </is>
      </c>
      <c r="U3414" t="inlineStr">
        <is>
          <t>运动户外装备</t>
        </is>
      </c>
      <c r="V3414" s="3">
        <v>46112.78107638889</v>
      </c>
      <c r="W3414" t="inlineStr">
        <is>
          <t>2026-Q1</t>
        </is>
      </c>
    </row>
    <row r="3415" ht="25.5" customHeight="1">
      <c r="A3415" t="inlineStr">
        <is>
          <t>two piece studio · Everywhere美背背心透气无钢圈小胸聚拢女舒适三角杯</t>
        </is>
      </c>
      <c r="B3415" t="inlineStr">
        <is>
          <t>recvfjOYGLTlqj.jpg</t>
        </is>
      </c>
      <c r="C3415" s="2" t="str">
        <f>=HYPERLINK("https://xhslink.com/m/8xIvhPKBnCK", "https://xhslink.com/m/8xIvhPKBnCK")</f>
        <v>https://xhslink.com/m/8xIvhPKBnCK</v>
      </c>
      <c r="D3415"/>
      <c r="E3415">
        <v>384</v>
      </c>
      <c r="F3415">
        <v>67</v>
      </c>
      <c r="G3415"/>
      <c r="H3415">
        <v>100</v>
      </c>
      <c r="I3415" t="inlineStr">
        <is>
          <t>背心吊带</t>
        </is>
      </c>
      <c r="J3415" t="inlineStr">
        <is>
          <t>0.26</t>
        </is>
      </c>
      <c r="K3415"/>
      <c r="L3415" t="inlineStr">
        <is>
          <t>TWOPIECE旗舰店</t>
        </is>
      </c>
      <c r="M3415">
        <v>17000</v>
      </c>
      <c r="N3415">
        <v>4.26</v>
      </c>
      <c r="O3415">
        <v>59000</v>
      </c>
      <c r="P3415" t="inlineStr">
        <is>
          <t>66aa00fe274e5300010df5b6</t>
        </is>
      </c>
      <c r="Q3415" t="inlineStr">
        <is>
          <t>🚫重复</t>
        </is>
      </c>
      <c r="R3415" t="inlineStr">
        <is>
          <t>14周</t>
        </is>
      </c>
      <c r="S3415" t="inlineStr">
        <is>
          <t>0.02</t>
        </is>
      </c>
      <c r="T3415" t="inlineStr">
        <is>
          <t>服饰穿搭</t>
        </is>
      </c>
      <c r="U3415" t="inlineStr">
        <is>
          <t>女装</t>
        </is>
      </c>
      <c r="V3415" s="3">
        <v>46112.78107638889</v>
      </c>
      <c r="W3415" t="inlineStr">
        <is>
          <t>2026-Q1</t>
        </is>
      </c>
    </row>
    <row r="3416" ht="25.5" customHeight="1">
      <c r="A3416" t="inlineStr">
        <is>
          <t>【绵绵自制】扭结V领挂脖一体式运动健身内衣防震普拉提外穿背心</t>
        </is>
      </c>
      <c r="B3416" t="inlineStr">
        <is>
          <t>recvfjOYGLJv0P.jpg</t>
        </is>
      </c>
      <c r="C3416" s="2" t="str">
        <f>=HYPERLINK("https://xhslink.com/m/6em0MbOlqc4", "https://xhslink.com/m/6em0MbOlqc4")</f>
        <v>https://xhslink.com/m/6em0MbOlqc4</v>
      </c>
      <c r="D3416"/>
      <c r="E3416">
        <v>323</v>
      </c>
      <c r="F3416">
        <v>109</v>
      </c>
      <c r="G3416">
        <v>69</v>
      </c>
      <c r="H3416">
        <v>100</v>
      </c>
      <c r="I3416" t="inlineStr">
        <is>
          <t>背心吊带</t>
        </is>
      </c>
      <c r="J3416" t="inlineStr">
        <is>
          <t>0.31</t>
        </is>
      </c>
      <c r="K3416"/>
      <c r="L3416" t="inlineStr">
        <is>
          <t>GALO·绵绵自制的店</t>
        </is>
      </c>
      <c r="M3416">
        <v>2765</v>
      </c>
      <c r="N3416">
        <v>4.56</v>
      </c>
      <c r="O3416">
        <v>6427</v>
      </c>
      <c r="P3416" t="inlineStr">
        <is>
          <t>69bb640e58e9630001635514</t>
        </is>
      </c>
      <c r="Q3416"/>
      <c r="R3416" t="inlineStr">
        <is>
          <t>14周</t>
        </is>
      </c>
      <c r="S3416" t="inlineStr">
        <is>
          <t>0.12</t>
        </is>
      </c>
      <c r="T3416" t="inlineStr">
        <is>
          <t>服饰穿搭</t>
        </is>
      </c>
      <c r="U3416" t="inlineStr">
        <is>
          <t>女装</t>
        </is>
      </c>
      <c r="V3416" s="3">
        <v>46112.78107638889</v>
      </c>
      <c r="W3416" t="inlineStr">
        <is>
          <t>2026-Q1</t>
        </is>
      </c>
    </row>
    <row r="3417" ht="25.5" customHeight="1">
      <c r="A3417" t="inlineStr">
        <is>
          <t>bela dolca · 蜘蛛背心868~无钢圈 辣妹穿搭必备！</t>
        </is>
      </c>
      <c r="B3417" t="inlineStr">
        <is>
          <t>recvfjOYGL33iA.jpg</t>
        </is>
      </c>
      <c r="C3417" s="2" t="str">
        <f>=HYPERLINK("https://xhslink.com/m/9l32Dst0Q36", "https://xhslink.com/m/9l32Dst0Q36")</f>
        <v>https://xhslink.com/m/9l32Dst0Q36</v>
      </c>
      <c r="D3417"/>
      <c r="E3417">
        <v>5679</v>
      </c>
      <c r="F3417">
        <v>51</v>
      </c>
      <c r="G3417">
        <v>41</v>
      </c>
      <c r="H3417">
        <v>100</v>
      </c>
      <c r="I3417" t="inlineStr">
        <is>
          <t>背心吊带</t>
        </is>
      </c>
      <c r="J3417" t="inlineStr">
        <is>
          <t>0.02</t>
        </is>
      </c>
      <c r="K3417"/>
      <c r="L3417" t="inlineStr">
        <is>
          <t>糖味儿旗舰店</t>
        </is>
      </c>
      <c r="M3417">
        <v>37000</v>
      </c>
      <c r="N3417">
        <v>4.44</v>
      </c>
      <c r="O3417">
        <v>107000</v>
      </c>
      <c r="P3417" t="inlineStr">
        <is>
          <t>6818576caca449000126785b</t>
        </is>
      </c>
      <c r="Q3417" t="inlineStr">
        <is>
          <t>🚫重复</t>
        </is>
      </c>
      <c r="R3417" t="inlineStr">
        <is>
          <t>14周</t>
        </is>
      </c>
      <c r="S3417" t="inlineStr">
        <is>
          <t>0.15</t>
        </is>
      </c>
      <c r="T3417" t="inlineStr">
        <is>
          <t>服饰穿搭</t>
        </is>
      </c>
      <c r="U3417" t="inlineStr">
        <is>
          <t>女装</t>
        </is>
      </c>
      <c r="V3417" s="3">
        <v>46112.78107638889</v>
      </c>
      <c r="W3417" t="inlineStr">
        <is>
          <t>2026-Q1</t>
        </is>
      </c>
    </row>
    <row r="3418" ht="25.5" customHeight="1">
      <c r="A3418" t="inlineStr">
        <is>
          <t>家的角落 · 网红款拉斯克置物架小推车家饰软装收纳架厨房置物架零食</t>
        </is>
      </c>
      <c r="B3418" t="inlineStr">
        <is>
          <t>recvfjOYGLW7n3.jpg</t>
        </is>
      </c>
      <c r="C3418" s="2" t="str">
        <f>=HYPERLINK("https://xhslink.com/m/5m40EYALqWe", "https://xhslink.com/m/5m40EYALqWe")</f>
        <v>https://xhslink.com/m/5m40EYALqWe</v>
      </c>
      <c r="D3418"/>
      <c r="E3418">
        <v>68000</v>
      </c>
      <c r="F3418">
        <v>20</v>
      </c>
      <c r="G3418">
        <v>18</v>
      </c>
      <c r="H3418">
        <v>100</v>
      </c>
      <c r="I3418" t="inlineStr">
        <is>
          <t>厨房用品</t>
        </is>
      </c>
      <c r="J3418" t="inlineStr">
        <is>
          <t>0.00</t>
        </is>
      </c>
      <c r="K3418"/>
      <c r="L3418" t="inlineStr">
        <is>
          <t>家的角落的店</t>
        </is>
      </c>
      <c r="M3418">
        <v>1011000</v>
      </c>
      <c r="N3418">
        <v>4.62</v>
      </c>
      <c r="O3418">
        <v>531000</v>
      </c>
      <c r="P3418" t="inlineStr">
        <is>
          <t>6582db4418def200019f3f51</t>
        </is>
      </c>
      <c r="Q3418" t="inlineStr">
        <is>
          <t>🚫重复</t>
        </is>
      </c>
      <c r="R3418" t="inlineStr">
        <is>
          <t>14周</t>
        </is>
      </c>
      <c r="S3418" t="inlineStr">
        <is>
          <t>0.07</t>
        </is>
      </c>
      <c r="T3418" t="inlineStr">
        <is>
          <t>家居生活</t>
        </is>
      </c>
      <c r="U3418" t="inlineStr">
        <is>
          <t>家居日用</t>
        </is>
      </c>
      <c r="V3418" s="3">
        <v>46112.78107638889</v>
      </c>
      <c r="W3418" t="inlineStr">
        <is>
          <t>2026-Q1</t>
        </is>
      </c>
    </row>
    <row r="3419" ht="25.5" customHeight="1">
      <c r="A3419" t="inlineStr">
        <is>
          <t>躬亲 · 镜柜下抽屉式收纳盒卫生间化妆品收纳神器卸妆棉签口红透明置物架</t>
        </is>
      </c>
      <c r="B3419" t="inlineStr">
        <is>
          <t>recvfjOYGLEqPo.jpg</t>
        </is>
      </c>
      <c r="C3419" s="2" t="str">
        <f>=HYPERLINK("https://xhslink.com/m/3yvItfqD5F9", "https://xhslink.com/m/3yvItfqD5F9")</f>
        <v>https://xhslink.com/m/3yvItfqD5F9</v>
      </c>
      <c r="D3419"/>
      <c r="E3419">
        <v>19000</v>
      </c>
      <c r="F3419">
        <v>22.8</v>
      </c>
      <c r="G3419">
        <v>11.79</v>
      </c>
      <c r="H3419">
        <v>100</v>
      </c>
      <c r="I3419" t="inlineStr">
        <is>
          <t>厨房用品</t>
        </is>
      </c>
      <c r="J3419" t="inlineStr">
        <is>
          <t>0.01</t>
        </is>
      </c>
      <c r="K3419"/>
      <c r="L3419" t="inlineStr">
        <is>
          <t>GONQIN躬亲旗舰店</t>
        </is>
      </c>
      <c r="M3419">
        <v>43000</v>
      </c>
      <c r="N3419">
        <v>4.61</v>
      </c>
      <c r="O3419">
        <v>67000</v>
      </c>
      <c r="P3419" t="inlineStr">
        <is>
          <t>68cd3f26bf5d360001fd8061</t>
        </is>
      </c>
      <c r="Q3419" t="inlineStr">
        <is>
          <t>🚫重复</t>
        </is>
      </c>
      <c r="R3419" t="inlineStr">
        <is>
          <t>14周</t>
        </is>
      </c>
      <c r="S3419" t="inlineStr">
        <is>
          <t>0.44</t>
        </is>
      </c>
      <c r="T3419" t="inlineStr">
        <is>
          <t>美妆个护</t>
        </is>
      </c>
      <c r="U3419" t="inlineStr">
        <is>
          <t>护肤彩妆</t>
        </is>
      </c>
      <c r="V3419" s="3">
        <v>46112.78107638889</v>
      </c>
      <c r="W3419" t="inlineStr">
        <is>
          <t>2026-Q1</t>
        </is>
      </c>
    </row>
    <row r="3420" ht="25.5" customHeight="1">
      <c r="A3420" t="inlineStr">
        <is>
          <t>海派甜心釉下彩苹果碗陶瓷碗具餐盘套装</t>
        </is>
      </c>
      <c r="B3420" t="inlineStr">
        <is>
          <t>recvfjOYGLvN7p.jpg</t>
        </is>
      </c>
      <c r="C3420" s="2" t="str">
        <f>=HYPERLINK("https://xhslink.com/m/AaelVu0ISYs", "https://xhslink.com/m/AaelVu0ISYs")</f>
        <v>https://xhslink.com/m/AaelVu0ISYs</v>
      </c>
      <c r="D3420"/>
      <c r="E3420">
        <v>12000</v>
      </c>
      <c r="F3420">
        <v>12.9</v>
      </c>
      <c r="G3420">
        <v>10.96</v>
      </c>
      <c r="H3420">
        <v>100</v>
      </c>
      <c r="I3420" t="inlineStr">
        <is>
          <t>厨房用品</t>
        </is>
      </c>
      <c r="J3420" t="inlineStr">
        <is>
          <t>0.01</t>
        </is>
      </c>
      <c r="K3420" t="inlineStr">
        <is>
          <t>🔥低粉爆款</t>
        </is>
      </c>
      <c r="L3420" t="inlineStr">
        <is>
          <t>I77 HOME（乾誉）的店</t>
        </is>
      </c>
      <c r="M3420">
        <v>774</v>
      </c>
      <c r="N3420">
        <v>4.5</v>
      </c>
      <c r="O3420">
        <v>16000</v>
      </c>
      <c r="P3420" t="inlineStr">
        <is>
          <t>684bcf6c802c620001f9b08e</t>
        </is>
      </c>
      <c r="Q3420" t="inlineStr">
        <is>
          <t>🚫重复</t>
        </is>
      </c>
      <c r="R3420" t="inlineStr">
        <is>
          <t>14周</t>
        </is>
      </c>
      <c r="S3420" t="inlineStr">
        <is>
          <t>15.50</t>
        </is>
      </c>
      <c r="T3420" t="inlineStr">
        <is>
          <t>家居生活</t>
        </is>
      </c>
      <c r="U3420" t="inlineStr">
        <is>
          <t>厨房餐饮</t>
        </is>
      </c>
      <c r="V3420" s="3">
        <v>46112.78107638889</v>
      </c>
      <c r="W3420" t="inlineStr">
        <is>
          <t>2026-Q1</t>
        </is>
      </c>
    </row>
    <row r="3421" ht="25.5" customHeight="1">
      <c r="A3421" t="inlineStr">
        <is>
          <t>拼豆盒豆铲拼豆收纳盒二合一满25包邮</t>
        </is>
      </c>
      <c r="B3421" t="inlineStr">
        <is>
          <t>recvfjOYGLOB5Q.jpg</t>
        </is>
      </c>
      <c r="C3421" s="2" t="str">
        <f>=HYPERLINK("https://xhslink.com/m/1MBk5BKdixi", "https://xhslink.com/m/1MBk5BKdixi")</f>
        <v>https://xhslink.com/m/1MBk5BKdixi</v>
      </c>
      <c r="D3421"/>
      <c r="E3421">
        <v>4291</v>
      </c>
      <c r="F3421">
        <v>8.8</v>
      </c>
      <c r="G3421"/>
      <c r="H3421">
        <v>100</v>
      </c>
      <c r="I3421" t="inlineStr">
        <is>
          <t>拼豆</t>
        </is>
      </c>
      <c r="J3421" t="inlineStr">
        <is>
          <t>0.02</t>
        </is>
      </c>
      <c r="K3421" t="inlineStr">
        <is>
          <t>🔥低粉爆款</t>
        </is>
      </c>
      <c r="L3421" t="inlineStr">
        <is>
          <t>云间造物录的店</t>
        </is>
      </c>
      <c r="M3421">
        <v>256</v>
      </c>
      <c r="N3421">
        <v>4.59</v>
      </c>
      <c r="O3421">
        <v>5791</v>
      </c>
      <c r="P3421" t="inlineStr">
        <is>
          <t>69ab654670850a0001ffb5cd</t>
        </is>
      </c>
      <c r="Q3421"/>
      <c r="R3421" t="inlineStr">
        <is>
          <t>14周</t>
        </is>
      </c>
      <c r="S3421" t="inlineStr">
        <is>
          <t>16.76</t>
        </is>
      </c>
      <c r="T3421" t="inlineStr">
        <is>
          <t>家居生活</t>
        </is>
      </c>
      <c r="U3421" t="inlineStr">
        <is>
          <t>家居日用</t>
        </is>
      </c>
      <c r="V3421" s="3">
        <v>46112.78107638889</v>
      </c>
      <c r="W3421" t="inlineStr">
        <is>
          <t>2026-Q1</t>
        </is>
      </c>
    </row>
    <row r="3422" ht="25.5" customHeight="1">
      <c r="A3422" t="inlineStr">
        <is>
          <t>304不锈钢沥水架厨房置物架附导水托盘台面碗筷收纳架家用沥水架</t>
        </is>
      </c>
      <c r="B3422" t="inlineStr">
        <is>
          <t>recvfjOYGLn5gf.jpg</t>
        </is>
      </c>
      <c r="C3422" s="2" t="str">
        <f>=HYPERLINK("https://xhslink.com/m/AmPLllrzFB3", "https://xhslink.com/m/AmPLllrzFB3")</f>
        <v>https://xhslink.com/m/AmPLllrzFB3</v>
      </c>
      <c r="D3422"/>
      <c r="E3422">
        <v>4994</v>
      </c>
      <c r="F3422">
        <v>138</v>
      </c>
      <c r="G3422">
        <v>117.3</v>
      </c>
      <c r="H3422">
        <v>100</v>
      </c>
      <c r="I3422" t="inlineStr">
        <is>
          <t>厨房收纳</t>
        </is>
      </c>
      <c r="J3422" t="inlineStr">
        <is>
          <t>0.02</t>
        </is>
      </c>
      <c r="K3422" t="inlineStr">
        <is>
          <t>🔥低粉爆款</t>
        </is>
      </c>
      <c r="L3422" t="inlineStr">
        <is>
          <t>希以安轩的店</t>
        </is>
      </c>
      <c r="M3422">
        <v>668</v>
      </c>
      <c r="N3422">
        <v>4.62</v>
      </c>
      <c r="O3422">
        <v>6145</v>
      </c>
      <c r="P3422" t="inlineStr">
        <is>
          <t>67cacf2af2389c0001833cc8</t>
        </is>
      </c>
      <c r="Q3422" t="inlineStr">
        <is>
          <t>🚫重复</t>
        </is>
      </c>
      <c r="R3422" t="inlineStr">
        <is>
          <t>14周</t>
        </is>
      </c>
      <c r="S3422" t="inlineStr">
        <is>
          <t>7.48</t>
        </is>
      </c>
      <c r="T3422" t="inlineStr">
        <is>
          <t>家居生活</t>
        </is>
      </c>
      <c r="U3422" t="inlineStr">
        <is>
          <t>厨房餐饮</t>
        </is>
      </c>
      <c r="V3422" s="3">
        <v>46112.78107638889</v>
      </c>
      <c r="W3422" t="inlineStr">
        <is>
          <t>2026-Q1</t>
        </is>
      </c>
    </row>
    <row r="3423" ht="25.5" customHeight="1">
      <c r="A3423" t="inlineStr">
        <is>
          <t>【顺丰包邮】云南蓝莓花香蓝莓抚仙湖蓝莓脆甜带花香</t>
        </is>
      </c>
      <c r="B3423" t="inlineStr">
        <is>
          <t>recvfjOYGLOVWR.jpg</t>
        </is>
      </c>
      <c r="C3423" s="2" t="str">
        <f>=HYPERLINK("https://xhslink.com/m/AnZIJDSQJ8l", "https://xhslink.com/m/AnZIJDSQJ8l")</f>
        <v>https://xhslink.com/m/AnZIJDSQJ8l</v>
      </c>
      <c r="D3423"/>
      <c r="E3423">
        <v>187000</v>
      </c>
      <c r="F3423">
        <v>79.8</v>
      </c>
      <c r="G3423">
        <v>57.8</v>
      </c>
      <c r="H3423">
        <v>100</v>
      </c>
      <c r="I3423" t="inlineStr">
        <is>
          <t>水果</t>
        </is>
      </c>
      <c r="J3423" t="inlineStr">
        <is>
          <t>0.00</t>
        </is>
      </c>
      <c r="K3423" t="inlineStr">
        <is>
          <t>🔥低粉爆款</t>
        </is>
      </c>
      <c r="L3423" t="inlineStr">
        <is>
          <t>sweet果记的店</t>
        </is>
      </c>
      <c r="M3423">
        <v>31000</v>
      </c>
      <c r="N3423">
        <v>4.46</v>
      </c>
      <c r="O3423">
        <v>336000</v>
      </c>
      <c r="P3423" t="inlineStr">
        <is>
          <t>63ef981f6143370001d43178</t>
        </is>
      </c>
      <c r="Q3423" t="inlineStr">
        <is>
          <t>🚫重复</t>
        </is>
      </c>
      <c r="R3423" t="inlineStr">
        <is>
          <t>14周</t>
        </is>
      </c>
      <c r="S3423" t="inlineStr">
        <is>
          <t>6.03</t>
        </is>
      </c>
      <c r="T3423" t="inlineStr">
        <is>
          <t>美食滋补</t>
        </is>
      </c>
      <c r="U3423" t="inlineStr">
        <is>
          <t>生鲜特产</t>
        </is>
      </c>
      <c r="V3423" s="3">
        <v>46112.78107638889</v>
      </c>
      <c r="W3423" t="inlineStr">
        <is>
          <t>2026-Q1</t>
        </is>
      </c>
    </row>
    <row r="3424" ht="25.5" customHeight="1">
      <c r="A3424" t="inlineStr">
        <is>
          <t>酸嘢脆甜大青芒送辣椒面酸梅粉脆爽口芒果花学生开胃吃货</t>
        </is>
      </c>
      <c r="B3424" t="inlineStr">
        <is>
          <t>recvfjOYGL9UD0.jpg</t>
        </is>
      </c>
      <c r="C3424" s="2" t="str">
        <f>=HYPERLINK("https://xhslink.com/m/6Otu90ZGCIw", "https://xhslink.com/m/6Otu90ZGCIw")</f>
        <v>https://xhslink.com/m/6Otu90ZGCIw</v>
      </c>
      <c r="D3424"/>
      <c r="E3424">
        <v>358000</v>
      </c>
      <c r="F3424">
        <v>47.8</v>
      </c>
      <c r="G3424">
        <v>35.9</v>
      </c>
      <c r="H3424">
        <v>100</v>
      </c>
      <c r="I3424" t="inlineStr">
        <is>
          <t>水果</t>
        </is>
      </c>
      <c r="J3424" t="inlineStr">
        <is>
          <t>0.00</t>
        </is>
      </c>
      <c r="K3424" t="inlineStr">
        <is>
          <t>🔥低粉爆款</t>
        </is>
      </c>
      <c r="L3424" t="inlineStr">
        <is>
          <t>朱一一的水果铺的店</t>
        </is>
      </c>
      <c r="M3424">
        <v>31000</v>
      </c>
      <c r="N3424">
        <v>4.56</v>
      </c>
      <c r="O3424">
        <v>561000</v>
      </c>
      <c r="P3424" t="inlineStr">
        <is>
          <t>65f3ee76e1eb440001b8dcc1</t>
        </is>
      </c>
      <c r="Q3424" t="inlineStr">
        <is>
          <t>🚫重复</t>
        </is>
      </c>
      <c r="R3424" t="inlineStr">
        <is>
          <t>14周</t>
        </is>
      </c>
      <c r="S3424" t="inlineStr">
        <is>
          <t>11.55</t>
        </is>
      </c>
      <c r="T3424" t="inlineStr">
        <is>
          <t>美食滋补</t>
        </is>
      </c>
      <c r="U3424" t="inlineStr">
        <is>
          <t>生鲜特产</t>
        </is>
      </c>
      <c r="V3424" s="3">
        <v>46112.78107638889</v>
      </c>
      <c r="W3424" t="inlineStr">
        <is>
          <t>2026-Q1</t>
        </is>
      </c>
    </row>
    <row r="3425" ht="25.5" customHeight="1">
      <c r="A3425" t="inlineStr">
        <is>
          <t>【脆粉两吃】甘肃天水花牛苹果圣诞苹果新鲜水果蛇果宝宝辅食刮泥</t>
        </is>
      </c>
      <c r="B3425" t="inlineStr">
        <is>
          <t>recvfjOYGLV9lL.jpg</t>
        </is>
      </c>
      <c r="C3425" s="2" t="str">
        <f>=HYPERLINK("https://xhslink.com/m/2aMMesSES0k", "https://xhslink.com/m/2aMMesSES0k")</f>
        <v>https://xhslink.com/m/2aMMesSES0k</v>
      </c>
      <c r="D3425"/>
      <c r="E3425">
        <v>196000</v>
      </c>
      <c r="F3425">
        <v>43.9</v>
      </c>
      <c r="G3425">
        <v>33.9</v>
      </c>
      <c r="H3425">
        <v>100</v>
      </c>
      <c r="I3425" t="inlineStr">
        <is>
          <t>水果</t>
        </is>
      </c>
      <c r="J3425" t="inlineStr">
        <is>
          <t>0.00</t>
        </is>
      </c>
      <c r="K3425" t="inlineStr">
        <is>
          <t>🔥低粉爆款</t>
        </is>
      </c>
      <c r="L3425" t="inlineStr">
        <is>
          <t>七分甜的店</t>
        </is>
      </c>
      <c r="M3425">
        <v>25000</v>
      </c>
      <c r="N3425">
        <v>4.59</v>
      </c>
      <c r="O3425">
        <v>346000</v>
      </c>
      <c r="P3425" t="inlineStr">
        <is>
          <t>69ae268430144300011b5cd7</t>
        </is>
      </c>
      <c r="Q3425"/>
      <c r="R3425" t="inlineStr">
        <is>
          <t>14周</t>
        </is>
      </c>
      <c r="S3425" t="inlineStr">
        <is>
          <t>7.84</t>
        </is>
      </c>
      <c r="T3425" t="inlineStr">
        <is>
          <t>美食滋补</t>
        </is>
      </c>
      <c r="U3425" t="inlineStr">
        <is>
          <t>生鲜特产</t>
        </is>
      </c>
      <c r="V3425" s="3">
        <v>46112.78107638889</v>
      </c>
      <c r="W3425" t="inlineStr">
        <is>
          <t>2026-Q1</t>
        </is>
      </c>
    </row>
    <row r="3426" ht="25.5" customHeight="1">
      <c r="A3426" t="inlineStr">
        <is>
          <t>素乾乾 · 顺丰现摘云南新鲜红皮无花果 甜糯盒装应季农家孕妇高原水果</t>
        </is>
      </c>
      <c r="B3426" t="inlineStr">
        <is>
          <t>recvfjOYGL52OD.jpg</t>
        </is>
      </c>
      <c r="C3426" s="2" t="str">
        <f>=HYPERLINK("https://xhslink.com/m/3e0L0oR6M39", "https://xhslink.com/m/3e0L0oR6M39")</f>
        <v>https://xhslink.com/m/3e0L0oR6M39</v>
      </c>
      <c r="D3426"/>
      <c r="E3426">
        <v>69000</v>
      </c>
      <c r="F3426">
        <v>68.9</v>
      </c>
      <c r="G3426"/>
      <c r="H3426">
        <v>100</v>
      </c>
      <c r="I3426" t="inlineStr">
        <is>
          <t>水果</t>
        </is>
      </c>
      <c r="J3426" t="inlineStr">
        <is>
          <t>0.00</t>
        </is>
      </c>
      <c r="K3426" t="inlineStr">
        <is>
          <t>🔥低粉爆款</t>
        </is>
      </c>
      <c r="L3426" t="inlineStr">
        <is>
          <t>素乾乾旗舰店</t>
        </is>
      </c>
      <c r="M3426">
        <v>2778</v>
      </c>
      <c r="N3426">
        <v>4.62</v>
      </c>
      <c r="O3426">
        <v>75000</v>
      </c>
      <c r="P3426" t="inlineStr">
        <is>
          <t>69a503ab5be6c10001f13143</t>
        </is>
      </c>
      <c r="Q3426" t="inlineStr">
        <is>
          <t>🚫重复</t>
        </is>
      </c>
      <c r="R3426" t="inlineStr">
        <is>
          <t>14周</t>
        </is>
      </c>
      <c r="S3426" t="inlineStr">
        <is>
          <t>24.84</t>
        </is>
      </c>
      <c r="T3426" t="inlineStr">
        <is>
          <t>美食滋补</t>
        </is>
      </c>
      <c r="U3426" t="inlineStr">
        <is>
          <t>生鲜特产</t>
        </is>
      </c>
      <c r="V3426" s="3">
        <v>46112.78107638889</v>
      </c>
      <c r="W3426" t="inlineStr">
        <is>
          <t>2026-Q1</t>
        </is>
      </c>
    </row>
    <row r="3427" ht="25.5" customHeight="1">
      <c r="A3427" t="inlineStr">
        <is>
          <t>加酸版酸梅粒话梅肉话梅无核梅子干桃梅肉酸甜微咸蜜饯休闲零食</t>
        </is>
      </c>
      <c r="B3427" t="inlineStr">
        <is>
          <t>recvfjOYGL6xra_fix.jpg</t>
        </is>
      </c>
      <c r="C3427" s="2" t="str">
        <f>=HYPERLINK("https://xhslink.com/m/77HyjrwZpM5", "https://xhslink.com/m/77HyjrwZpM5")</f>
        <v>https://xhslink.com/m/77HyjrwZpM5</v>
      </c>
      <c r="D3427"/>
      <c r="E3427">
        <v>99000</v>
      </c>
      <c r="F3427">
        <v>26.8</v>
      </c>
      <c r="G3427">
        <v>14.8</v>
      </c>
      <c r="H3427">
        <v>100</v>
      </c>
      <c r="I3427" t="inlineStr">
        <is>
          <t>办公零食</t>
        </is>
      </c>
      <c r="J3427" t="inlineStr">
        <is>
          <t>0.00</t>
        </is>
      </c>
      <c r="K3427" t="inlineStr">
        <is>
          <t>🔥低粉爆款</t>
        </is>
      </c>
      <c r="L3427" t="inlineStr">
        <is>
          <t>潮汕零食牛牛🐮的店</t>
        </is>
      </c>
      <c r="M3427">
        <v>28000</v>
      </c>
      <c r="N3427">
        <v>4.56</v>
      </c>
      <c r="O3427">
        <v>289000</v>
      </c>
      <c r="P3427" t="inlineStr">
        <is>
          <t>67136ce9edb7ca0001172e1b</t>
        </is>
      </c>
      <c r="Q3427" t="inlineStr">
        <is>
          <t>🚫重复</t>
        </is>
      </c>
      <c r="R3427" t="inlineStr">
        <is>
          <t>14周</t>
        </is>
      </c>
      <c r="S3427" t="inlineStr">
        <is>
          <t>3.54</t>
        </is>
      </c>
      <c r="T3427" t="inlineStr">
        <is>
          <t>美食滋补</t>
        </is>
      </c>
      <c r="U3427" t="inlineStr">
        <is>
          <t>休闲零食</t>
        </is>
      </c>
      <c r="V3427" s="3">
        <v>46112.78107638889</v>
      </c>
      <c r="W3427" t="inlineStr">
        <is>
          <t>2026-Q1</t>
        </is>
      </c>
    </row>
    <row r="3428" ht="25.5" customHeight="1">
      <c r="A3428" t="inlineStr">
        <is>
          <t>本宫饿了 · 最新！拉丝奶酥办公室零食宿舍零食休闲零食早餐下午茶【7口味】</t>
        </is>
      </c>
      <c r="B3428" t="inlineStr">
        <is>
          <t>recvfjOYGLytz2_fix.jpg</t>
        </is>
      </c>
      <c r="C3428" s="2" t="str">
        <f>=HYPERLINK("https://xhslink.com/m/9l5tjNr6cq3", "https://xhslink.com/m/9l5tjNr6cq3")</f>
        <v>https://xhslink.com/m/9l5tjNr6cq3</v>
      </c>
      <c r="D3428"/>
      <c r="E3428">
        <v>582</v>
      </c>
      <c r="F3428">
        <v>58.8</v>
      </c>
      <c r="G3428">
        <v>57.8</v>
      </c>
      <c r="H3428">
        <v>100</v>
      </c>
      <c r="I3428" t="inlineStr">
        <is>
          <t>办公零食</t>
        </is>
      </c>
      <c r="J3428" t="inlineStr">
        <is>
          <t>0.17</t>
        </is>
      </c>
      <c r="K3428"/>
      <c r="L3428" t="inlineStr">
        <is>
          <t>本宫饿了旗舰店</t>
        </is>
      </c>
      <c r="M3428">
        <v>78000</v>
      </c>
      <c r="N3428">
        <v>4.66</v>
      </c>
      <c r="O3428">
        <v>384000</v>
      </c>
      <c r="P3428" t="inlineStr">
        <is>
          <t>67fcc1e6ec137400015633b9</t>
        </is>
      </c>
      <c r="Q3428"/>
      <c r="R3428" t="inlineStr">
        <is>
          <t>14周</t>
        </is>
      </c>
      <c r="S3428" t="inlineStr">
        <is>
          <t>0.01</t>
        </is>
      </c>
      <c r="T3428" t="inlineStr">
        <is>
          <t>美食滋补</t>
        </is>
      </c>
      <c r="U3428" t="inlineStr">
        <is>
          <t>休闲零食</t>
        </is>
      </c>
      <c r="V3428" s="3">
        <v>46112.78107638889</v>
      </c>
      <c r="W3428" t="inlineStr">
        <is>
          <t>2026-Q1</t>
        </is>
      </c>
    </row>
    <row r="3429" ht="25.5" customHeight="1">
      <c r="A3429" t="inlineStr">
        <is>
          <t>奥舒尔 · 【3C认证】20000毫安充电宝迷你便携自带线超级快充通用所有手机</t>
        </is>
      </c>
      <c r="B3429" t="inlineStr">
        <is>
          <t>recvfjOYGLWBCd_fix.jpg</t>
        </is>
      </c>
      <c r="C3429" s="2" t="str">
        <f>=HYPERLINK("https://xhslink.com/m/4hNm85fO7ym", "https://xhslink.com/m/4hNm85fO7ym")</f>
        <v>https://xhslink.com/m/4hNm85fO7ym</v>
      </c>
      <c r="D3429"/>
      <c r="E3429">
        <v>2111</v>
      </c>
      <c r="F3429">
        <v>79.9</v>
      </c>
      <c r="G3429">
        <v>49.9</v>
      </c>
      <c r="H3429">
        <v>100</v>
      </c>
      <c r="I3429" t="inlineStr">
        <is>
          <t>充电宝</t>
        </is>
      </c>
      <c r="J3429" t="inlineStr">
        <is>
          <t>0.05</t>
        </is>
      </c>
      <c r="K3429" t="inlineStr">
        <is>
          <t>🔥低粉爆款</t>
        </is>
      </c>
      <c r="L3429" t="inlineStr">
        <is>
          <t>亿润通电子产品的店</t>
        </is>
      </c>
      <c r="M3429">
        <v>215</v>
      </c>
      <c r="N3429">
        <v>4.43</v>
      </c>
      <c r="O3429">
        <v>3238</v>
      </c>
      <c r="P3429" t="inlineStr">
        <is>
          <t>6888def59e837400017b13a4</t>
        </is>
      </c>
      <c r="Q3429" t="inlineStr">
        <is>
          <t>🚫重复</t>
        </is>
      </c>
      <c r="R3429" t="inlineStr">
        <is>
          <t>14周</t>
        </is>
      </c>
      <c r="S3429" t="inlineStr">
        <is>
          <t>9.82</t>
        </is>
      </c>
      <c r="T3429" t="inlineStr">
        <is>
          <t>数码家电</t>
        </is>
      </c>
      <c r="U3429" t="inlineStr">
        <is>
          <t>数码配件</t>
        </is>
      </c>
      <c r="V3429" s="3">
        <v>46112.78107638889</v>
      </c>
      <c r="W3429" t="inlineStr">
        <is>
          <t>2026-Q1</t>
        </is>
      </c>
    </row>
    <row r="3430" ht="25.5" customHeight="1">
      <c r="A3430" t="inlineStr">
        <is>
          <t>沃品 · 三合一小方糖充电宝带插头双快充线飞机苹果安卓10000 毫安</t>
        </is>
      </c>
      <c r="B3430" t="inlineStr">
        <is>
          <t>recvfjOYGLHuxe_fix.jpg</t>
        </is>
      </c>
      <c r="C3430" s="2" t="str">
        <f>=HYPERLINK("https://xhslink.com/m/93HJBM2lwGa", "https://xhslink.com/m/93HJBM2lwGa")</f>
        <v>https://xhslink.com/m/93HJBM2lwGa</v>
      </c>
      <c r="D3430"/>
      <c r="E3430">
        <v>17000</v>
      </c>
      <c r="F3430">
        <v>209</v>
      </c>
      <c r="G3430">
        <v>169</v>
      </c>
      <c r="H3430">
        <v>100</v>
      </c>
      <c r="I3430" t="inlineStr">
        <is>
          <t>充电宝</t>
        </is>
      </c>
      <c r="J3430" t="inlineStr">
        <is>
          <t>0.01</t>
        </is>
      </c>
      <c r="K3430"/>
      <c r="L3430" t="inlineStr">
        <is>
          <t>WOPOW沃品旗舰店</t>
        </is>
      </c>
      <c r="M3430">
        <v>45000</v>
      </c>
      <c r="N3430">
        <v>4.71</v>
      </c>
      <c r="O3430">
        <v>147000</v>
      </c>
      <c r="P3430" t="inlineStr">
        <is>
          <t>67a9bc4a7e87ac0001cebd0e</t>
        </is>
      </c>
      <c r="Q3430" t="inlineStr">
        <is>
          <t>🚫重复</t>
        </is>
      </c>
      <c r="R3430" t="inlineStr">
        <is>
          <t>14周</t>
        </is>
      </c>
      <c r="S3430" t="inlineStr">
        <is>
          <t>0.38</t>
        </is>
      </c>
      <c r="T3430" t="inlineStr">
        <is>
          <t>数码家电</t>
        </is>
      </c>
      <c r="U3430" t="inlineStr">
        <is>
          <t>数码配件</t>
        </is>
      </c>
      <c r="V3430" s="3">
        <v>46112.78107638889</v>
      </c>
      <c r="W3430" t="inlineStr">
        <is>
          <t>2026-Q1</t>
        </is>
      </c>
    </row>
    <row r="3431" ht="25.5" customHeight="1">
      <c r="A3431" t="inlineStr">
        <is>
          <t>Roiskin · 【3c认证可上飞机】三合一磁吸充电宝20000毫安自带线插头快充</t>
        </is>
      </c>
      <c r="B3431" t="inlineStr">
        <is>
          <t>recvfjOYGL0r5A.jpg</t>
        </is>
      </c>
      <c r="C3431" s="2" t="str">
        <f>=HYPERLINK("https://xhslink.com/m/29Hdd0xFgeO", "https://xhslink.com/m/29Hdd0xFgeO")</f>
        <v>https://xhslink.com/m/29Hdd0xFgeO</v>
      </c>
      <c r="D3431"/>
      <c r="E3431">
        <v>2726</v>
      </c>
      <c r="F3431">
        <v>142</v>
      </c>
      <c r="G3431">
        <v>117</v>
      </c>
      <c r="H3431">
        <v>100</v>
      </c>
      <c r="I3431" t="inlineStr">
        <is>
          <t>充电宝</t>
        </is>
      </c>
      <c r="J3431" t="inlineStr">
        <is>
          <t>0.04</t>
        </is>
      </c>
      <c r="K3431"/>
      <c r="L3431" t="inlineStr">
        <is>
          <t>Roiskin旗舰店</t>
        </is>
      </c>
      <c r="M3431">
        <v>2363</v>
      </c>
      <c r="N3431">
        <v>4.53</v>
      </c>
      <c r="O3431">
        <v>9431</v>
      </c>
      <c r="P3431" t="inlineStr">
        <is>
          <t>6879df2c071cdc00013318c6</t>
        </is>
      </c>
      <c r="Q3431"/>
      <c r="R3431" t="inlineStr">
        <is>
          <t>14周</t>
        </is>
      </c>
      <c r="S3431" t="inlineStr">
        <is>
          <t>1.15</t>
        </is>
      </c>
      <c r="T3431" t="inlineStr">
        <is>
          <t>数码家电</t>
        </is>
      </c>
      <c r="U3431" t="inlineStr">
        <is>
          <t>数码配件</t>
        </is>
      </c>
      <c r="V3431" s="3">
        <v>46112.78107638889</v>
      </c>
      <c r="W3431" t="inlineStr">
        <is>
          <t>2026-Q1</t>
        </is>
      </c>
    </row>
    <row r="3432" ht="25.5" customHeight="1">
      <c r="A3432" t="inlineStr">
        <is>
          <t>原调 · 10000毫安快充自带线插头三合一充电宝磁吸适用苹果华为小米手机</t>
        </is>
      </c>
      <c r="B3432" t="inlineStr">
        <is>
          <t>recvfjOYGLAbLR.jpg</t>
        </is>
      </c>
      <c r="C3432" s="2" t="str">
        <f>=HYPERLINK("https://xhslink.com/m/8QXS2XX8r2J", "https://xhslink.com/m/8QXS2XX8r2J")</f>
        <v>https://xhslink.com/m/8QXS2XX8r2J</v>
      </c>
      <c r="D3432"/>
      <c r="E3432">
        <v>1827</v>
      </c>
      <c r="F3432">
        <v>142</v>
      </c>
      <c r="G3432">
        <v>119</v>
      </c>
      <c r="H3432">
        <v>100</v>
      </c>
      <c r="I3432" t="inlineStr">
        <is>
          <t>充电宝</t>
        </is>
      </c>
      <c r="J3432" t="inlineStr">
        <is>
          <t>0.05</t>
        </is>
      </c>
      <c r="K3432"/>
      <c r="L3432" t="inlineStr">
        <is>
          <t>原调 RROOT旗舰店</t>
        </is>
      </c>
      <c r="M3432">
        <v>2938</v>
      </c>
      <c r="N3432">
        <v>4.56</v>
      </c>
      <c r="O3432">
        <v>10000</v>
      </c>
      <c r="P3432" t="inlineStr">
        <is>
          <t>6878bee6a7c1e30001696b49</t>
        </is>
      </c>
      <c r="Q3432"/>
      <c r="R3432" t="inlineStr">
        <is>
          <t>14周</t>
        </is>
      </c>
      <c r="S3432" t="inlineStr">
        <is>
          <t>0.62</t>
        </is>
      </c>
      <c r="T3432" t="inlineStr">
        <is>
          <t>数码家电</t>
        </is>
      </c>
      <c r="U3432" t="inlineStr">
        <is>
          <t>数码配件</t>
        </is>
      </c>
      <c r="V3432" s="3">
        <v>46112.78107638889</v>
      </c>
      <c r="W3432" t="inlineStr">
        <is>
          <t>2026-Q1</t>
        </is>
      </c>
    </row>
    <row r="3433" ht="25.5" customHeight="1">
      <c r="A3433" t="inlineStr">
        <is>
          <t>磁鱼 · 【3C认证可登机】迷你小彩豆大容量充电宝便携快充自带线适用17</t>
        </is>
      </c>
      <c r="B3433" t="inlineStr">
        <is>
          <t>recvfjOYGLQVPS.jpg</t>
        </is>
      </c>
      <c r="C3433" s="2" t="str">
        <f>=HYPERLINK("https://xhslink.com/m/2FjlqBfssAu", "https://xhslink.com/m/2FjlqBfssAu")</f>
        <v>https://xhslink.com/m/2FjlqBfssAu</v>
      </c>
      <c r="D3433"/>
      <c r="E3433">
        <v>997</v>
      </c>
      <c r="F3433">
        <v>168</v>
      </c>
      <c r="G3433">
        <v>128</v>
      </c>
      <c r="H3433">
        <v>100</v>
      </c>
      <c r="I3433" t="inlineStr">
        <is>
          <t>充电宝</t>
        </is>
      </c>
      <c r="J3433" t="inlineStr">
        <is>
          <t>0.10</t>
        </is>
      </c>
      <c r="K3433" t="inlineStr">
        <is>
          <t>🔥低粉爆款</t>
        </is>
      </c>
      <c r="L3433" t="inlineStr">
        <is>
          <t>磁鱼的店</t>
        </is>
      </c>
      <c r="M3433">
        <v>329</v>
      </c>
      <c r="N3433">
        <v>4.65</v>
      </c>
      <c r="O3433">
        <v>1176</v>
      </c>
      <c r="P3433" t="inlineStr">
        <is>
          <t>69771d6806c72300017cea07</t>
        </is>
      </c>
      <c r="Q3433"/>
      <c r="R3433" t="inlineStr">
        <is>
          <t>14周</t>
        </is>
      </c>
      <c r="S3433" t="inlineStr">
        <is>
          <t>3.03</t>
        </is>
      </c>
      <c r="T3433" t="inlineStr">
        <is>
          <t>数码家电</t>
        </is>
      </c>
      <c r="U3433" t="inlineStr">
        <is>
          <t>数码配件</t>
        </is>
      </c>
      <c r="V3433" s="3">
        <v>46112.78107638889</v>
      </c>
      <c r="W3433" t="inlineStr">
        <is>
          <t>2026-Q1</t>
        </is>
      </c>
    </row>
    <row r="3434" ht="25.5" customHeight="1">
      <c r="A3434" t="inlineStr">
        <is>
          <t>ins风撞色波点苹果17pro max手机壳韩系iphone16适用14软15简约12</t>
        </is>
      </c>
      <c r="B3434" t="inlineStr">
        <is>
          <t>recvfjOYGLVLd7.jpg</t>
        </is>
      </c>
      <c r="C3434" s="2" t="str">
        <f>=HYPERLINK("https://xhslink.com/m/4XVkGuq7iPv", "https://xhslink.com/m/4XVkGuq7iPv")</f>
        <v>https://xhslink.com/m/4XVkGuq7iPv</v>
      </c>
      <c r="D3434"/>
      <c r="E3434">
        <v>7366</v>
      </c>
      <c r="F3434">
        <v>7.8</v>
      </c>
      <c r="G3434"/>
      <c r="H3434">
        <v>100</v>
      </c>
      <c r="I3434" t="inlineStr">
        <is>
          <t>手机壳</t>
        </is>
      </c>
      <c r="J3434" t="inlineStr">
        <is>
          <t>0.01</t>
        </is>
      </c>
      <c r="K3434"/>
      <c r="L3434" t="inlineStr">
        <is>
          <t>没头脑工作室的店</t>
        </is>
      </c>
      <c r="M3434">
        <v>7728</v>
      </c>
      <c r="N3434">
        <v>4.54</v>
      </c>
      <c r="O3434">
        <v>122000</v>
      </c>
      <c r="P3434" t="inlineStr">
        <is>
          <t>68c12b377cab0a0001e0602a</t>
        </is>
      </c>
      <c r="Q3434"/>
      <c r="R3434" t="inlineStr">
        <is>
          <t>14周</t>
        </is>
      </c>
      <c r="S3434" t="inlineStr">
        <is>
          <t>0.95</t>
        </is>
      </c>
      <c r="T3434" t="inlineStr">
        <is>
          <t>数码家电</t>
        </is>
      </c>
      <c r="U3434" t="inlineStr">
        <is>
          <t>数码配件</t>
        </is>
      </c>
      <c r="V3434" s="3">
        <v>46112.78107638889</v>
      </c>
      <c r="W3434" t="inlineStr">
        <is>
          <t>2026-Q1</t>
        </is>
      </c>
    </row>
    <row r="3435" ht="25.5" customHeight="1">
      <c r="A3435" t="inlineStr">
        <is>
          <t>BOW · 粉底液三模无线蓝牙键盘鼠标电脑女生游戏办公专用静音键帽个性化</t>
        </is>
      </c>
      <c r="B3435" t="inlineStr">
        <is>
          <t>recvfjOYGLnOEd.jpg</t>
        </is>
      </c>
      <c r="C3435" s="2" t="str">
        <f>=HYPERLINK("https://xhslink.com/m/4C0n3OZBJkU", "https://xhslink.com/m/4C0n3OZBJkU")</f>
        <v>https://xhslink.com/m/4C0n3OZBJkU</v>
      </c>
      <c r="D3435"/>
      <c r="E3435">
        <v>958</v>
      </c>
      <c r="F3435">
        <v>159</v>
      </c>
      <c r="G3435">
        <v>109</v>
      </c>
      <c r="H3435">
        <v>100</v>
      </c>
      <c r="I3435" t="inlineStr">
        <is>
          <t>手机支架</t>
        </is>
      </c>
      <c r="J3435" t="inlineStr">
        <is>
          <t>0.10</t>
        </is>
      </c>
      <c r="K3435"/>
      <c r="L3435" t="inlineStr">
        <is>
          <t>B.O.W旗舰店</t>
        </is>
      </c>
      <c r="M3435">
        <v>68000</v>
      </c>
      <c r="N3435">
        <v>4.5</v>
      </c>
      <c r="O3435">
        <v>15000</v>
      </c>
      <c r="P3435" t="inlineStr">
        <is>
          <t>68e7a304c753610001be3368</t>
        </is>
      </c>
      <c r="Q3435"/>
      <c r="R3435" t="inlineStr">
        <is>
          <t>14周</t>
        </is>
      </c>
      <c r="S3435" t="inlineStr">
        <is>
          <t>0.01</t>
        </is>
      </c>
      <c r="T3435" t="inlineStr">
        <is>
          <t>数码家电</t>
        </is>
      </c>
      <c r="U3435" t="inlineStr">
        <is>
          <t>数码配件</t>
        </is>
      </c>
      <c r="V3435" s="3">
        <v>46112.78107638889</v>
      </c>
      <c r="W3435" t="inlineStr">
        <is>
          <t>2026-Q1</t>
        </is>
      </c>
    </row>
    <row r="3436" ht="25.5" customHeight="1">
      <c r="A3436" t="inlineStr">
        <is>
          <t>元气方糖 · 【开学季】Z82mini乳酸菌无线静音机械键盘办公高颜值女生礼物</t>
        </is>
      </c>
      <c r="B3436" t="inlineStr">
        <is>
          <t>recvfjOYGL6azq.jpg</t>
        </is>
      </c>
      <c r="C3436" s="2" t="str">
        <f>=HYPERLINK("https://xhslink.com/m/ACsiQhpY9VG", "https://xhslink.com/m/ACsiQhpY9VG")</f>
        <v>https://xhslink.com/m/ACsiQhpY9VG</v>
      </c>
      <c r="D3436"/>
      <c r="E3436">
        <v>712</v>
      </c>
      <c r="F3436">
        <v>329</v>
      </c>
      <c r="G3436">
        <v>199</v>
      </c>
      <c r="H3436">
        <v>100</v>
      </c>
      <c r="I3436" t="inlineStr">
        <is>
          <t>手机支架</t>
        </is>
      </c>
      <c r="J3436" t="inlineStr">
        <is>
          <t>0.14</t>
        </is>
      </c>
      <c r="K3436"/>
      <c r="L3436" t="inlineStr">
        <is>
          <t>元气方糖旗舰店</t>
        </is>
      </c>
      <c r="M3436">
        <v>20000</v>
      </c>
      <c r="N3436">
        <v>4.64</v>
      </c>
      <c r="O3436">
        <v>12000</v>
      </c>
      <c r="P3436" t="inlineStr">
        <is>
          <t>69324b5abd92f50001751612</t>
        </is>
      </c>
      <c r="Q3436"/>
      <c r="R3436" t="inlineStr">
        <is>
          <t>14周</t>
        </is>
      </c>
      <c r="S3436" t="inlineStr">
        <is>
          <t>0.04</t>
        </is>
      </c>
      <c r="T3436" t="inlineStr">
        <is>
          <t>数码家电</t>
        </is>
      </c>
      <c r="U3436" t="inlineStr">
        <is>
          <t>数码配件</t>
        </is>
      </c>
      <c r="V3436" s="3">
        <v>46112.78107638889</v>
      </c>
      <c r="W3436" t="inlineStr">
        <is>
          <t>2026-Q1</t>
        </is>
      </c>
    </row>
    <row r="3437" ht="25.5" customHeight="1">
      <c r="A3437" t="inlineStr">
        <is>
          <t>马卡龙配色Y50平板支架8-10寸平板全金属懒人追剧便携升降旋支架</t>
        </is>
      </c>
      <c r="B3437" t="inlineStr">
        <is>
          <t>recvfjOYGLtgPl.jpg</t>
        </is>
      </c>
      <c r="C3437" s="2" t="str">
        <f>=HYPERLINK("https://xhslink.com/m/4jXAynJdlZi", "https://xhslink.com/m/4jXAynJdlZi")</f>
        <v>https://xhslink.com/m/4jXAynJdlZi</v>
      </c>
      <c r="D3437"/>
      <c r="E3437">
        <v>38000</v>
      </c>
      <c r="F3437">
        <v>25.88</v>
      </c>
      <c r="G3437">
        <v>16.88</v>
      </c>
      <c r="H3437">
        <v>100</v>
      </c>
      <c r="I3437" t="inlineStr">
        <is>
          <t>手机支架</t>
        </is>
      </c>
      <c r="J3437" t="inlineStr">
        <is>
          <t>0.00</t>
        </is>
      </c>
      <c r="K3437" t="inlineStr">
        <is>
          <t>🔥低粉爆款</t>
        </is>
      </c>
      <c r="L3437" t="inlineStr">
        <is>
          <t>Century&amp;AI ｜生产力的店</t>
        </is>
      </c>
      <c r="M3437">
        <v>7261</v>
      </c>
      <c r="N3437">
        <v>4.67</v>
      </c>
      <c r="O3437">
        <v>129000</v>
      </c>
      <c r="P3437" t="inlineStr">
        <is>
          <t>67a6fb4ef4fe140001727226</t>
        </is>
      </c>
      <c r="Q3437" t="inlineStr">
        <is>
          <t>🚫重复</t>
        </is>
      </c>
      <c r="R3437" t="inlineStr">
        <is>
          <t>14周</t>
        </is>
      </c>
      <c r="S3437" t="inlineStr">
        <is>
          <t>5.23</t>
        </is>
      </c>
      <c r="T3437" t="inlineStr">
        <is>
          <t>数码家电</t>
        </is>
      </c>
      <c r="U3437" t="inlineStr">
        <is>
          <t>数码配件</t>
        </is>
      </c>
      <c r="V3437" s="3">
        <v>46112.78107638889</v>
      </c>
      <c r="W3437" t="inlineStr">
        <is>
          <t>2026-Q1</t>
        </is>
      </c>
    </row>
    <row r="3438" ht="25.5" customHeight="1">
      <c r="A3438" t="inlineStr">
        <is>
          <t>【前1000单特价】双面磁吸手机支架大全合金材质桌面支架赠磁吸环</t>
        </is>
      </c>
      <c r="B3438" t="inlineStr">
        <is>
          <t>recvfjOYGLfVX8.jpg</t>
        </is>
      </c>
      <c r="C3438" s="2" t="str">
        <f>=HYPERLINK("https://xhslink.com/m/3mrxpQBWyWn", "https://xhslink.com/m/3mrxpQBWyWn")</f>
        <v>https://xhslink.com/m/3mrxpQBWyWn</v>
      </c>
      <c r="D3438"/>
      <c r="E3438">
        <v>18000</v>
      </c>
      <c r="F3438">
        <v>33.9</v>
      </c>
      <c r="G3438">
        <v>32.9</v>
      </c>
      <c r="H3438">
        <v>100</v>
      </c>
      <c r="I3438" t="inlineStr">
        <is>
          <t>手机支架</t>
        </is>
      </c>
      <c r="J3438" t="inlineStr">
        <is>
          <t>0.01</t>
        </is>
      </c>
      <c r="K3438" t="inlineStr">
        <is>
          <t>🔥低粉爆款</t>
        </is>
      </c>
      <c r="L3438" t="inlineStr">
        <is>
          <t>Hi-Tech的店</t>
        </is>
      </c>
      <c r="M3438">
        <v>398</v>
      </c>
      <c r="N3438">
        <v>4.51</v>
      </c>
      <c r="O3438">
        <v>20000</v>
      </c>
      <c r="P3438" t="inlineStr">
        <is>
          <t>69587a29110a7f0001e082ed</t>
        </is>
      </c>
      <c r="Q3438" t="inlineStr">
        <is>
          <t>🚫重复</t>
        </is>
      </c>
      <c r="R3438" t="inlineStr">
        <is>
          <t>14周</t>
        </is>
      </c>
      <c r="S3438" t="inlineStr">
        <is>
          <t>45.23</t>
        </is>
      </c>
      <c r="T3438" t="inlineStr">
        <is>
          <t>数码家电</t>
        </is>
      </c>
      <c r="U3438" t="inlineStr">
        <is>
          <t>数码配件</t>
        </is>
      </c>
      <c r="V3438" s="3">
        <v>46112.78107638889</v>
      </c>
      <c r="W3438" t="inlineStr">
        <is>
          <t>2026-Q1</t>
        </is>
      </c>
    </row>
    <row r="3439" ht="25.5" customHeight="1">
      <c r="A3439" t="inlineStr">
        <is>
          <t>便携款四脚伸缩支架支持手机/大疆/相机(影石不支持！) 1.35m</t>
        </is>
      </c>
      <c r="B3439" t="inlineStr">
        <is>
          <t>recvfjOYGLufiy.jpg</t>
        </is>
      </c>
      <c r="C3439" s="2" t="str">
        <f>=HYPERLINK("https://xhslink.com/m/9TTi8woIZBl", "https://xhslink.com/m/9TTi8woIZBl")</f>
        <v>https://xhslink.com/m/9TTi8woIZBl</v>
      </c>
      <c r="D3439"/>
      <c r="E3439">
        <v>46000</v>
      </c>
      <c r="F3439">
        <v>68</v>
      </c>
      <c r="G3439"/>
      <c r="H3439">
        <v>100</v>
      </c>
      <c r="I3439" t="inlineStr">
        <is>
          <t>手机支架</t>
        </is>
      </c>
      <c r="J3439" t="inlineStr">
        <is>
          <t>0.00</t>
        </is>
      </c>
      <c r="K3439" t="inlineStr">
        <is>
          <t>🔥低粉爆款</t>
        </is>
      </c>
      <c r="L3439" t="inlineStr">
        <is>
          <t>Alice 的店</t>
        </is>
      </c>
      <c r="M3439">
        <v>4921</v>
      </c>
      <c r="N3439">
        <v>4.7</v>
      </c>
      <c r="O3439">
        <v>49000</v>
      </c>
      <c r="P3439" t="inlineStr">
        <is>
          <t>6535f3181a2b6f00017de23c</t>
        </is>
      </c>
      <c r="Q3439"/>
      <c r="R3439" t="inlineStr">
        <is>
          <t>14周</t>
        </is>
      </c>
      <c r="S3439" t="inlineStr">
        <is>
          <t>9.35</t>
        </is>
      </c>
      <c r="T3439" t="inlineStr">
        <is>
          <t>数码家电</t>
        </is>
      </c>
      <c r="U3439" t="inlineStr">
        <is>
          <t>数码配件</t>
        </is>
      </c>
      <c r="V3439" s="3">
        <v>46112.78107638889</v>
      </c>
      <c r="W3439" t="inlineStr">
        <is>
          <t>2026-Q1</t>
        </is>
      </c>
    </row>
    <row r="3440" ht="25.5" customHeight="1">
      <c r="A3440" t="inlineStr">
        <is>
          <t>其他 · 口袋便携式磁吸手机支架三脚架拍照直播手机支架桌面手持自拍杆</t>
        </is>
      </c>
      <c r="B3440" t="inlineStr">
        <is>
          <t>recvfjOYGLuKRs.jpg</t>
        </is>
      </c>
      <c r="C3440" s="2" t="str">
        <f>=HYPERLINK("https://xhslink.com/m/ArXa2SbnmnC", "https://xhslink.com/m/ArXa2SbnmnC")</f>
        <v>https://xhslink.com/m/ArXa2SbnmnC</v>
      </c>
      <c r="D3440"/>
      <c r="E3440">
        <v>11000</v>
      </c>
      <c r="F3440">
        <v>59.9</v>
      </c>
      <c r="G3440">
        <v>38.9</v>
      </c>
      <c r="H3440">
        <v>100</v>
      </c>
      <c r="I3440" t="inlineStr">
        <is>
          <t>手机支架</t>
        </is>
      </c>
      <c r="J3440" t="inlineStr">
        <is>
          <t>0.01</t>
        </is>
      </c>
      <c r="K3440" t="inlineStr">
        <is>
          <t>🔥低粉爆款</t>
        </is>
      </c>
      <c r="L3440" t="inlineStr">
        <is>
          <t>A暴汗俱乐部的店</t>
        </is>
      </c>
      <c r="M3440">
        <v>100</v>
      </c>
      <c r="N3440">
        <v>4.45</v>
      </c>
      <c r="O3440">
        <v>11000</v>
      </c>
      <c r="P3440" t="inlineStr">
        <is>
          <t>694f4a3963db6a0015b40f1a</t>
        </is>
      </c>
      <c r="Q3440" t="inlineStr">
        <is>
          <t>🚫重复</t>
        </is>
      </c>
      <c r="R3440" t="inlineStr">
        <is>
          <t>14周</t>
        </is>
      </c>
      <c r="S3440" t="inlineStr">
        <is>
          <t>110.00</t>
        </is>
      </c>
      <c r="T3440" t="inlineStr">
        <is>
          <t>数码家电</t>
        </is>
      </c>
      <c r="U3440" t="inlineStr">
        <is>
          <t>数码配件</t>
        </is>
      </c>
      <c r="V3440" s="3">
        <v>46112.78107638889</v>
      </c>
      <c r="W3440" t="inlineStr">
        <is>
          <t>2026-Q1</t>
        </is>
      </c>
    </row>
    <row r="3441" ht="25.5" customHeight="1">
      <c r="A3441" t="inlineStr">
        <is>
          <t>JIBEN即本 · 1.3米自拍杆一体式手机支架充电蓝牙广角演唱会旅游拍摄便携脚架</t>
        </is>
      </c>
      <c r="B3441" t="inlineStr">
        <is>
          <t>recvfjOYGLA8vS.jpg</t>
        </is>
      </c>
      <c r="C3441" s="2" t="str">
        <f>=HYPERLINK("https://xhslink.com/m/7EfwQlgCAQy", "https://xhslink.com/m/7EfwQlgCAQy")</f>
        <v>https://xhslink.com/m/7EfwQlgCAQy</v>
      </c>
      <c r="D3441"/>
      <c r="E3441">
        <v>5008</v>
      </c>
      <c r="F3441">
        <v>99</v>
      </c>
      <c r="G3441">
        <v>69</v>
      </c>
      <c r="H3441">
        <v>100</v>
      </c>
      <c r="I3441" t="inlineStr">
        <is>
          <t>手机支架</t>
        </is>
      </c>
      <c r="J3441" t="inlineStr">
        <is>
          <t>0.02</t>
        </is>
      </c>
      <c r="K3441" t="inlineStr">
        <is>
          <t>🔥低粉爆款</t>
        </is>
      </c>
      <c r="L3441" t="inlineStr">
        <is>
          <t>JIBEN的店</t>
        </is>
      </c>
      <c r="M3441">
        <v>1518</v>
      </c>
      <c r="N3441">
        <v>4.71</v>
      </c>
      <c r="O3441">
        <v>6801</v>
      </c>
      <c r="P3441" t="inlineStr">
        <is>
          <t>681abeab46684b0001a2788d</t>
        </is>
      </c>
      <c r="Q3441"/>
      <c r="R3441" t="inlineStr">
        <is>
          <t>14周</t>
        </is>
      </c>
      <c r="S3441" t="inlineStr">
        <is>
          <t>3.30</t>
        </is>
      </c>
      <c r="T3441" t="inlineStr">
        <is>
          <t>数码家电</t>
        </is>
      </c>
      <c r="U3441" t="inlineStr">
        <is>
          <t>数码配件</t>
        </is>
      </c>
      <c r="V3441" s="3">
        <v>46112.78107638889</v>
      </c>
      <c r="W3441" t="inlineStr">
        <is>
          <t>2026-Q1</t>
        </is>
      </c>
    </row>
    <row r="3442" ht="25.5" customHeight="1">
      <c r="A3442" t="inlineStr">
        <is>
          <t>【前1000单18.9】手机支架铝合金高铁飞机旅行必备随 · 冰霜银【</t>
        </is>
      </c>
      <c r="B3442" t="inlineStr">
        <is>
          <t>recvfjOYGLxddh.jpg</t>
        </is>
      </c>
      <c r="C3442" s="2" t="str">
        <f>=HYPERLINK("https://xhslink.com/m/2yD2AThg4Ft", "https://xhslink.com/m/2yD2AThg4Ft")</f>
        <v>https://xhslink.com/m/2yD2AThg4Ft</v>
      </c>
      <c r="D3442"/>
      <c r="E3442">
        <v>1869</v>
      </c>
      <c r="F3442">
        <v>31.9</v>
      </c>
      <c r="G3442">
        <v>18.9</v>
      </c>
      <c r="H3442">
        <v>100</v>
      </c>
      <c r="I3442" t="inlineStr">
        <is>
          <t>手机支架</t>
        </is>
      </c>
      <c r="J3442" t="inlineStr">
        <is>
          <t>0.05</t>
        </is>
      </c>
      <c r="K3442" t="inlineStr">
        <is>
          <t>🔥低粉爆款</t>
        </is>
      </c>
      <c r="L3442" t="inlineStr">
        <is>
          <t>苏姗优选S店的店</t>
        </is>
      </c>
      <c r="M3442">
        <v>77</v>
      </c>
      <c r="N3442">
        <v>4.53</v>
      </c>
      <c r="O3442">
        <v>5133</v>
      </c>
      <c r="P3442" t="inlineStr">
        <is>
          <t>69b52b15fb672a00159fe537</t>
        </is>
      </c>
      <c r="Q3442"/>
      <c r="R3442" t="inlineStr">
        <is>
          <t>14周</t>
        </is>
      </c>
      <c r="S3442" t="inlineStr">
        <is>
          <t>24.27</t>
        </is>
      </c>
      <c r="T3442" t="inlineStr">
        <is>
          <t>数码家电</t>
        </is>
      </c>
      <c r="U3442" t="inlineStr">
        <is>
          <t>数码配件</t>
        </is>
      </c>
      <c r="V3442" s="3">
        <v>46112.78107638889</v>
      </c>
      <c r="W3442" t="inlineStr">
        <is>
          <t>2026-Q1</t>
        </is>
      </c>
    </row>
    <row r="3443" ht="25.5" customHeight="1">
      <c r="A3443" t="inlineStr">
        <is>
          <t>3E · 【前1000单立减20】挂脖手机磁吸支架第一视角直播骑行登山钓鱼</t>
        </is>
      </c>
      <c r="B3443" t="inlineStr">
        <is>
          <t>recvfjOYGLnsit.jpg</t>
        </is>
      </c>
      <c r="C3443" s="2" t="str">
        <f>=HYPERLINK("https://xhslink.com/m/AkNk6nkExEM", "https://xhslink.com/m/AkNk6nkExEM")</f>
        <v>https://xhslink.com/m/AkNk6nkExEM</v>
      </c>
      <c r="D3443"/>
      <c r="E3443">
        <v>2767</v>
      </c>
      <c r="F3443">
        <v>137</v>
      </c>
      <c r="G3443">
        <v>97</v>
      </c>
      <c r="H3443">
        <v>100</v>
      </c>
      <c r="I3443" t="inlineStr">
        <is>
          <t>手机支架</t>
        </is>
      </c>
      <c r="J3443" t="inlineStr">
        <is>
          <t>0.04</t>
        </is>
      </c>
      <c r="K3443"/>
      <c r="L3443" t="inlineStr">
        <is>
          <t>迷妮种草酱甄选的店</t>
        </is>
      </c>
      <c r="M3443">
        <v>2410</v>
      </c>
      <c r="N3443">
        <v>4.55</v>
      </c>
      <c r="O3443">
        <v>42000</v>
      </c>
      <c r="P3443" t="inlineStr">
        <is>
          <t>6843baf4da805a0015526ef1</t>
        </is>
      </c>
      <c r="Q3443" t="inlineStr">
        <is>
          <t>🚫重复</t>
        </is>
      </c>
      <c r="R3443" t="inlineStr">
        <is>
          <t>14周</t>
        </is>
      </c>
      <c r="S3443" t="inlineStr">
        <is>
          <t>1.15</t>
        </is>
      </c>
      <c r="T3443" t="inlineStr">
        <is>
          <t>运动潮玩</t>
        </is>
      </c>
      <c r="U3443" t="inlineStr">
        <is>
          <t>运动户外装备</t>
        </is>
      </c>
      <c r="V3443" s="3">
        <v>46112.78107638889</v>
      </c>
      <c r="W3443" t="inlineStr">
        <is>
          <t>2026-Q1</t>
        </is>
      </c>
    </row>
    <row r="3444" ht="25.5" customHeight="1">
      <c r="A3444" t="inlineStr">
        <is>
          <t>奥舒尔 · 【3C认证】20000毫安充电宝迷你便携自带线超级快充通用所有手机</t>
        </is>
      </c>
      <c r="B3444" t="inlineStr">
        <is>
          <t>recvfjOYGL4hwm.jpg</t>
        </is>
      </c>
      <c r="C3444" s="2" t="str">
        <f>=HYPERLINK("https://xhslink.com/m/2ohD6F7a90R", "https://xhslink.com/m/2ohD6F7a90R")</f>
        <v>https://xhslink.com/m/2ohD6F7a90R</v>
      </c>
      <c r="D3444"/>
      <c r="E3444">
        <v>2128</v>
      </c>
      <c r="F3444">
        <v>69.9</v>
      </c>
      <c r="G3444">
        <v>39.9</v>
      </c>
      <c r="H3444">
        <v>100</v>
      </c>
      <c r="I3444" t="inlineStr">
        <is>
          <t>充电宝</t>
        </is>
      </c>
      <c r="J3444" t="inlineStr">
        <is>
          <t>0.05</t>
        </is>
      </c>
      <c r="K3444" t="inlineStr">
        <is>
          <t>🔥低粉爆款</t>
        </is>
      </c>
      <c r="L3444" t="inlineStr">
        <is>
          <t>亿润通电子产品的店</t>
        </is>
      </c>
      <c r="M3444">
        <v>215</v>
      </c>
      <c r="N3444">
        <v>4.43</v>
      </c>
      <c r="O3444">
        <v>3238</v>
      </c>
      <c r="P3444" t="inlineStr">
        <is>
          <t>6888def59e837400017b13ad</t>
        </is>
      </c>
      <c r="Q3444" t="inlineStr">
        <is>
          <t>🚫重复</t>
        </is>
      </c>
      <c r="R3444" t="inlineStr">
        <is>
          <t>14周</t>
        </is>
      </c>
      <c r="S3444" t="inlineStr">
        <is>
          <t>9.90</t>
        </is>
      </c>
      <c r="T3444" t="inlineStr">
        <is>
          <t>数码家电</t>
        </is>
      </c>
      <c r="U3444" t="inlineStr">
        <is>
          <t>数码配件</t>
        </is>
      </c>
      <c r="V3444" s="3">
        <v>46112.78107638889</v>
      </c>
      <c r="W3444" t="inlineStr">
        <is>
          <t>2026-Q1</t>
        </is>
      </c>
    </row>
    <row r="3445" ht="25.5" customHeight="1">
      <c r="A3445" t="inlineStr">
        <is>
          <t>沃品 · 三合一小方糖充电宝带插头双快充线飞机苹果安卓10000 毫安</t>
        </is>
      </c>
      <c r="B3445" t="inlineStr">
        <is>
          <t>recvfjOYGLYNc1.jpg</t>
        </is>
      </c>
      <c r="C3445" s="2" t="str">
        <f>=HYPERLINK("https://xhslink.com/m/4Q6lkJ8ZJGl", "https://xhslink.com/m/4Q6lkJ8ZJGl")</f>
        <v>https://xhslink.com/m/4Q6lkJ8ZJGl</v>
      </c>
      <c r="D3445"/>
      <c r="E3445">
        <v>17000</v>
      </c>
      <c r="F3445">
        <v>209</v>
      </c>
      <c r="G3445">
        <v>169</v>
      </c>
      <c r="H3445">
        <v>100</v>
      </c>
      <c r="I3445" t="inlineStr">
        <is>
          <t>充电宝</t>
        </is>
      </c>
      <c r="J3445" t="inlineStr">
        <is>
          <t>0.01</t>
        </is>
      </c>
      <c r="K3445"/>
      <c r="L3445" t="inlineStr">
        <is>
          <t>WOPOW沃品旗舰店</t>
        </is>
      </c>
      <c r="M3445">
        <v>45000</v>
      </c>
      <c r="N3445">
        <v>4.71</v>
      </c>
      <c r="O3445">
        <v>147000</v>
      </c>
      <c r="P3445" t="inlineStr">
        <is>
          <t>6912f3479101430001457434</t>
        </is>
      </c>
      <c r="Q3445" t="inlineStr">
        <is>
          <t>🚫重复</t>
        </is>
      </c>
      <c r="R3445" t="inlineStr">
        <is>
          <t>14周</t>
        </is>
      </c>
      <c r="S3445" t="inlineStr">
        <is>
          <t>0.38</t>
        </is>
      </c>
      <c r="T3445" t="inlineStr">
        <is>
          <t>数码家电</t>
        </is>
      </c>
      <c r="U3445" t="inlineStr">
        <is>
          <t>数码配件</t>
        </is>
      </c>
      <c r="V3445" s="3">
        <v>46112.78107638889</v>
      </c>
      <c r="W3445" t="inlineStr">
        <is>
          <t>2026-Q1</t>
        </is>
      </c>
    </row>
    <row r="3446" ht="25.5" customHeight="1">
      <c r="A3446" t="inlineStr">
        <is>
          <t>【生态盐田虾】活虾速冻，生态养殖足足120天，鲜中带甜！</t>
        </is>
      </c>
      <c r="B3446" t="inlineStr">
        <is>
          <t>recvfjOYGLVtVP.jpg</t>
        </is>
      </c>
      <c r="C3446" s="2" t="str">
        <f>=HYPERLINK("https://xhslink.com/m/1KQoSMj06Nc", "https://xhslink.com/m/1KQoSMj06Nc")</f>
        <v>https://xhslink.com/m/1KQoSMj06Nc</v>
      </c>
      <c r="D3446"/>
      <c r="E3446">
        <v>12000</v>
      </c>
      <c r="F3446">
        <v>67.9</v>
      </c>
      <c r="G3446"/>
      <c r="H3446">
        <v>100</v>
      </c>
      <c r="I3446" t="inlineStr">
        <is>
          <t>海鲜</t>
        </is>
      </c>
      <c r="J3446" t="inlineStr">
        <is>
          <t>0.01</t>
        </is>
      </c>
      <c r="K3446"/>
      <c r="L3446" t="inlineStr">
        <is>
          <t>跳妈海鲜小渔匠的店</t>
        </is>
      </c>
      <c r="M3446">
        <v>4408</v>
      </c>
      <c r="N3446">
        <v>4.76</v>
      </c>
      <c r="O3446">
        <v>17000</v>
      </c>
      <c r="P3446" t="inlineStr">
        <is>
          <t>69ac24b17d0ce0000193f4da</t>
        </is>
      </c>
      <c r="Q3446" t="inlineStr">
        <is>
          <t>🚫重复</t>
        </is>
      </c>
      <c r="R3446" t="inlineStr">
        <is>
          <t>14周</t>
        </is>
      </c>
      <c r="S3446" t="inlineStr">
        <is>
          <t>2.72</t>
        </is>
      </c>
      <c r="T3446" t="inlineStr">
        <is>
          <t>美食滋补</t>
        </is>
      </c>
      <c r="U3446" t="inlineStr">
        <is>
          <t>生鲜特产</t>
        </is>
      </c>
      <c r="V3446" s="3">
        <v>46112.78107638889</v>
      </c>
      <c r="W3446" t="inlineStr">
        <is>
          <t>2026-Q1</t>
        </is>
      </c>
    </row>
    <row r="3447" ht="25.5" customHeight="1">
      <c r="A3447" t="inlineStr">
        <is>
          <t>岛汐 · 【韩式酱蟹】 生腌螃蟹红膏梭子蟹母蟹即食净重4-6两/只</t>
        </is>
      </c>
      <c r="B3447" t="inlineStr">
        <is>
          <t>recvfjOYGLxe6F.jpg</t>
        </is>
      </c>
      <c r="C3447" s="2" t="str">
        <f>=HYPERLINK("https://xhslink.com/m/2zlG0NE91b8", "https://xhslink.com/m/2zlG0NE91b8")</f>
        <v>https://xhslink.com/m/2zlG0NE91b8</v>
      </c>
      <c r="D3447"/>
      <c r="E3447">
        <v>42000</v>
      </c>
      <c r="F3447">
        <v>173</v>
      </c>
      <c r="G3447">
        <v>152</v>
      </c>
      <c r="H3447">
        <v>100</v>
      </c>
      <c r="I3447" t="inlineStr">
        <is>
          <t>海鲜</t>
        </is>
      </c>
      <c r="J3447" t="inlineStr">
        <is>
          <t>0.00</t>
        </is>
      </c>
      <c r="K3447"/>
      <c r="L3447" t="inlineStr">
        <is>
          <t>岛汐生鲜旗舰店</t>
        </is>
      </c>
      <c r="M3447">
        <v>65000</v>
      </c>
      <c r="N3447">
        <v>4.8</v>
      </c>
      <c r="O3447">
        <v>244000</v>
      </c>
      <c r="P3447" t="inlineStr">
        <is>
          <t>661f66f1f448b1000104c3c4</t>
        </is>
      </c>
      <c r="Q3447"/>
      <c r="R3447" t="inlineStr">
        <is>
          <t>14周</t>
        </is>
      </c>
      <c r="S3447" t="inlineStr">
        <is>
          <t>0.65</t>
        </is>
      </c>
      <c r="T3447" t="inlineStr">
        <is>
          <t>美食滋补</t>
        </is>
      </c>
      <c r="U3447" t="inlineStr">
        <is>
          <t>生鲜特产</t>
        </is>
      </c>
      <c r="V3447" s="3">
        <v>46112.78107638889</v>
      </c>
      <c r="W3447" t="inlineStr">
        <is>
          <t>2026-Q1</t>
        </is>
      </c>
    </row>
    <row r="3448" ht="25.5" customHeight="1">
      <c r="A3448" t="inlineStr">
        <is>
          <t>东方甄选 · 轮切三文鱼排/三文鱼块人工去鳞 生鲜西餐日料食材聚餐送礼</t>
        </is>
      </c>
      <c r="B3448" t="inlineStr">
        <is>
          <t>recvfjOYGLKDrq.jpg</t>
        </is>
      </c>
      <c r="C3448" s="2" t="str">
        <f>=HYPERLINK("https://xhslink.com/m/5Po9sRSZXK6", "https://xhslink.com/m/5Po9sRSZXK6")</f>
        <v>https://xhslink.com/m/5Po9sRSZXK6</v>
      </c>
      <c r="D3448"/>
      <c r="E3448">
        <v>24000</v>
      </c>
      <c r="F3448">
        <v>129</v>
      </c>
      <c r="G3448"/>
      <c r="H3448">
        <v>100</v>
      </c>
      <c r="I3448" t="inlineStr">
        <is>
          <t>海鲜</t>
        </is>
      </c>
      <c r="J3448" t="inlineStr">
        <is>
          <t>0.00</t>
        </is>
      </c>
      <c r="K3448"/>
      <c r="L3448" t="inlineStr">
        <is>
          <t>东方甄选旗舰店</t>
        </is>
      </c>
      <c r="M3448">
        <v>991000</v>
      </c>
      <c r="N3448">
        <v>4.71</v>
      </c>
      <c r="O3448">
        <v>1735000</v>
      </c>
      <c r="P3448" t="inlineStr">
        <is>
          <t>693fafdd36ea3d000143fcb0</t>
        </is>
      </c>
      <c r="Q3448" t="inlineStr">
        <is>
          <t>🚫重复</t>
        </is>
      </c>
      <c r="R3448" t="inlineStr">
        <is>
          <t>14周</t>
        </is>
      </c>
      <c r="S3448" t="inlineStr">
        <is>
          <t>0.02</t>
        </is>
      </c>
      <c r="T3448" t="inlineStr">
        <is>
          <t>美食滋补</t>
        </is>
      </c>
      <c r="U3448" t="inlineStr">
        <is>
          <t>生鲜特产</t>
        </is>
      </c>
      <c r="V3448" s="3">
        <v>46112.78107638889</v>
      </c>
      <c r="W3448" t="inlineStr">
        <is>
          <t>2026-Q1</t>
        </is>
      </c>
    </row>
    <row r="3449" ht="25.5" customHeight="1">
      <c r="A3449" t="inlineStr">
        <is>
          <t>女王与鲜生 · 顺丰包邮 挪威三文鱼刺身新鲜冰鲜中腰段大西洋鲑鱼厚切即食进口</t>
        </is>
      </c>
      <c r="B3449" t="inlineStr">
        <is>
          <t>recvfjOYGLjIgh.jpg</t>
        </is>
      </c>
      <c r="C3449" s="2" t="str">
        <f>=HYPERLINK("https://xhslink.com/m/2QXj0pRuPIN", "https://xhslink.com/m/2QXj0pRuPIN")</f>
        <v>https://xhslink.com/m/2QXj0pRuPIN</v>
      </c>
      <c r="D3449"/>
      <c r="E3449">
        <v>5405</v>
      </c>
      <c r="F3449">
        <v>79</v>
      </c>
      <c r="G3449"/>
      <c r="H3449">
        <v>100</v>
      </c>
      <c r="I3449" t="inlineStr">
        <is>
          <t>海鲜</t>
        </is>
      </c>
      <c r="J3449" t="inlineStr">
        <is>
          <t>0.02</t>
        </is>
      </c>
      <c r="K3449"/>
      <c r="L3449" t="inlineStr">
        <is>
          <t>女王与鲜生旗舰店</t>
        </is>
      </c>
      <c r="M3449">
        <v>22000</v>
      </c>
      <c r="N3449">
        <v>4.76</v>
      </c>
      <c r="O3449">
        <v>123000</v>
      </c>
      <c r="P3449" t="inlineStr">
        <is>
          <t>695f4493526d98000146358a</t>
        </is>
      </c>
      <c r="Q3449" t="inlineStr">
        <is>
          <t>🚫重复</t>
        </is>
      </c>
      <c r="R3449" t="inlineStr">
        <is>
          <t>14周</t>
        </is>
      </c>
      <c r="S3449" t="inlineStr">
        <is>
          <t>0.25</t>
        </is>
      </c>
      <c r="T3449" t="inlineStr">
        <is>
          <t>美食滋补</t>
        </is>
      </c>
      <c r="U3449" t="inlineStr">
        <is>
          <t>生鲜特产</t>
        </is>
      </c>
      <c r="V3449" s="3">
        <v>46112.78107638889</v>
      </c>
      <c r="W3449" t="inlineStr">
        <is>
          <t>2026-Q1</t>
        </is>
      </c>
    </row>
    <row r="3450" ht="25.5" customHeight="1">
      <c r="A3450" t="inlineStr">
        <is>
          <t>锋味派 · 嵊州老面小笼包黑猪肉小笼包子速食早餐半成品早饭速冻面点包子</t>
        </is>
      </c>
      <c r="B3450" t="inlineStr">
        <is>
          <t>recvfjOYGLIk2J.jpg</t>
        </is>
      </c>
      <c r="C3450" s="2" t="str">
        <f>=HYPERLINK("https://xhslink.com/m/4luWraeoIB4", "https://xhslink.com/m/4luWraeoIB4")</f>
        <v>https://xhslink.com/m/4luWraeoIB4</v>
      </c>
      <c r="D3450"/>
      <c r="E3450">
        <v>55000</v>
      </c>
      <c r="F3450">
        <v>139.9</v>
      </c>
      <c r="G3450">
        <v>106.9</v>
      </c>
      <c r="H3450">
        <v>100</v>
      </c>
      <c r="I3450" t="inlineStr">
        <is>
          <t>冻品速食</t>
        </is>
      </c>
      <c r="J3450" t="inlineStr">
        <is>
          <t>0.00</t>
        </is>
      </c>
      <c r="K3450"/>
      <c r="L3450" t="inlineStr">
        <is>
          <t>锋味派旗舰店</t>
        </is>
      </c>
      <c r="M3450">
        <v>354000</v>
      </c>
      <c r="N3450">
        <v>4.78</v>
      </c>
      <c r="O3450">
        <v>584000</v>
      </c>
      <c r="P3450" t="inlineStr">
        <is>
          <t>6657092ffc13120001a8233b</t>
        </is>
      </c>
      <c r="Q3450" t="inlineStr">
        <is>
          <t>🚫重复</t>
        </is>
      </c>
      <c r="R3450" t="inlineStr">
        <is>
          <t>14周</t>
        </is>
      </c>
      <c r="S3450" t="inlineStr">
        <is>
          <t>0.16</t>
        </is>
      </c>
      <c r="T3450" t="inlineStr">
        <is>
          <t>美食滋补</t>
        </is>
      </c>
      <c r="U3450" t="inlineStr">
        <is>
          <t>休闲零食</t>
        </is>
      </c>
      <c r="V3450" s="3">
        <v>46112.78107638889</v>
      </c>
      <c r="W3450" t="inlineStr">
        <is>
          <t>2026-Q1</t>
        </is>
      </c>
    </row>
    <row r="3451" ht="25.5" customHeight="1">
      <c r="A3451" t="inlineStr">
        <is>
          <t>【口味自选】5盒口味任选 手工薄皮馄饨多口味带料包</t>
        </is>
      </c>
      <c r="B3451" t="inlineStr">
        <is>
          <t>recvfjOYGLwgEB.jpg</t>
        </is>
      </c>
      <c r="C3451" s="2" t="str">
        <f>=HYPERLINK("https://xhslink.com/m/2YCwHMLlNkN", "https://xhslink.com/m/2YCwHMLlNkN")</f>
        <v>https://xhslink.com/m/2YCwHMLlNkN</v>
      </c>
      <c r="D3451"/>
      <c r="E3451">
        <v>31000</v>
      </c>
      <c r="F3451">
        <v>20</v>
      </c>
      <c r="G3451"/>
      <c r="H3451">
        <v>100</v>
      </c>
      <c r="I3451" t="inlineStr">
        <is>
          <t>冻品速食</t>
        </is>
      </c>
      <c r="J3451" t="inlineStr">
        <is>
          <t>0.00</t>
        </is>
      </c>
      <c r="K3451" t="inlineStr">
        <is>
          <t>🔥低粉爆款</t>
        </is>
      </c>
      <c r="L3451" t="inlineStr">
        <is>
          <t>小红薯69C5C130的店</t>
        </is>
      </c>
      <c r="M3451">
        <v>752</v>
      </c>
      <c r="N3451">
        <v>4.53</v>
      </c>
      <c r="O3451">
        <v>35000</v>
      </c>
      <c r="P3451" t="inlineStr">
        <is>
          <t>69a8f4b6f6806b0001768c5a</t>
        </is>
      </c>
      <c r="Q3451" t="inlineStr">
        <is>
          <t>🚫重复</t>
        </is>
      </c>
      <c r="R3451" t="inlineStr">
        <is>
          <t>14周</t>
        </is>
      </c>
      <c r="S3451" t="inlineStr">
        <is>
          <t>41.22</t>
        </is>
      </c>
      <c r="T3451" t="inlineStr">
        <is>
          <t>美食滋补</t>
        </is>
      </c>
      <c r="U3451" t="inlineStr">
        <is>
          <t>休闲零食</t>
        </is>
      </c>
      <c r="V3451" s="3">
        <v>46112.78107638889</v>
      </c>
      <c r="W3451" t="inlineStr">
        <is>
          <t>2026-Q1</t>
        </is>
      </c>
    </row>
    <row r="3452" ht="25.5" customHeight="1">
      <c r="A3452" t="inlineStr">
        <is>
          <t>一旬一味 · 【手工纸皮烧麦】网红大只纸皮糯米烧卖学生儿童营养速食方便早餐</t>
        </is>
      </c>
      <c r="B3452" t="inlineStr">
        <is>
          <t>recvfjOYGLo6oi.jpg</t>
        </is>
      </c>
      <c r="C3452" s="2" t="str">
        <f>=HYPERLINK("https://xhslink.com/m/96GFYKppc9J", "https://xhslink.com/m/96GFYKppc9J")</f>
        <v>https://xhslink.com/m/96GFYKppc9J</v>
      </c>
      <c r="D3452"/>
      <c r="E3452">
        <v>104000</v>
      </c>
      <c r="F3452">
        <v>89.9</v>
      </c>
      <c r="G3452">
        <v>67.9</v>
      </c>
      <c r="H3452">
        <v>100</v>
      </c>
      <c r="I3452" t="inlineStr">
        <is>
          <t>冻品速食</t>
        </is>
      </c>
      <c r="J3452" t="inlineStr">
        <is>
          <t>0.00</t>
        </is>
      </c>
      <c r="K3452" t="inlineStr">
        <is>
          <t>🔥低粉爆款</t>
        </is>
      </c>
      <c r="L3452" t="inlineStr">
        <is>
          <t>一旬一味旗舰店</t>
        </is>
      </c>
      <c r="M3452">
        <v>28000</v>
      </c>
      <c r="N3452">
        <v>4.3</v>
      </c>
      <c r="O3452">
        <v>249000</v>
      </c>
      <c r="P3452" t="inlineStr">
        <is>
          <t>65b0d2eb17f5dd0001c05a05</t>
        </is>
      </c>
      <c r="Q3452" t="inlineStr">
        <is>
          <t>🚫重复</t>
        </is>
      </c>
      <c r="R3452" t="inlineStr">
        <is>
          <t>14周</t>
        </is>
      </c>
      <c r="S3452" t="inlineStr">
        <is>
          <t>3.71</t>
        </is>
      </c>
      <c r="T3452" t="inlineStr">
        <is>
          <t>美食滋补</t>
        </is>
      </c>
      <c r="U3452" t="inlineStr">
        <is>
          <t>休闲零食</t>
        </is>
      </c>
      <c r="V3452" s="3">
        <v>46112.78107638889</v>
      </c>
      <c r="W3452" t="inlineStr">
        <is>
          <t>2026-Q1</t>
        </is>
      </c>
    </row>
    <row r="3453" ht="25.5" customHeight="1">
      <c r="A3453" t="inlineStr">
        <is>
          <t>锋味派 · 酥皮馅饼安格斯牛肉馅饼黑猪肉煎饼早餐冷冻方便速食半成品早饭</t>
        </is>
      </c>
      <c r="B3453" t="inlineStr">
        <is>
          <t>recvfjOYGL2awj.jpg</t>
        </is>
      </c>
      <c r="C3453" s="2" t="str">
        <f>=HYPERLINK("https://xhslink.com/m/7V6B67Pci9o", "https://xhslink.com/m/7V6B67Pci9o")</f>
        <v>https://xhslink.com/m/7V6B67Pci9o</v>
      </c>
      <c r="D3453"/>
      <c r="E3453">
        <v>24000</v>
      </c>
      <c r="F3453">
        <v>159</v>
      </c>
      <c r="G3453">
        <v>119</v>
      </c>
      <c r="H3453">
        <v>100</v>
      </c>
      <c r="I3453" t="inlineStr">
        <is>
          <t>冻品速食</t>
        </is>
      </c>
      <c r="J3453" t="inlineStr">
        <is>
          <t>0.00</t>
        </is>
      </c>
      <c r="K3453"/>
      <c r="L3453" t="inlineStr">
        <is>
          <t>锋味派旗舰店</t>
        </is>
      </c>
      <c r="M3453">
        <v>354000</v>
      </c>
      <c r="N3453">
        <v>4.78</v>
      </c>
      <c r="O3453">
        <v>584000</v>
      </c>
      <c r="P3453" t="inlineStr">
        <is>
          <t>67c54e92cb5e42000178755c</t>
        </is>
      </c>
      <c r="Q3453" t="inlineStr">
        <is>
          <t>🚫重复</t>
        </is>
      </c>
      <c r="R3453" t="inlineStr">
        <is>
          <t>14周</t>
        </is>
      </c>
      <c r="S3453" t="inlineStr">
        <is>
          <t>0.07</t>
        </is>
      </c>
      <c r="T3453" t="inlineStr">
        <is>
          <t>家居生活</t>
        </is>
      </c>
      <c r="U3453" t="inlineStr">
        <is>
          <t>厨房餐饮</t>
        </is>
      </c>
      <c r="V3453" s="3">
        <v>46112.78107638889</v>
      </c>
      <c r="W3453" t="inlineStr">
        <is>
          <t>2026-Q1</t>
        </is>
      </c>
    </row>
    <row r="3454" ht="25.5" customHeight="1">
      <c r="A3454" t="inlineStr">
        <is>
          <t>【小馕发中通】乌鲁木齐线下馕店现烤现发手工辣皮子馕、玫瑰花馕</t>
        </is>
      </c>
      <c r="B3454" t="inlineStr">
        <is>
          <t>recvfjOYGLQ2zt.jpg</t>
        </is>
      </c>
      <c r="C3454" s="2" t="str">
        <f>=HYPERLINK("https://xhslink.com/m/1sEUdfIxVkQ", "https://xhslink.com/m/1sEUdfIxVkQ")</f>
        <v>https://xhslink.com/m/1sEUdfIxVkQ</v>
      </c>
      <c r="D3454"/>
      <c r="E3454">
        <v>53000</v>
      </c>
      <c r="F3454">
        <v>5</v>
      </c>
      <c r="G3454"/>
      <c r="H3454">
        <v>100</v>
      </c>
      <c r="I3454" t="inlineStr">
        <is>
          <t>冻品速食</t>
        </is>
      </c>
      <c r="J3454" t="inlineStr">
        <is>
          <t>0.00</t>
        </is>
      </c>
      <c r="K3454" t="inlineStr">
        <is>
          <t>🔥低粉爆款</t>
        </is>
      </c>
      <c r="L3454" t="inlineStr">
        <is>
          <t>品四季生鲜的店</t>
        </is>
      </c>
      <c r="M3454">
        <v>2924</v>
      </c>
      <c r="N3454">
        <v>4.57</v>
      </c>
      <c r="O3454">
        <v>135000</v>
      </c>
      <c r="P3454" t="inlineStr">
        <is>
          <t>66fe8c04b3c39900014abb40</t>
        </is>
      </c>
      <c r="Q3454" t="inlineStr">
        <is>
          <t>🚫重复</t>
        </is>
      </c>
      <c r="R3454" t="inlineStr">
        <is>
          <t>14周</t>
        </is>
      </c>
      <c r="S3454" t="inlineStr">
        <is>
          <t>18.13</t>
        </is>
      </c>
      <c r="T3454" t="inlineStr">
        <is>
          <t>美食滋补</t>
        </is>
      </c>
      <c r="U3454" t="inlineStr">
        <is>
          <t>休闲零食</t>
        </is>
      </c>
      <c r="V3454" s="3">
        <v>46112.78107638889</v>
      </c>
      <c r="W3454" t="inlineStr">
        <is>
          <t>2026-Q1</t>
        </is>
      </c>
    </row>
    <row r="3455" ht="25.5" customHeight="1">
      <c r="A3455" t="inlineStr">
        <is>
          <t>舟山弄堂薄皮小馄饨手工现做，薄如蝉翼，只用本地猪，新鲜早餐</t>
        </is>
      </c>
      <c r="B3455" t="inlineStr">
        <is>
          <t>recvfjOYGLTb59.jpg</t>
        </is>
      </c>
      <c r="C3455" s="2" t="str">
        <f>=HYPERLINK("https://xhslink.com/m/6kXxxQ2R02I", "https://xhslink.com/m/6kXxxQ2R02I")</f>
        <v>https://xhslink.com/m/6kXxxQ2R02I</v>
      </c>
      <c r="D3455"/>
      <c r="E3455">
        <v>62000</v>
      </c>
      <c r="F3455">
        <v>69.9</v>
      </c>
      <c r="G3455"/>
      <c r="H3455">
        <v>100</v>
      </c>
      <c r="I3455" t="inlineStr">
        <is>
          <t>冻品速食</t>
        </is>
      </c>
      <c r="J3455" t="inlineStr">
        <is>
          <t>0.00</t>
        </is>
      </c>
      <c r="K3455"/>
      <c r="L3455" t="inlineStr">
        <is>
          <t>三兔船长的店</t>
        </is>
      </c>
      <c r="M3455">
        <v>21000</v>
      </c>
      <c r="N3455">
        <v>4.67</v>
      </c>
      <c r="O3455">
        <v>115000</v>
      </c>
      <c r="P3455" t="inlineStr">
        <is>
          <t>67f28ca4ee8f0900013cb581</t>
        </is>
      </c>
      <c r="Q3455" t="inlineStr">
        <is>
          <t>🚫重复</t>
        </is>
      </c>
      <c r="R3455" t="inlineStr">
        <is>
          <t>14周</t>
        </is>
      </c>
      <c r="S3455" t="inlineStr">
        <is>
          <t>2.95</t>
        </is>
      </c>
      <c r="T3455" t="inlineStr">
        <is>
          <t>美食滋补</t>
        </is>
      </c>
      <c r="U3455" t="inlineStr">
        <is>
          <t>休闲零食</t>
        </is>
      </c>
      <c r="V3455" s="3">
        <v>46112.78107638889</v>
      </c>
      <c r="W3455" t="inlineStr">
        <is>
          <t>2026-Q1</t>
        </is>
      </c>
    </row>
    <row r="3456" ht="25.5" customHeight="1">
      <c r="A3456" t="inlineStr">
        <is>
          <t>【石磨手工老面馒头】石磨面粉新鲜现做手工老面馒头含胚芽细腻</t>
        </is>
      </c>
      <c r="B3456" t="inlineStr">
        <is>
          <t>recvfjOYGL7GJb.jpg</t>
        </is>
      </c>
      <c r="C3456" s="2" t="str">
        <f>=HYPERLINK("https://xhslink.com/m/1jM2lz7DRMi", "https://xhslink.com/m/1jM2lz7DRMi")</f>
        <v>https://xhslink.com/m/1jM2lz7DRMi</v>
      </c>
      <c r="D3456"/>
      <c r="E3456">
        <v>9573</v>
      </c>
      <c r="F3456">
        <v>26.8</v>
      </c>
      <c r="G3456"/>
      <c r="H3456">
        <v>100</v>
      </c>
      <c r="I3456" t="inlineStr">
        <is>
          <t>冻品速食</t>
        </is>
      </c>
      <c r="J3456" t="inlineStr">
        <is>
          <t>0.01</t>
        </is>
      </c>
      <c r="K3456"/>
      <c r="L3456" t="inlineStr">
        <is>
          <t>老段磨坊杂粮的店</t>
        </is>
      </c>
      <c r="M3456">
        <v>10000</v>
      </c>
      <c r="N3456">
        <v>4.55</v>
      </c>
      <c r="O3456">
        <v>52000</v>
      </c>
      <c r="P3456" t="inlineStr">
        <is>
          <t>69495e19ae586c0001d67497</t>
        </is>
      </c>
      <c r="Q3456" t="inlineStr">
        <is>
          <t>🚫重复</t>
        </is>
      </c>
      <c r="R3456" t="inlineStr">
        <is>
          <t>14周</t>
        </is>
      </c>
      <c r="S3456" t="inlineStr">
        <is>
          <t>0.96</t>
        </is>
      </c>
      <c r="T3456" t="inlineStr">
        <is>
          <t>美食滋补</t>
        </is>
      </c>
      <c r="U3456" t="inlineStr">
        <is>
          <t>休闲零食</t>
        </is>
      </c>
      <c r="V3456" s="3">
        <v>46112.78107638889</v>
      </c>
      <c r="W3456" t="inlineStr">
        <is>
          <t>2026-Q1</t>
        </is>
      </c>
    </row>
    <row r="3457" ht="25.5" customHeight="1">
      <c r="A3457" t="inlineStr">
        <is>
          <t>SportCom · 日本护膝半月板损伤男女膝盖关节专业护具跑步运动薄款髌骨保护套</t>
        </is>
      </c>
      <c r="B3457" t="inlineStr">
        <is>
          <t>recvfjOYGLV19z.jpg</t>
        </is>
      </c>
      <c r="C3457" s="2" t="str">
        <f>=HYPERLINK("https://xhslink.com/m/6NWWzttQwP7", "https://xhslink.com/m/6NWWzttQwP7")</f>
        <v>https://xhslink.com/m/6NWWzttQwP7</v>
      </c>
      <c r="D3457"/>
      <c r="E3457">
        <v>13000</v>
      </c>
      <c r="F3457">
        <v>79.9</v>
      </c>
      <c r="G3457">
        <v>49.9</v>
      </c>
      <c r="H3457">
        <v>100</v>
      </c>
      <c r="I3457" t="inlineStr">
        <is>
          <t>跑步</t>
        </is>
      </c>
      <c r="J3457" t="inlineStr">
        <is>
          <t>0.01</t>
        </is>
      </c>
      <c r="K3457" t="inlineStr">
        <is>
          <t>🔥低粉爆款</t>
        </is>
      </c>
      <c r="L3457" t="inlineStr">
        <is>
          <t>Sportcom运动护具的店</t>
        </is>
      </c>
      <c r="M3457">
        <v>479</v>
      </c>
      <c r="N3457">
        <v>4.65</v>
      </c>
      <c r="O3457">
        <v>14000</v>
      </c>
      <c r="P3457" t="inlineStr">
        <is>
          <t>684947fb3aea5300016e17ae</t>
        </is>
      </c>
      <c r="Q3457" t="inlineStr">
        <is>
          <t>🚫重复</t>
        </is>
      </c>
      <c r="R3457" t="inlineStr">
        <is>
          <t>14周</t>
        </is>
      </c>
      <c r="S3457" t="inlineStr">
        <is>
          <t>27.14</t>
        </is>
      </c>
      <c r="T3457" t="inlineStr">
        <is>
          <t>运动潮玩</t>
        </is>
      </c>
      <c r="U3457" t="inlineStr">
        <is>
          <t>运动户外装备</t>
        </is>
      </c>
      <c r="V3457" s="3">
        <v>46112.78107638889</v>
      </c>
      <c r="W3457" t="inlineStr">
        <is>
          <t>2026-Q1</t>
        </is>
      </c>
    </row>
    <row r="3458" ht="25.5" customHeight="1">
      <c r="A3458" t="inlineStr">
        <is>
          <t>髌骨带跳绳护膝女专业跑步羽毛球运动膝盖男保护半月板关节损伤夏</t>
        </is>
      </c>
      <c r="B3458" t="inlineStr">
        <is>
          <t>recvfjOYGLWAR1.jpg</t>
        </is>
      </c>
      <c r="C3458" s="2" t="str">
        <f>=HYPERLINK("https://xhslink.com/m/7Ekj9D8YVC6", "https://xhslink.com/m/7Ekj9D8YVC6")</f>
        <v>https://xhslink.com/m/7Ekj9D8YVC6</v>
      </c>
      <c r="D3458"/>
      <c r="E3458">
        <v>7734</v>
      </c>
      <c r="F3458">
        <v>58.6</v>
      </c>
      <c r="G3458">
        <v>26.8</v>
      </c>
      <c r="H3458">
        <v>100</v>
      </c>
      <c r="I3458" t="inlineStr">
        <is>
          <t>跑步</t>
        </is>
      </c>
      <c r="J3458" t="inlineStr">
        <is>
          <t>0.01</t>
        </is>
      </c>
      <c r="K3458" t="inlineStr">
        <is>
          <t>🔥低粉爆款</t>
        </is>
      </c>
      <c r="L3458" t="inlineStr">
        <is>
          <t>玉米唧唧的店</t>
        </is>
      </c>
      <c r="M3458">
        <v>258</v>
      </c>
      <c r="N3458">
        <v>4.5</v>
      </c>
      <c r="O3458">
        <v>33000</v>
      </c>
      <c r="P3458" t="inlineStr">
        <is>
          <t>68d8fa80c75361000174c9dc</t>
        </is>
      </c>
      <c r="Q3458" t="inlineStr">
        <is>
          <t>🚫重复</t>
        </is>
      </c>
      <c r="R3458" t="inlineStr">
        <is>
          <t>14周</t>
        </is>
      </c>
      <c r="S3458" t="inlineStr">
        <is>
          <t>29.98</t>
        </is>
      </c>
      <c r="T3458" t="inlineStr">
        <is>
          <t>运动潮玩</t>
        </is>
      </c>
      <c r="U3458" t="inlineStr">
        <is>
          <t>运动户外装备</t>
        </is>
      </c>
      <c r="V3458" s="3">
        <v>46112.78107638889</v>
      </c>
      <c r="W3458" t="inlineStr">
        <is>
          <t>2026-Q1</t>
        </is>
      </c>
    </row>
    <row r="3459" ht="25.5" customHeight="1">
      <c r="A3459" t="inlineStr">
        <is>
          <t>saucony · TIDE浪潮3初跑者减震保护专业跑步鞋慢跑训练轻量运动鞋体测跑鞋</t>
        </is>
      </c>
      <c r="B3459" t="inlineStr">
        <is>
          <t>recvfjOYGLY3FY.jpg</t>
        </is>
      </c>
      <c r="C3459" s="2" t="str">
        <f>=HYPERLINK("https://xhslink.com/m/6G3haUr0kzX", "https://xhslink.com/m/6G3haUr0kzX")</f>
        <v>https://xhslink.com/m/6G3haUr0kzX</v>
      </c>
      <c r="D3459"/>
      <c r="E3459">
        <v>13000</v>
      </c>
      <c r="F3459">
        <v>690</v>
      </c>
      <c r="G3459">
        <v>519</v>
      </c>
      <c r="H3459">
        <v>100</v>
      </c>
      <c r="I3459" t="inlineStr">
        <is>
          <t>跑步</t>
        </is>
      </c>
      <c r="J3459" t="inlineStr">
        <is>
          <t>0.01</t>
        </is>
      </c>
      <c r="K3459"/>
      <c r="L3459" t="inlineStr">
        <is>
          <t>Saucony索康尼运动旗舰店</t>
        </is>
      </c>
      <c r="M3459">
        <v>110000</v>
      </c>
      <c r="N3459">
        <v>4.5</v>
      </c>
      <c r="O3459">
        <v>157000</v>
      </c>
      <c r="P3459" t="inlineStr">
        <is>
          <t>67b09db1d684d70015f73fe5</t>
        </is>
      </c>
      <c r="Q3459" t="inlineStr">
        <is>
          <t>🚫重复</t>
        </is>
      </c>
      <c r="R3459" t="inlineStr">
        <is>
          <t>14周</t>
        </is>
      </c>
      <c r="S3459" t="inlineStr">
        <is>
          <t>0.12</t>
        </is>
      </c>
      <c r="T3459" t="inlineStr">
        <is>
          <t>服饰穿搭</t>
        </is>
      </c>
      <c r="U3459" t="inlineStr">
        <is>
          <t>鞋靴箱包</t>
        </is>
      </c>
      <c r="V3459" s="3">
        <v>46112.78107638889</v>
      </c>
      <c r="W3459" t="inlineStr">
        <is>
          <t>2026-Q1</t>
        </is>
      </c>
    </row>
    <row r="3460" ht="25.5" customHeight="1">
      <c r="A3460" t="inlineStr">
        <is>
          <t>专业运动瑜伽小腿袜子跑步透气吸汗夏户外健身徒步跳绳压力运动袜</t>
        </is>
      </c>
      <c r="B3460" t="inlineStr">
        <is>
          <t>recvfjOYGL1o6B.jpg</t>
        </is>
      </c>
      <c r="C3460" s="2" t="str">
        <f>=HYPERLINK("https://xhslink.com/m/8tQ95GaIyv0", "https://xhslink.com/m/8tQ95GaIyv0")</f>
        <v>https://xhslink.com/m/8tQ95GaIyv0</v>
      </c>
      <c r="D3460"/>
      <c r="E3460">
        <v>2065</v>
      </c>
      <c r="F3460">
        <v>36</v>
      </c>
      <c r="G3460">
        <v>19.2</v>
      </c>
      <c r="H3460">
        <v>100</v>
      </c>
      <c r="I3460" t="inlineStr">
        <is>
          <t>跑步</t>
        </is>
      </c>
      <c r="J3460" t="inlineStr">
        <is>
          <t>0.05</t>
        </is>
      </c>
      <c r="K3460" t="inlineStr">
        <is>
          <t>🔥低粉爆款</t>
        </is>
      </c>
      <c r="L3460" t="inlineStr">
        <is>
          <t>晴语时光的店</t>
        </is>
      </c>
      <c r="M3460">
        <v>156</v>
      </c>
      <c r="N3460">
        <v>4.62</v>
      </c>
      <c r="O3460">
        <v>3151</v>
      </c>
      <c r="P3460" t="inlineStr">
        <is>
          <t>68a72eb6fba5440001904502</t>
        </is>
      </c>
      <c r="Q3460" t="inlineStr">
        <is>
          <t>🚫重复</t>
        </is>
      </c>
      <c r="R3460" t="inlineStr">
        <is>
          <t>14周</t>
        </is>
      </c>
      <c r="S3460" t="inlineStr">
        <is>
          <t>13.24</t>
        </is>
      </c>
      <c r="T3460" t="inlineStr">
        <is>
          <t>运动潮玩</t>
        </is>
      </c>
      <c r="U3460" t="inlineStr">
        <is>
          <t>运动户外装备</t>
        </is>
      </c>
      <c r="V3460" s="3">
        <v>46112.78107638889</v>
      </c>
      <c r="W3460" t="inlineStr">
        <is>
          <t>2026-Q1</t>
        </is>
      </c>
    </row>
    <row r="3461" ht="25.5" customHeight="1">
      <c r="A3461" t="inlineStr">
        <is>
          <t>Vibram · 【达人专属】五指鞋女室内健身运动瑜伽普拉提鞋舞蹈训练鞋VSOUL</t>
        </is>
      </c>
      <c r="B3461" t="inlineStr">
        <is>
          <t>recvfjOYGLuLu6.jpg</t>
        </is>
      </c>
      <c r="C3461" s="2" t="str">
        <f>=HYPERLINK("https://xhslink.com/m/3UuYplKBSy7", "https://xhslink.com/m/3UuYplKBSy7")</f>
        <v>https://xhslink.com/m/3UuYplKBSy7</v>
      </c>
      <c r="D3461"/>
      <c r="E3461">
        <v>8617</v>
      </c>
      <c r="F3461">
        <v>690</v>
      </c>
      <c r="G3461"/>
      <c r="H3461">
        <v>100</v>
      </c>
      <c r="I3461" t="inlineStr">
        <is>
          <t>训练鞋</t>
        </is>
      </c>
      <c r="J3461" t="inlineStr">
        <is>
          <t>0.01</t>
        </is>
      </c>
      <c r="K3461" t="inlineStr">
        <is>
          <t>🔥低粉爆款</t>
        </is>
      </c>
      <c r="L3461" t="inlineStr">
        <is>
          <t>五指鞋健身运动的店</t>
        </is>
      </c>
      <c r="M3461">
        <v>1165</v>
      </c>
      <c r="N3461">
        <v>4.71</v>
      </c>
      <c r="O3461">
        <v>22000</v>
      </c>
      <c r="P3461" t="inlineStr">
        <is>
          <t>6790ab6c96b36c0001f02448</t>
        </is>
      </c>
      <c r="Q3461" t="inlineStr">
        <is>
          <t>🚫重复</t>
        </is>
      </c>
      <c r="R3461" t="inlineStr">
        <is>
          <t>14周</t>
        </is>
      </c>
      <c r="S3461" t="inlineStr">
        <is>
          <t>7.40</t>
        </is>
      </c>
      <c r="T3461" t="inlineStr">
        <is>
          <t>运动潮玩</t>
        </is>
      </c>
      <c r="U3461" t="inlineStr">
        <is>
          <t>运动户外装备</t>
        </is>
      </c>
      <c r="V3461" s="3">
        <v>46112.78107638889</v>
      </c>
      <c r="W3461" t="inlineStr">
        <is>
          <t>2026-Q1</t>
        </is>
      </c>
    </row>
    <row r="3462" ht="25.5" customHeight="1">
      <c r="A3462" t="inlineStr">
        <is>
          <t>【百搭神器】竹编花架木质原木风客厅落地绿植家用阳台实木花架LW</t>
        </is>
      </c>
      <c r="B3462" t="inlineStr">
        <is>
          <t>recvfjOYGLBcVK.jpg</t>
        </is>
      </c>
      <c r="C3462" s="2" t="str">
        <f>=HYPERLINK("https://xhslink.com/m/7uZaTGwdQxi", "https://xhslink.com/m/7uZaTGwdQxi")</f>
        <v>https://xhslink.com/m/7uZaTGwdQxi</v>
      </c>
      <c r="D3462"/>
      <c r="E3462">
        <v>20000</v>
      </c>
      <c r="F3462">
        <v>39.9</v>
      </c>
      <c r="G3462"/>
      <c r="H3462">
        <v>100</v>
      </c>
      <c r="I3462" t="inlineStr">
        <is>
          <t>阳台</t>
        </is>
      </c>
      <c r="J3462" t="inlineStr">
        <is>
          <t>0.01</t>
        </is>
      </c>
      <c r="K3462"/>
      <c r="L3462" t="inlineStr">
        <is>
          <t>与你之间家居绿植的店</t>
        </is>
      </c>
      <c r="M3462">
        <v>65000</v>
      </c>
      <c r="N3462">
        <v>4.43</v>
      </c>
      <c r="O3462">
        <v>109000</v>
      </c>
      <c r="P3462" t="inlineStr">
        <is>
          <t>66deef149f130a0001a7795b</t>
        </is>
      </c>
      <c r="Q3462"/>
      <c r="R3462" t="inlineStr">
        <is>
          <t>14周</t>
        </is>
      </c>
      <c r="S3462" t="inlineStr">
        <is>
          <t>0.31</t>
        </is>
      </c>
      <c r="T3462" t="inlineStr">
        <is>
          <t>家居生活</t>
        </is>
      </c>
      <c r="U3462" t="inlineStr">
        <is>
          <t>家具家装</t>
        </is>
      </c>
      <c r="V3462" s="3">
        <v>46112.78107638889</v>
      </c>
      <c r="W3462" t="inlineStr">
        <is>
          <t>2026-Q1</t>
        </is>
      </c>
    </row>
    <row r="3463" ht="25.5" customHeight="1">
      <c r="A3463" t="inlineStr">
        <is>
          <t>种菜专用箱塑料阳台种菜盆长方形塑料花盆家庭蔬菜种植盆种菜神器</t>
        </is>
      </c>
      <c r="B3463" t="inlineStr">
        <is>
          <t>recvfjOYGLErDn.jpg</t>
        </is>
      </c>
      <c r="C3463" s="2" t="str">
        <f>=HYPERLINK("https://xhslink.com/m/8LHY87k8C6n", "https://xhslink.com/m/8LHY87k8C6n")</f>
        <v>https://xhslink.com/m/8LHY87k8C6n</v>
      </c>
      <c r="D3463"/>
      <c r="E3463">
        <v>9436</v>
      </c>
      <c r="F3463">
        <v>7.9</v>
      </c>
      <c r="G3463">
        <v>6.9</v>
      </c>
      <c r="H3463">
        <v>100</v>
      </c>
      <c r="I3463" t="inlineStr">
        <is>
          <t>阳台</t>
        </is>
      </c>
      <c r="J3463" t="inlineStr">
        <is>
          <t>0.01</t>
        </is>
      </c>
      <c r="K3463" t="inlineStr">
        <is>
          <t>🔥低粉爆款</t>
        </is>
      </c>
      <c r="L3463" t="inlineStr">
        <is>
          <t>90后大学生的店</t>
        </is>
      </c>
      <c r="M3463">
        <v>2053</v>
      </c>
      <c r="N3463">
        <v>4.75</v>
      </c>
      <c r="O3463">
        <v>28000</v>
      </c>
      <c r="P3463" t="inlineStr">
        <is>
          <t>689742a7f9d7c80001c5bf5c</t>
        </is>
      </c>
      <c r="Q3463" t="inlineStr">
        <is>
          <t>🚫重复</t>
        </is>
      </c>
      <c r="R3463" t="inlineStr">
        <is>
          <t>14周</t>
        </is>
      </c>
      <c r="S3463" t="inlineStr">
        <is>
          <t>4.60</t>
        </is>
      </c>
      <c r="T3463" t="inlineStr">
        <is>
          <t>家居生活</t>
        </is>
      </c>
      <c r="U3463" t="inlineStr">
        <is>
          <t>家具家装</t>
        </is>
      </c>
      <c r="V3463" s="3">
        <v>46112.78107638889</v>
      </c>
      <c r="W3463" t="inlineStr">
        <is>
          <t>2026-Q1</t>
        </is>
      </c>
    </row>
    <row r="3464" ht="25.5" customHeight="1">
      <c r="A3464" t="inlineStr">
        <is>
          <t>阳台种菜盆家庭多肉植物专用绿萝月季塑料花盆托盘组合园艺盆景盆</t>
        </is>
      </c>
      <c r="B3464" t="inlineStr">
        <is>
          <t>recvfjOYGLADqN.jpg</t>
        </is>
      </c>
      <c r="C3464" s="2" t="str">
        <f>=HYPERLINK("https://xhslink.com/m/ly0Ch56qDy", "https://xhslink.com/m/ly0Ch56qDy")</f>
        <v>https://xhslink.com/m/ly0Ch56qDy</v>
      </c>
      <c r="D3464"/>
      <c r="E3464">
        <v>16000</v>
      </c>
      <c r="F3464">
        <v>3.94</v>
      </c>
      <c r="G3464">
        <v>2.94</v>
      </c>
      <c r="H3464">
        <v>100</v>
      </c>
      <c r="I3464" t="inlineStr">
        <is>
          <t>阳台</t>
        </is>
      </c>
      <c r="J3464" t="inlineStr">
        <is>
          <t>0.01</t>
        </is>
      </c>
      <c r="K3464" t="inlineStr">
        <is>
          <t>🔥低粉爆款</t>
        </is>
      </c>
      <c r="L3464" t="inlineStr">
        <is>
          <t>90后大学生的店</t>
        </is>
      </c>
      <c r="M3464">
        <v>2053</v>
      </c>
      <c r="N3464">
        <v>4.75</v>
      </c>
      <c r="O3464">
        <v>28000</v>
      </c>
      <c r="P3464" t="inlineStr">
        <is>
          <t>68c2c799c2780300019e8658</t>
        </is>
      </c>
      <c r="Q3464" t="inlineStr">
        <is>
          <t>🚫重复</t>
        </is>
      </c>
      <c r="R3464" t="inlineStr">
        <is>
          <t>14周</t>
        </is>
      </c>
      <c r="S3464" t="inlineStr">
        <is>
          <t>7.79</t>
        </is>
      </c>
      <c r="T3464" t="inlineStr">
        <is>
          <t>家居生活</t>
        </is>
      </c>
      <c r="U3464" t="inlineStr">
        <is>
          <t>家具家装</t>
        </is>
      </c>
      <c r="V3464" s="3">
        <v>46112.78107638889</v>
      </c>
      <c r="W3464" t="inlineStr">
        <is>
          <t>2026-Q1</t>
        </is>
      </c>
    </row>
    <row r="3465" ht="25.5" customHeight="1">
      <c r="A3465" t="inlineStr">
        <is>
          <t>【2026春季首发】意大利甜罗勒盆栽香草盆栽11cm口径盆栽</t>
        </is>
      </c>
      <c r="B3465" t="inlineStr">
        <is>
          <t>recvfjOYGLmF34.jpg</t>
        </is>
      </c>
      <c r="C3465" s="2" t="str">
        <f>=HYPERLINK("https://xhslink.com/m/teZea07SPz", "https://xhslink.com/m/teZea07SPz")</f>
        <v>https://xhslink.com/m/teZea07SPz</v>
      </c>
      <c r="D3465"/>
      <c r="E3465">
        <v>7588</v>
      </c>
      <c r="F3465">
        <v>7</v>
      </c>
      <c r="G3465"/>
      <c r="H3465">
        <v>100</v>
      </c>
      <c r="I3465" t="inlineStr">
        <is>
          <t>阳台</t>
        </is>
      </c>
      <c r="J3465" t="inlineStr">
        <is>
          <t>0.01</t>
        </is>
      </c>
      <c r="K3465"/>
      <c r="L3465" t="inlineStr">
        <is>
          <t>拾味香草的店</t>
        </is>
      </c>
      <c r="M3465">
        <v>28000</v>
      </c>
      <c r="N3465">
        <v>4.6</v>
      </c>
      <c r="O3465">
        <v>48000</v>
      </c>
      <c r="P3465" t="inlineStr">
        <is>
          <t>67ce8ed3b6240c0015843b9f</t>
        </is>
      </c>
      <c r="Q3465"/>
      <c r="R3465" t="inlineStr">
        <is>
          <t>14周</t>
        </is>
      </c>
      <c r="S3465" t="inlineStr">
        <is>
          <t>0.27</t>
        </is>
      </c>
      <c r="T3465" t="inlineStr">
        <is>
          <t>家居生活</t>
        </is>
      </c>
      <c r="U3465" t="inlineStr">
        <is>
          <t>家具家装</t>
        </is>
      </c>
      <c r="V3465" s="3">
        <v>46112.78107638889</v>
      </c>
      <c r="W3465" t="inlineStr">
        <is>
          <t>2026-Q1</t>
        </is>
      </c>
    </row>
    <row r="3466" ht="25.5" customHeight="1">
      <c r="A3466" t="inlineStr">
        <is>
          <t>路兮小农民重瓣新品种蜀葵查特斯花园植物宿根花卉阳台春天庭院</t>
        </is>
      </c>
      <c r="B3466" t="inlineStr">
        <is>
          <t>recvfjOYGLsB8x.jpg</t>
        </is>
      </c>
      <c r="C3466" s="2" t="str">
        <f>=HYPERLINK("https://xhslink.com/m/5gc6G1z827j", "https://xhslink.com/m/5gc6G1z827j")</f>
        <v>https://xhslink.com/m/5gc6G1z827j</v>
      </c>
      <c r="D3466"/>
      <c r="E3466">
        <v>3027</v>
      </c>
      <c r="F3466">
        <v>8.8</v>
      </c>
      <c r="G3466"/>
      <c r="H3466">
        <v>100</v>
      </c>
      <c r="I3466" t="inlineStr">
        <is>
          <t>阳台</t>
        </is>
      </c>
      <c r="J3466" t="inlineStr">
        <is>
          <t>0.03</t>
        </is>
      </c>
      <c r="K3466"/>
      <c r="L3466" t="inlineStr">
        <is>
          <t>路兮小农民（路兮园艺）的店</t>
        </is>
      </c>
      <c r="M3466">
        <v>8613</v>
      </c>
      <c r="N3466">
        <v>4.71</v>
      </c>
      <c r="O3466">
        <v>10000</v>
      </c>
      <c r="P3466" t="inlineStr">
        <is>
          <t>67380644bf5b2400011e7f63</t>
        </is>
      </c>
      <c r="Q3466"/>
      <c r="R3466" t="inlineStr">
        <is>
          <t>14周</t>
        </is>
      </c>
      <c r="S3466" t="inlineStr">
        <is>
          <t>0.35</t>
        </is>
      </c>
      <c r="T3466" t="inlineStr">
        <is>
          <t>家居生活</t>
        </is>
      </c>
      <c r="U3466" t="inlineStr">
        <is>
          <t>家具家装</t>
        </is>
      </c>
      <c r="V3466" s="3">
        <v>46112.78107638889</v>
      </c>
      <c r="W3466" t="inlineStr">
        <is>
          <t>2026-Q1</t>
        </is>
      </c>
    </row>
    <row r="3467" ht="25.5" customHeight="1">
      <c r="A3467" t="inlineStr">
        <is>
          <t>【升级款泡沫喷壶】手动打压打泡沫浇花两用自带量杯双喷嘴带量杯</t>
        </is>
      </c>
      <c r="B3467" t="inlineStr">
        <is>
          <t>recvfjOYGLFKnf.jpg</t>
        </is>
      </c>
      <c r="C3467" s="2" t="str">
        <f>=HYPERLINK("https://xhslink.com/m/1FHvdACtX9M", "https://xhslink.com/m/1FHvdACtX9M")</f>
        <v>https://xhslink.com/m/1FHvdACtX9M</v>
      </c>
      <c r="D3467"/>
      <c r="E3467">
        <v>10000</v>
      </c>
      <c r="F3467">
        <v>29.8</v>
      </c>
      <c r="G3467"/>
      <c r="H3467">
        <v>100</v>
      </c>
      <c r="I3467" t="inlineStr">
        <is>
          <t>喷壶</t>
        </is>
      </c>
      <c r="J3467" t="inlineStr">
        <is>
          <t>0.01</t>
        </is>
      </c>
      <c r="K3467"/>
      <c r="L3467" t="inlineStr">
        <is>
          <t>简白家的店</t>
        </is>
      </c>
      <c r="M3467">
        <v>31000</v>
      </c>
      <c r="N3467">
        <v>4.32</v>
      </c>
      <c r="O3467">
        <v>22000</v>
      </c>
      <c r="P3467" t="inlineStr">
        <is>
          <t>67e594950f9d60000108d1f3</t>
        </is>
      </c>
      <c r="Q3467" t="inlineStr">
        <is>
          <t>🚫重复</t>
        </is>
      </c>
      <c r="R3467" t="inlineStr">
        <is>
          <t>14周</t>
        </is>
      </c>
      <c r="S3467" t="inlineStr">
        <is>
          <t>0.32</t>
        </is>
      </c>
      <c r="T3467" t="inlineStr">
        <is>
          <t>家居生活</t>
        </is>
      </c>
      <c r="U3467" t="inlineStr">
        <is>
          <t>厨房餐饮</t>
        </is>
      </c>
      <c r="V3467" s="3">
        <v>46112.78107638889</v>
      </c>
      <c r="W3467" t="inlineStr">
        <is>
          <t>2026-Q1</t>
        </is>
      </c>
    </row>
    <row r="3468" ht="25.5" customHeight="1">
      <c r="A3468" t="inlineStr">
        <is>
          <t>芳语 FANGWORD · 小汤圆推荐巨实用单支套刷组合粉底刷腮红刷眼影刷沧州刷子</t>
        </is>
      </c>
      <c r="B3468" t="inlineStr">
        <is>
          <t>recvfjOYGLO7wE.jpg</t>
        </is>
      </c>
      <c r="C3468" s="2" t="str">
        <f>=HYPERLINK("https://xhslink.com/m/7mGAnSaaSHU", "https://xhslink.com/m/7mGAnSaaSHU")</f>
        <v>https://xhslink.com/m/7mGAnSaaSHU</v>
      </c>
      <c r="D3468"/>
      <c r="E3468">
        <v>9896</v>
      </c>
      <c r="F3468">
        <v>9.9</v>
      </c>
      <c r="G3468"/>
      <c r="H3468">
        <v>100</v>
      </c>
      <c r="I3468" t="inlineStr">
        <is>
          <t>美妆</t>
        </is>
      </c>
      <c r="J3468" t="inlineStr">
        <is>
          <t>0.01</t>
        </is>
      </c>
      <c r="K3468"/>
      <c r="L3468" t="inlineStr">
        <is>
          <t>芳语旗舰店</t>
        </is>
      </c>
      <c r="M3468">
        <v>14000</v>
      </c>
      <c r="N3468">
        <v>4.72</v>
      </c>
      <c r="O3468">
        <v>381000</v>
      </c>
      <c r="P3468" t="inlineStr">
        <is>
          <t>684647612dd29c00018f98c3</t>
        </is>
      </c>
      <c r="Q3468" t="inlineStr">
        <is>
          <t>🚫重复</t>
        </is>
      </c>
      <c r="R3468" t="inlineStr">
        <is>
          <t>14周</t>
        </is>
      </c>
      <c r="S3468" t="inlineStr">
        <is>
          <t>0.71</t>
        </is>
      </c>
      <c r="T3468" t="inlineStr">
        <is>
          <t>美妆个护</t>
        </is>
      </c>
      <c r="U3468" t="inlineStr">
        <is>
          <t>护肤彩妆</t>
        </is>
      </c>
      <c r="V3468" s="3">
        <v>46112.78107638889</v>
      </c>
      <c r="W3468" t="inlineStr">
        <is>
          <t>2026-Q1</t>
        </is>
      </c>
    </row>
    <row r="3469" ht="25.5" customHeight="1">
      <c r="A3469" t="inlineStr">
        <is>
          <t>女王与鲜生 · 刺身拼盘 挪威三文鱼刺身北极贝北极甜虾鱼腩兰花蚌希鲮鱼海鲜</t>
        </is>
      </c>
      <c r="B3469" t="inlineStr">
        <is>
          <t>recvfjOYGLSKD8.jpg</t>
        </is>
      </c>
      <c r="C3469" s="2" t="str">
        <f>=HYPERLINK("https://xhslink.com/m/OvZJxZ9piS", "https://xhslink.com/m/OvZJxZ9piS")</f>
        <v>https://xhslink.com/m/OvZJxZ9piS</v>
      </c>
      <c r="D3469"/>
      <c r="E3469">
        <v>60000</v>
      </c>
      <c r="F3469">
        <v>69</v>
      </c>
      <c r="G3469"/>
      <c r="H3469">
        <v>100</v>
      </c>
      <c r="I3469" t="inlineStr">
        <is>
          <t>刺身</t>
        </is>
      </c>
      <c r="J3469" t="inlineStr">
        <is>
          <t>0.00</t>
        </is>
      </c>
      <c r="K3469"/>
      <c r="L3469" t="inlineStr">
        <is>
          <t>女王与鲜生旗舰店</t>
        </is>
      </c>
      <c r="M3469">
        <v>22000</v>
      </c>
      <c r="N3469">
        <v>4.76</v>
      </c>
      <c r="O3469">
        <v>123000</v>
      </c>
      <c r="P3469" t="inlineStr">
        <is>
          <t>665430e0d5d5a10001e989f0</t>
        </is>
      </c>
      <c r="Q3469" t="inlineStr">
        <is>
          <t>🚫重复</t>
        </is>
      </c>
      <c r="R3469" t="inlineStr">
        <is>
          <t>14周</t>
        </is>
      </c>
      <c r="S3469" t="inlineStr">
        <is>
          <t>2.73</t>
        </is>
      </c>
      <c r="T3469" t="inlineStr">
        <is>
          <t>美食滋补</t>
        </is>
      </c>
      <c r="U3469" t="inlineStr">
        <is>
          <t>生鲜特产</t>
        </is>
      </c>
      <c r="V3469" s="3">
        <v>46112.78107638889</v>
      </c>
      <c r="W3469" t="inlineStr">
        <is>
          <t>2026-Q1</t>
        </is>
      </c>
    </row>
    <row r="3470" ht="25.5" customHeight="1">
      <c r="A3470" t="inlineStr">
        <is>
          <t>【冰鲜送达】当天鲜切法罗皇冠挪威冰鲜三文鱼新鲜中段料理400g</t>
        </is>
      </c>
      <c r="B3470" t="inlineStr">
        <is>
          <t>recvfjOYGLDMbq.jpg</t>
        </is>
      </c>
      <c r="C3470" s="2" t="str">
        <f>=HYPERLINK("https://xhslink.com/m/8BWlJcOQKMt", "https://xhslink.com/m/8BWlJcOQKMt")</f>
        <v>https://xhslink.com/m/8BWlJcOQKMt</v>
      </c>
      <c r="D3470"/>
      <c r="E3470">
        <v>54000</v>
      </c>
      <c r="F3470">
        <v>128</v>
      </c>
      <c r="G3470"/>
      <c r="H3470">
        <v>100</v>
      </c>
      <c r="I3470" t="inlineStr">
        <is>
          <t>刺身</t>
        </is>
      </c>
      <c r="J3470" t="inlineStr">
        <is>
          <t>0.00</t>
        </is>
      </c>
      <c r="K3470" t="inlineStr">
        <is>
          <t>🔥低粉爆款</t>
        </is>
      </c>
      <c r="L3470" t="inlineStr">
        <is>
          <t>如伊鲜三文鱼的店</t>
        </is>
      </c>
      <c r="M3470">
        <v>13000</v>
      </c>
      <c r="N3470">
        <v>4.71</v>
      </c>
      <c r="O3470">
        <v>59000</v>
      </c>
      <c r="P3470" t="inlineStr">
        <is>
          <t>660660519f57d1000116e67d</t>
        </is>
      </c>
      <c r="Q3470" t="inlineStr">
        <is>
          <t>🚫重复</t>
        </is>
      </c>
      <c r="R3470" t="inlineStr">
        <is>
          <t>14周</t>
        </is>
      </c>
      <c r="S3470" t="inlineStr">
        <is>
          <t>4.15</t>
        </is>
      </c>
      <c r="T3470" t="inlineStr">
        <is>
          <t>美食滋补</t>
        </is>
      </c>
      <c r="U3470" t="inlineStr">
        <is>
          <t>生鲜特产</t>
        </is>
      </c>
      <c r="V3470" s="3">
        <v>46112.78107638889</v>
      </c>
      <c r="W3470" t="inlineStr">
        <is>
          <t>2026-Q1</t>
        </is>
      </c>
    </row>
    <row r="3471" ht="25.5" customHeight="1">
      <c r="A3471" t="inlineStr">
        <is>
          <t>女王与鲜生 · 顺丰包邮 挪威三文鱼刺身新鲜冰鲜中腰段大西洋鲑鱼厚切即食进口</t>
        </is>
      </c>
      <c r="B3471" t="inlineStr">
        <is>
          <t>recvfjOYGLZySX.jpg</t>
        </is>
      </c>
      <c r="C3471" s="2" t="str">
        <f>=HYPERLINK("https://xhslink.com/m/858yWzgvgsS", "https://xhslink.com/m/858yWzgvgsS")</f>
        <v>https://xhslink.com/m/858yWzgvgsS</v>
      </c>
      <c r="D3471"/>
      <c r="E3471">
        <v>5410</v>
      </c>
      <c r="F3471">
        <v>79</v>
      </c>
      <c r="G3471"/>
      <c r="H3471">
        <v>100</v>
      </c>
      <c r="I3471" t="inlineStr">
        <is>
          <t>刺身</t>
        </is>
      </c>
      <c r="J3471" t="inlineStr">
        <is>
          <t>0.02</t>
        </is>
      </c>
      <c r="K3471"/>
      <c r="L3471" t="inlineStr">
        <is>
          <t>女王与鲜生旗舰店</t>
        </is>
      </c>
      <c r="M3471">
        <v>22000</v>
      </c>
      <c r="N3471">
        <v>4.76</v>
      </c>
      <c r="O3471">
        <v>123000</v>
      </c>
      <c r="P3471" t="inlineStr">
        <is>
          <t>68ba3eb7096c870001868741</t>
        </is>
      </c>
      <c r="Q3471" t="inlineStr">
        <is>
          <t>🚫重复</t>
        </is>
      </c>
      <c r="R3471" t="inlineStr">
        <is>
          <t>14周</t>
        </is>
      </c>
      <c r="S3471" t="inlineStr">
        <is>
          <t>0.25</t>
        </is>
      </c>
      <c r="T3471" t="inlineStr">
        <is>
          <t>美食滋补</t>
        </is>
      </c>
      <c r="U3471" t="inlineStr">
        <is>
          <t>生鲜特产</t>
        </is>
      </c>
      <c r="V3471" s="3">
        <v>46112.78107638889</v>
      </c>
      <c r="W3471" t="inlineStr">
        <is>
          <t>2026-Q1</t>
        </is>
      </c>
    </row>
    <row r="3472" ht="25.5" customHeight="1">
      <c r="A3472" t="inlineStr">
        <is>
          <t>法式复古双面格纹丝巾女款装饰小方巾腰带腰间配饰搭配衬衫领巾</t>
        </is>
      </c>
      <c r="B3472" t="inlineStr">
        <is>
          <t>recvfjOYGLZQFV.jpg</t>
        </is>
      </c>
      <c r="C3472" s="2" t="str">
        <f>=HYPERLINK("https://xhslink.com/m/1pMNMYqTEHu", "https://xhslink.com/m/1pMNMYqTEHu")</f>
        <v>https://xhslink.com/m/1pMNMYqTEHu</v>
      </c>
      <c r="D3472"/>
      <c r="E3472">
        <v>1793</v>
      </c>
      <c r="F3472">
        <v>19.9</v>
      </c>
      <c r="G3472"/>
      <c r="H3472">
        <v>100</v>
      </c>
      <c r="I3472" t="inlineStr">
        <is>
          <t>丝巾</t>
        </is>
      </c>
      <c r="J3472" t="inlineStr">
        <is>
          <t>0.06</t>
        </is>
      </c>
      <c r="K3472"/>
      <c r="L3472" t="inlineStr">
        <is>
          <t>花花手创的店</t>
        </is>
      </c>
      <c r="M3472">
        <v>1969</v>
      </c>
      <c r="N3472">
        <v>4.47</v>
      </c>
      <c r="O3472">
        <v>4050</v>
      </c>
      <c r="P3472" t="inlineStr">
        <is>
          <t>68f22ec2e379430001284939</t>
        </is>
      </c>
      <c r="Q3472"/>
      <c r="R3472" t="inlineStr">
        <is>
          <t>14周</t>
        </is>
      </c>
      <c r="S3472" t="inlineStr">
        <is>
          <t>0.91</t>
        </is>
      </c>
      <c r="T3472" t="inlineStr">
        <is>
          <t>服饰穿搭</t>
        </is>
      </c>
      <c r="U3472" t="inlineStr">
        <is>
          <t>配饰</t>
        </is>
      </c>
      <c r="V3472" s="3">
        <v>46112.78107638889</v>
      </c>
      <c r="W3472" t="inlineStr">
        <is>
          <t>2026-Q1</t>
        </is>
      </c>
    </row>
    <row r="3473" ht="25.5" customHeight="1">
      <c r="A3473" t="inlineStr">
        <is>
          <t>西门塔尔*八成干碳烤风干牛肉干 一斤（独立包装）顺丰包邮</t>
        </is>
      </c>
      <c r="B3473" t="inlineStr">
        <is>
          <t>recvfjOYGLzajE.jpg</t>
        </is>
      </c>
      <c r="C3473" s="2" t="str">
        <f>=HYPERLINK("https://xhslink.com/m/83hHTeydcPt", "https://xhslink.com/m/83hHTeydcPt")</f>
        <v>https://xhslink.com/m/83hHTeydcPt</v>
      </c>
      <c r="D3473"/>
      <c r="E3473">
        <v>15000</v>
      </c>
      <c r="F3473">
        <v>82</v>
      </c>
      <c r="G3473">
        <v>69</v>
      </c>
      <c r="H3473">
        <v>100</v>
      </c>
      <c r="I3473" t="inlineStr">
        <is>
          <t>孕期零食</t>
        </is>
      </c>
      <c r="J3473" t="inlineStr">
        <is>
          <t>0.01</t>
        </is>
      </c>
      <c r="K3473" t="inlineStr">
        <is>
          <t>🔥低粉爆款</t>
        </is>
      </c>
      <c r="L3473" t="inlineStr">
        <is>
          <t>西门塔尔碳烤牛肉干的店</t>
        </is>
      </c>
      <c r="M3473">
        <v>1931</v>
      </c>
      <c r="N3473">
        <v>4.79</v>
      </c>
      <c r="O3473">
        <v>19000</v>
      </c>
      <c r="P3473" t="inlineStr">
        <is>
          <t>695e2bb4a3512300019011c7</t>
        </is>
      </c>
      <c r="Q3473"/>
      <c r="R3473" t="inlineStr">
        <is>
          <t>14周</t>
        </is>
      </c>
      <c r="S3473" t="inlineStr">
        <is>
          <t>7.77</t>
        </is>
      </c>
      <c r="T3473" t="inlineStr">
        <is>
          <t>美食滋补</t>
        </is>
      </c>
      <c r="U3473" t="inlineStr">
        <is>
          <t>休闲零食</t>
        </is>
      </c>
      <c r="V3473" s="3">
        <v>46112.78107638889</v>
      </c>
      <c r="W3473" t="inlineStr">
        <is>
          <t>2026-Q1</t>
        </is>
      </c>
    </row>
    <row r="3474" ht="25.5" customHeight="1">
      <c r="A3474" t="inlineStr">
        <is>
          <t>二果炸 · 福建特产东魁杨梅干，鲜制原味，孕妇小孩都能吃</t>
        </is>
      </c>
      <c r="B3474" t="inlineStr">
        <is>
          <t>recvfjOYGLH3pH.jpg</t>
        </is>
      </c>
      <c r="C3474" s="2" t="str">
        <f>=HYPERLINK("https://xhslink.com/m/9ipGK92iNvj", "https://xhslink.com/m/9ipGK92iNvj")</f>
        <v>https://xhslink.com/m/9ipGK92iNvj</v>
      </c>
      <c r="D3474"/>
      <c r="E3474">
        <v>26000</v>
      </c>
      <c r="F3474">
        <v>52.9</v>
      </c>
      <c r="G3474">
        <v>43.9</v>
      </c>
      <c r="H3474">
        <v>100</v>
      </c>
      <c r="I3474" t="inlineStr">
        <is>
          <t>孕期零食</t>
        </is>
      </c>
      <c r="J3474" t="inlineStr">
        <is>
          <t>0.00</t>
        </is>
      </c>
      <c r="K3474" t="inlineStr">
        <is>
          <t>🔥低粉爆款</t>
        </is>
      </c>
      <c r="L3474" t="inlineStr">
        <is>
          <t>二果炸的店</t>
        </is>
      </c>
      <c r="M3474">
        <v>2289</v>
      </c>
      <c r="N3474">
        <v>4.54</v>
      </c>
      <c r="O3474">
        <v>33000</v>
      </c>
      <c r="P3474" t="inlineStr">
        <is>
          <t>65885a7c4207d30001be48e0</t>
        </is>
      </c>
      <c r="Q3474"/>
      <c r="R3474" t="inlineStr">
        <is>
          <t>14周</t>
        </is>
      </c>
      <c r="S3474" t="inlineStr">
        <is>
          <t>11.36</t>
        </is>
      </c>
      <c r="T3474" t="inlineStr">
        <is>
          <t>美食滋补</t>
        </is>
      </c>
      <c r="U3474" t="inlineStr">
        <is>
          <t>生鲜特产</t>
        </is>
      </c>
      <c r="V3474" s="3">
        <v>46112.78107638889</v>
      </c>
      <c r="W3474" t="inlineStr">
        <is>
          <t>2026-Q1</t>
        </is>
      </c>
    </row>
    <row r="3475" ht="25.5" customHeight="1">
      <c r="A3475" t="inlineStr">
        <is>
          <t>其它 · 蓝莓薄雾蓝莓苗盆栽蓝莓果树苗大果耐寒南方北方种带土带软盆</t>
        </is>
      </c>
      <c r="B3475" t="inlineStr">
        <is>
          <t>recvfjOYGLSXuu.jpg</t>
        </is>
      </c>
      <c r="C3475" s="2" t="str">
        <f>=HYPERLINK("https://xhslink.com/m/8uUIOqyycDj", "https://xhslink.com/m/8uUIOqyycDj")</f>
        <v>https://xhslink.com/m/8uUIOqyycDj</v>
      </c>
      <c r="D3475"/>
      <c r="E3475">
        <v>6392</v>
      </c>
      <c r="F3475">
        <v>22.9</v>
      </c>
      <c r="G3475">
        <v>12.9</v>
      </c>
      <c r="H3475">
        <v>100</v>
      </c>
      <c r="I3475" t="inlineStr">
        <is>
          <t>书房</t>
        </is>
      </c>
      <c r="J3475" t="inlineStr">
        <is>
          <t>0.02</t>
        </is>
      </c>
      <c r="K3475" t="inlineStr">
        <is>
          <t>🔥低粉爆款</t>
        </is>
      </c>
      <c r="L3475" t="inlineStr">
        <is>
          <t>榴莲A的店</t>
        </is>
      </c>
      <c r="M3475">
        <v>36</v>
      </c>
      <c r="N3475">
        <v>4.48</v>
      </c>
      <c r="O3475">
        <v>11000</v>
      </c>
      <c r="P3475" t="inlineStr">
        <is>
          <t>69a284405be6c100018fac6b</t>
        </is>
      </c>
      <c r="Q3475"/>
      <c r="R3475" t="inlineStr">
        <is>
          <t>14周</t>
        </is>
      </c>
      <c r="S3475" t="inlineStr">
        <is>
          <t>177.56</t>
        </is>
      </c>
      <c r="T3475" t="inlineStr">
        <is>
          <t>家居生活</t>
        </is>
      </c>
      <c r="U3475" t="inlineStr">
        <is>
          <t>家具家装</t>
        </is>
      </c>
      <c r="V3475" s="3">
        <v>46112.78107638889</v>
      </c>
      <c r="W3475" t="inlineStr">
        <is>
          <t>2026-Q1</t>
        </is>
      </c>
    </row>
    <row r="3476" ht="25.5" customHeight="1">
      <c r="A3476" t="inlineStr">
        <is>
          <t>弹力高腰阔腿窄版直筒拖地牛仔裤女</t>
        </is>
      </c>
      <c r="B3476" t="inlineStr">
        <is>
          <t>recvfqmLqZDVOX.jpg</t>
        </is>
      </c>
      <c r="C3476" s="2" t="str">
        <f>=HYPERLINK("https://xhslink.com/m/4WPNjBULNlm", "https://xhslink.com/m/4WPNjBULNlm")</f>
        <v>https://xhslink.com/m/4WPNjBULNlm</v>
      </c>
      <c r="D3476"/>
      <c r="E3476">
        <v>169000</v>
      </c>
      <c r="F3476">
        <v>90</v>
      </c>
      <c r="G3476">
        <v>79</v>
      </c>
      <c r="H3476">
        <v>100</v>
      </c>
      <c r="I3476" t="inlineStr">
        <is>
          <t>牛仔裤</t>
        </is>
      </c>
      <c r="J3476" t="inlineStr">
        <is>
          <t>0.00</t>
        </is>
      </c>
      <c r="K3476" t="inlineStr">
        <is>
          <t>🔥低粉爆款</t>
        </is>
      </c>
      <c r="L3476" t="inlineStr">
        <is>
          <t>a奶爸小店的店</t>
        </is>
      </c>
      <c r="M3476">
        <v>25000</v>
      </c>
      <c r="N3476">
        <v>4.6</v>
      </c>
      <c r="O3476">
        <v>282000</v>
      </c>
      <c r="P3476" t="inlineStr">
        <is>
          <t>6364cf8a8d683100017bccf5</t>
        </is>
      </c>
      <c r="Q3476" t="inlineStr">
        <is>
          <t>🚫重复</t>
        </is>
      </c>
      <c r="R3476" t="inlineStr">
        <is>
          <t>14周</t>
        </is>
      </c>
      <c r="S3476" t="inlineStr">
        <is>
          <t>6.76</t>
        </is>
      </c>
      <c r="T3476" t="inlineStr">
        <is>
          <t>服饰穿搭</t>
        </is>
      </c>
      <c r="U3476" t="inlineStr">
        <is>
          <t>女装</t>
        </is>
      </c>
      <c r="V3476" s="3">
        <v>46112.78107638889</v>
      </c>
      <c r="W3476" t="inlineStr">
        <is>
          <t>2026-Q1</t>
        </is>
      </c>
    </row>
    <row r="3477" ht="25.5" customHeight="1">
      <c r="A3477" t="inlineStr">
        <is>
          <t>浅蓝色微喇牛仔裤女2026春夏新款中低腰宽松显瘦百搭弹力喇叭裤子</t>
        </is>
      </c>
      <c r="B3477" t="inlineStr">
        <is>
          <t>recvfqmLqZ5Wdj.jpg</t>
        </is>
      </c>
      <c r="C3477" s="2" t="str">
        <f>=HYPERLINK("https://xhslink.com/m/7fNLJSdur4o", "https://xhslink.com/m/7fNLJSdur4o")</f>
        <v>https://xhslink.com/m/7fNLJSdur4o</v>
      </c>
      <c r="D3477"/>
      <c r="E3477">
        <v>15000</v>
      </c>
      <c r="F3477">
        <v>109</v>
      </c>
      <c r="G3477">
        <v>78</v>
      </c>
      <c r="H3477">
        <v>100</v>
      </c>
      <c r="I3477" t="inlineStr">
        <is>
          <t>牛仔裤</t>
        </is>
      </c>
      <c r="J3477" t="inlineStr">
        <is>
          <t>0.01</t>
        </is>
      </c>
      <c r="K3477"/>
      <c r="L3477" t="inlineStr">
        <is>
          <t>圈圈不转圈⭕的店</t>
        </is>
      </c>
      <c r="M3477">
        <v>32000</v>
      </c>
      <c r="N3477">
        <v>4.47</v>
      </c>
      <c r="O3477">
        <v>243000</v>
      </c>
      <c r="P3477" t="inlineStr">
        <is>
          <t>67f4ea09ab6a3e0001e71e5e</t>
        </is>
      </c>
      <c r="Q3477" t="inlineStr">
        <is>
          <t>🚫重复</t>
        </is>
      </c>
      <c r="R3477" t="inlineStr">
        <is>
          <t>14周</t>
        </is>
      </c>
      <c r="S3477" t="inlineStr">
        <is>
          <t>0.47</t>
        </is>
      </c>
      <c r="T3477" t="inlineStr">
        <is>
          <t>服饰穿搭</t>
        </is>
      </c>
      <c r="U3477" t="inlineStr">
        <is>
          <t>女装</t>
        </is>
      </c>
      <c r="V3477" s="3">
        <v>46112.78107638889</v>
      </c>
      <c r="W3477" t="inlineStr">
        <is>
          <t>2026-Q1</t>
        </is>
      </c>
    </row>
    <row r="3478" ht="25.5" customHeight="1">
      <c r="A3478" t="inlineStr">
        <is>
          <t>&lt;牛仔1&gt; 复古 做旧 低腰 拖地 微喇 弹力 不贴腿牛仔裤</t>
        </is>
      </c>
      <c r="B3478" t="inlineStr">
        <is>
          <t>recvfqmLqZfTtc.jpg</t>
        </is>
      </c>
      <c r="C3478" s="2" t="str">
        <f>=HYPERLINK("https://xhslink.com/m/10GyuvVI3fQ", "https://xhslink.com/m/10GyuvVI3fQ")</f>
        <v>https://xhslink.com/m/10GyuvVI3fQ</v>
      </c>
      <c r="D3478"/>
      <c r="E3478">
        <v>23000</v>
      </c>
      <c r="F3478">
        <v>139</v>
      </c>
      <c r="G3478">
        <v>118.15</v>
      </c>
      <c r="H3478">
        <v>100</v>
      </c>
      <c r="I3478" t="inlineStr">
        <is>
          <t>牛仔裤</t>
        </is>
      </c>
      <c r="J3478" t="inlineStr">
        <is>
          <t>0.00</t>
        </is>
      </c>
      <c r="K3478" t="inlineStr">
        <is>
          <t>🔥低粉爆款</t>
        </is>
      </c>
      <c r="L3478" t="inlineStr">
        <is>
          <t>茉莉乳酪麻薯条的店</t>
        </is>
      </c>
      <c r="M3478">
        <v>1593</v>
      </c>
      <c r="N3478">
        <v>4.59</v>
      </c>
      <c r="O3478">
        <v>24000</v>
      </c>
      <c r="P3478" t="inlineStr">
        <is>
          <t>6543676944b73000014b57a8</t>
        </is>
      </c>
      <c r="Q3478" t="inlineStr">
        <is>
          <t>🚫重复</t>
        </is>
      </c>
      <c r="R3478" t="inlineStr">
        <is>
          <t>14周</t>
        </is>
      </c>
      <c r="S3478" t="inlineStr">
        <is>
          <t>14.44</t>
        </is>
      </c>
      <c r="T3478" t="inlineStr">
        <is>
          <t>服饰穿搭</t>
        </is>
      </c>
      <c r="U3478" t="inlineStr">
        <is>
          <t>女装</t>
        </is>
      </c>
      <c r="V3478" s="3">
        <v>46112.78107638889</v>
      </c>
      <c r="W3478" t="inlineStr">
        <is>
          <t>2026-Q1</t>
        </is>
      </c>
    </row>
    <row r="3479" ht="25.5" customHeight="1">
      <c r="A3479" t="inlineStr">
        <is>
          <t>不皱黑科技面料春夏新款窄版阔腿喇叭牛仔裤女宽松直筒垂感显瘦裤</t>
        </is>
      </c>
      <c r="B3479" t="inlineStr">
        <is>
          <t>recvfqmLqZNFYe.jpg</t>
        </is>
      </c>
      <c r="C3479" s="2" t="str">
        <f>=HYPERLINK("https://xhslink.com/m/9l7gGSQNV8g", "https://xhslink.com/m/9l7gGSQNV8g")</f>
        <v>https://xhslink.com/m/9l7gGSQNV8g</v>
      </c>
      <c r="D3479"/>
      <c r="E3479">
        <v>50000</v>
      </c>
      <c r="F3479">
        <v>129.9</v>
      </c>
      <c r="G3479">
        <v>99.9</v>
      </c>
      <c r="H3479">
        <v>100</v>
      </c>
      <c r="I3479" t="inlineStr">
        <is>
          <t>牛仔裤</t>
        </is>
      </c>
      <c r="J3479" t="inlineStr">
        <is>
          <t>0.00</t>
        </is>
      </c>
      <c r="K3479"/>
      <c r="L3479" t="inlineStr">
        <is>
          <t>财气紫阿的店</t>
        </is>
      </c>
      <c r="M3479">
        <v>21000</v>
      </c>
      <c r="N3479">
        <v>4.54</v>
      </c>
      <c r="O3479">
        <v>117000</v>
      </c>
      <c r="P3479" t="inlineStr">
        <is>
          <t>67fa4f91b2c30c00018ce8d6</t>
        </is>
      </c>
      <c r="Q3479" t="inlineStr">
        <is>
          <t>🚫重复</t>
        </is>
      </c>
      <c r="R3479" t="inlineStr">
        <is>
          <t>14周</t>
        </is>
      </c>
      <c r="S3479" t="inlineStr">
        <is>
          <t>2.38</t>
        </is>
      </c>
      <c r="T3479" t="inlineStr">
        <is>
          <t>服饰穿搭</t>
        </is>
      </c>
      <c r="U3479" t="inlineStr">
        <is>
          <t>女装</t>
        </is>
      </c>
      <c r="V3479" s="3">
        <v>46112.78107638889</v>
      </c>
      <c r="W3479" t="inlineStr">
        <is>
          <t>2026-Q1</t>
        </is>
      </c>
    </row>
    <row r="3480" ht="25.5" customHeight="1">
      <c r="A3480" t="inlineStr">
        <is>
          <t>2026春夏新款白色宽松褶皱纹理直筒牛仔裤女显瘦垂感宽松阔腿裤子</t>
        </is>
      </c>
      <c r="B3480" t="inlineStr">
        <is>
          <t>recvfqmLqZKP6s.jpg</t>
        </is>
      </c>
      <c r="C3480" s="2" t="str">
        <f>=HYPERLINK("https://xhslink.com/m/AXLgqT4tD07", "https://xhslink.com/m/AXLgqT4tD07")</f>
        <v>https://xhslink.com/m/AXLgqT4tD07</v>
      </c>
      <c r="D3480"/>
      <c r="E3480">
        <v>65000</v>
      </c>
      <c r="F3480">
        <v>119</v>
      </c>
      <c r="G3480">
        <v>88</v>
      </c>
      <c r="H3480">
        <v>100</v>
      </c>
      <c r="I3480" t="inlineStr">
        <is>
          <t>牛仔裤</t>
        </is>
      </c>
      <c r="J3480" t="inlineStr">
        <is>
          <t>0.00</t>
        </is>
      </c>
      <c r="K3480"/>
      <c r="L3480" t="inlineStr">
        <is>
          <t>圈圈不转圈⭕的店</t>
        </is>
      </c>
      <c r="M3480">
        <v>32000</v>
      </c>
      <c r="N3480">
        <v>4.47</v>
      </c>
      <c r="O3480">
        <v>243000</v>
      </c>
      <c r="P3480" t="inlineStr">
        <is>
          <t>66ab53d7afd4620001900bbe</t>
        </is>
      </c>
      <c r="Q3480" t="inlineStr">
        <is>
          <t>🚫重复</t>
        </is>
      </c>
      <c r="R3480" t="inlineStr">
        <is>
          <t>14周</t>
        </is>
      </c>
      <c r="S3480" t="inlineStr">
        <is>
          <t>2.03</t>
        </is>
      </c>
      <c r="T3480" t="inlineStr">
        <is>
          <t>服饰穿搭</t>
        </is>
      </c>
      <c r="U3480" t="inlineStr">
        <is>
          <t>女装</t>
        </is>
      </c>
      <c r="V3480" s="3">
        <v>46112.78107638889</v>
      </c>
      <c r="W3480" t="inlineStr">
        <is>
          <t>2026-Q1</t>
        </is>
      </c>
    </row>
    <row r="3481" ht="25.5" customHeight="1">
      <c r="A3481" t="inlineStr">
        <is>
          <t>【下个路口】高弹力复古爆款春夏直筒牛仔裤女2026新款显瘦窄版裤</t>
        </is>
      </c>
      <c r="B3481" t="inlineStr">
        <is>
          <t>recvfqmLqZQo3I.jpg</t>
        </is>
      </c>
      <c r="C3481" s="2" t="str">
        <f>=HYPERLINK("https://xhslink.com/m/12nLxwhpjIC", "https://xhslink.com/m/12nLxwhpjIC")</f>
        <v>https://xhslink.com/m/12nLxwhpjIC</v>
      </c>
      <c r="D3481"/>
      <c r="E3481">
        <v>88000</v>
      </c>
      <c r="F3481">
        <v>79.99</v>
      </c>
      <c r="G3481"/>
      <c r="H3481">
        <v>100</v>
      </c>
      <c r="I3481" t="inlineStr">
        <is>
          <t>牛仔裤</t>
        </is>
      </c>
      <c r="J3481" t="inlineStr">
        <is>
          <t>0.00</t>
        </is>
      </c>
      <c r="K3481"/>
      <c r="L3481" t="inlineStr">
        <is>
          <t>李空空的店</t>
        </is>
      </c>
      <c r="M3481">
        <v>103000</v>
      </c>
      <c r="N3481">
        <v>4.6</v>
      </c>
      <c r="O3481">
        <v>562000</v>
      </c>
      <c r="P3481" t="inlineStr">
        <is>
          <t>653bd8fc44c20200010a0f81</t>
        </is>
      </c>
      <c r="Q3481" t="inlineStr">
        <is>
          <t>🚫重复</t>
        </is>
      </c>
      <c r="R3481" t="inlineStr">
        <is>
          <t>14周</t>
        </is>
      </c>
      <c r="S3481" t="inlineStr">
        <is>
          <t>0.85</t>
        </is>
      </c>
      <c r="T3481" t="inlineStr">
        <is>
          <t>服饰穿搭</t>
        </is>
      </c>
      <c r="U3481" t="inlineStr">
        <is>
          <t>女装</t>
        </is>
      </c>
      <c r="V3481" s="3">
        <v>46112.78107638889</v>
      </c>
      <c r="W3481" t="inlineStr">
        <is>
          <t>2026-Q1</t>
        </is>
      </c>
    </row>
    <row r="3482" ht="25.5" customHeight="1">
      <c r="A3482" t="inlineStr">
        <is>
          <t>水泥灰牛仔裤女春季2026年新款直筒宽松高腰显瘦弹力窄版阔腿裤子</t>
        </is>
      </c>
      <c r="B3482" t="inlineStr">
        <is>
          <t>recvfqmLqZQ6R5.jpg</t>
        </is>
      </c>
      <c r="C3482" s="2" t="str">
        <f>=HYPERLINK("https://xhslink.com/m/8DQAJo5lM3x", "https://xhslink.com/m/8DQAJo5lM3x")</f>
        <v>https://xhslink.com/m/8DQAJo5lM3x</v>
      </c>
      <c r="D3482"/>
      <c r="E3482">
        <v>8776</v>
      </c>
      <c r="F3482">
        <v>99</v>
      </c>
      <c r="G3482">
        <v>79</v>
      </c>
      <c r="H3482">
        <v>100</v>
      </c>
      <c r="I3482" t="inlineStr">
        <is>
          <t>牛仔裤</t>
        </is>
      </c>
      <c r="J3482" t="inlineStr">
        <is>
          <t>0.01</t>
        </is>
      </c>
      <c r="K3482"/>
      <c r="L3482" t="inlineStr">
        <is>
          <t>饱饱的女装服饰店的店</t>
        </is>
      </c>
      <c r="M3482">
        <v>7657</v>
      </c>
      <c r="N3482">
        <v>4.69</v>
      </c>
      <c r="O3482">
        <v>148000</v>
      </c>
      <c r="P3482" t="inlineStr">
        <is>
          <t>66c9d3165c80460001da1a77</t>
        </is>
      </c>
      <c r="Q3482" t="inlineStr">
        <is>
          <t>🚫重复</t>
        </is>
      </c>
      <c r="R3482" t="inlineStr">
        <is>
          <t>14周</t>
        </is>
      </c>
      <c r="S3482" t="inlineStr">
        <is>
          <t>1.15</t>
        </is>
      </c>
      <c r="T3482" t="inlineStr">
        <is>
          <t>服饰穿搭</t>
        </is>
      </c>
      <c r="U3482" t="inlineStr">
        <is>
          <t>女装</t>
        </is>
      </c>
      <c r="V3482" s="3">
        <v>46112.78107638889</v>
      </c>
      <c r="W3482" t="inlineStr">
        <is>
          <t>2026-Q1</t>
        </is>
      </c>
    </row>
    <row r="3483" ht="25.5" customHeight="1">
      <c r="A3483" t="inlineStr">
        <is>
          <t>新款牛仔裤女2026春夏季高腰显瘦阔腿好看百搭垂感直筒卡其色裤子</t>
        </is>
      </c>
      <c r="B3483" t="inlineStr">
        <is>
          <t>recvfqmLqZEipE.jpg</t>
        </is>
      </c>
      <c r="C3483" s="2" t="str">
        <f>=HYPERLINK("https://xhslink.com/m/2DTlU8lPB3T", "https://xhslink.com/m/2DTlU8lPB3T")</f>
        <v>https://xhslink.com/m/2DTlU8lPB3T</v>
      </c>
      <c r="D3483"/>
      <c r="E3483">
        <v>5096</v>
      </c>
      <c r="F3483">
        <v>119.8</v>
      </c>
      <c r="G3483">
        <v>109.8</v>
      </c>
      <c r="H3483">
        <v>100</v>
      </c>
      <c r="I3483" t="inlineStr">
        <is>
          <t>牛仔裤</t>
        </is>
      </c>
      <c r="J3483" t="inlineStr">
        <is>
          <t>0.02</t>
        </is>
      </c>
      <c r="K3483"/>
      <c r="L3483" t="inlineStr">
        <is>
          <t>165的皮卡丘的店</t>
        </is>
      </c>
      <c r="M3483">
        <v>16000</v>
      </c>
      <c r="N3483">
        <v>4.61</v>
      </c>
      <c r="O3483">
        <v>108000</v>
      </c>
      <c r="P3483" t="inlineStr">
        <is>
          <t>673749aabf5b2400011a4bad</t>
        </is>
      </c>
      <c r="Q3483" t="inlineStr">
        <is>
          <t>🚫重复</t>
        </is>
      </c>
      <c r="R3483" t="inlineStr">
        <is>
          <t>14周</t>
        </is>
      </c>
      <c r="S3483" t="inlineStr">
        <is>
          <t>0.32</t>
        </is>
      </c>
      <c r="T3483" t="inlineStr">
        <is>
          <t>服饰穿搭</t>
        </is>
      </c>
      <c r="U3483" t="inlineStr">
        <is>
          <t>女装</t>
        </is>
      </c>
      <c r="V3483" s="3">
        <v>46112.78107638889</v>
      </c>
      <c r="W3483" t="inlineStr">
        <is>
          <t>2026-Q1</t>
        </is>
      </c>
    </row>
    <row r="3484" ht="25.5" customHeight="1">
      <c r="A3484" t="inlineStr">
        <is>
          <t>美式复古做旧浅蓝色牛仔裤女直筒裤宽松阔腿裤遮肉显瘦显腿直高腰</t>
        </is>
      </c>
      <c r="B3484" t="inlineStr">
        <is>
          <t>recvfqmLqZtXON.jpg</t>
        </is>
      </c>
      <c r="C3484" s="2" t="str">
        <f>=HYPERLINK("https://xhslink.com/m/Aq94jXrkfg1", "https://xhslink.com/m/Aq94jXrkfg1")</f>
        <v>https://xhslink.com/m/Aq94jXrkfg1</v>
      </c>
      <c r="D3484"/>
      <c r="E3484">
        <v>10000</v>
      </c>
      <c r="F3484">
        <v>129</v>
      </c>
      <c r="G3484">
        <v>89.9</v>
      </c>
      <c r="H3484">
        <v>100</v>
      </c>
      <c r="I3484" t="inlineStr">
        <is>
          <t>牛仔裤</t>
        </is>
      </c>
      <c r="J3484" t="inlineStr">
        <is>
          <t>0.01</t>
        </is>
      </c>
      <c r="K3484"/>
      <c r="L3484" t="inlineStr">
        <is>
          <t>SOOEPUT的店</t>
        </is>
      </c>
      <c r="M3484">
        <v>6448</v>
      </c>
      <c r="N3484">
        <v>4.63</v>
      </c>
      <c r="O3484">
        <v>54000</v>
      </c>
      <c r="P3484" t="inlineStr">
        <is>
          <t>67fb542bec1374000146601b</t>
        </is>
      </c>
      <c r="Q3484" t="inlineStr">
        <is>
          <t>🚫重复</t>
        </is>
      </c>
      <c r="R3484" t="inlineStr">
        <is>
          <t>14周</t>
        </is>
      </c>
      <c r="S3484" t="inlineStr">
        <is>
          <t>1.55</t>
        </is>
      </c>
      <c r="T3484" t="inlineStr">
        <is>
          <t>服饰穿搭</t>
        </is>
      </c>
      <c r="U3484" t="inlineStr">
        <is>
          <t>女装</t>
        </is>
      </c>
      <c r="V3484" s="3">
        <v>46112.78107638889</v>
      </c>
      <c r="W3484" t="inlineStr">
        <is>
          <t>2026-Q1</t>
        </is>
      </c>
    </row>
    <row r="3485" ht="25.5" customHeight="1">
      <c r="A3485" t="inlineStr">
        <is>
          <t>『蚂蚁腰神裤』V腰微喇裤/腰臀比yyds/百搭复古蓝牛仔裤</t>
        </is>
      </c>
      <c r="B3485" t="inlineStr">
        <is>
          <t>recvfqmLqZTT1E.jpg</t>
        </is>
      </c>
      <c r="C3485" s="2" t="str">
        <f>=HYPERLINK("https://xhslink.com/m/42DF15djtUA", "https://xhslink.com/m/42DF15djtUA")</f>
        <v>https://xhslink.com/m/42DF15djtUA</v>
      </c>
      <c r="D3485"/>
      <c r="E3485">
        <v>61000</v>
      </c>
      <c r="F3485">
        <v>258</v>
      </c>
      <c r="G3485">
        <v>208</v>
      </c>
      <c r="H3485">
        <v>100</v>
      </c>
      <c r="I3485" t="inlineStr">
        <is>
          <t>牛仔裤</t>
        </is>
      </c>
      <c r="J3485" t="inlineStr">
        <is>
          <t>0.00</t>
        </is>
      </c>
      <c r="K3485"/>
      <c r="L3485" t="inlineStr">
        <is>
          <t>158的微胖佳崽的店</t>
        </is>
      </c>
      <c r="M3485">
        <v>117000</v>
      </c>
      <c r="N3485">
        <v>4.44</v>
      </c>
      <c r="O3485">
        <v>267000</v>
      </c>
      <c r="P3485" t="inlineStr">
        <is>
          <t>65ca0a7935e5590001b7d660</t>
        </is>
      </c>
      <c r="Q3485" t="inlineStr">
        <is>
          <t>🚫重复</t>
        </is>
      </c>
      <c r="R3485" t="inlineStr">
        <is>
          <t>14周</t>
        </is>
      </c>
      <c r="S3485" t="inlineStr">
        <is>
          <t>0.52</t>
        </is>
      </c>
      <c r="T3485" t="inlineStr">
        <is>
          <t>服饰穿搭</t>
        </is>
      </c>
      <c r="U3485" t="inlineStr">
        <is>
          <t>女装</t>
        </is>
      </c>
      <c r="V3485" s="3">
        <v>46112.78107638889</v>
      </c>
      <c r="W3485" t="inlineStr">
        <is>
          <t>2026-Q1</t>
        </is>
      </c>
    </row>
    <row r="3486" ht="25.5" customHeight="1">
      <c r="A3486" t="inlineStr">
        <is>
          <t>轻奢 四面高弹小直筒微喇牛仔裤女</t>
        </is>
      </c>
      <c r="B3486" t="inlineStr">
        <is>
          <t>recvfqmLqZzoxt.jpg</t>
        </is>
      </c>
      <c r="C3486" s="2" t="str">
        <f>=HYPERLINK("https://xhslink.com/m/9ssCCbkou2Z", "https://xhslink.com/m/9ssCCbkou2Z")</f>
        <v>https://xhslink.com/m/9ssCCbkou2Z</v>
      </c>
      <c r="D3486"/>
      <c r="E3486">
        <v>10000</v>
      </c>
      <c r="F3486">
        <v>159</v>
      </c>
      <c r="G3486"/>
      <c r="H3486">
        <v>100</v>
      </c>
      <c r="I3486" t="inlineStr">
        <is>
          <t>牛仔裤</t>
        </is>
      </c>
      <c r="J3486" t="inlineStr">
        <is>
          <t>0.01</t>
        </is>
      </c>
      <c r="K3486"/>
      <c r="L3486" t="inlineStr">
        <is>
          <t>小红书范爷的店</t>
        </is>
      </c>
      <c r="M3486">
        <v>289000</v>
      </c>
      <c r="N3486">
        <v>4.56</v>
      </c>
      <c r="O3486">
        <v>3352000</v>
      </c>
      <c r="P3486" t="inlineStr">
        <is>
          <t>69858b4ad5afea00012f5970</t>
        </is>
      </c>
      <c r="Q3486" t="inlineStr">
        <is>
          <t>🚫重复</t>
        </is>
      </c>
      <c r="R3486" t="inlineStr">
        <is>
          <t>14周</t>
        </is>
      </c>
      <c r="S3486" t="inlineStr">
        <is>
          <t>0.03</t>
        </is>
      </c>
      <c r="T3486" t="inlineStr">
        <is>
          <t>服饰穿搭</t>
        </is>
      </c>
      <c r="U3486" t="inlineStr">
        <is>
          <t>女装</t>
        </is>
      </c>
      <c r="V3486" s="3">
        <v>46112.78107638889</v>
      </c>
      <c r="W3486" t="inlineStr">
        <is>
          <t>2026-Q1</t>
        </is>
      </c>
    </row>
    <row r="3487" ht="25.5" customHeight="1">
      <c r="A3487" t="inlineStr">
        <is>
          <t>【Vancci】万老板最爱牛仔裤！全面弹可拆卸胯垫黑色紧身微喇裤</t>
        </is>
      </c>
      <c r="B3487" t="inlineStr">
        <is>
          <t>recvfqmLqZcFK7.jpg</t>
        </is>
      </c>
      <c r="C3487" s="2" t="str">
        <f>=HYPERLINK("https://xhslink.com/m/Ab2HrEuSDkq", "https://xhslink.com/m/Ab2HrEuSDkq")</f>
        <v>https://xhslink.com/m/Ab2HrEuSDkq</v>
      </c>
      <c r="D3487"/>
      <c r="E3487">
        <v>17000</v>
      </c>
      <c r="F3487">
        <v>239</v>
      </c>
      <c r="G3487"/>
      <c r="H3487">
        <v>100</v>
      </c>
      <c r="I3487" t="inlineStr">
        <is>
          <t>牛仔裤</t>
        </is>
      </c>
      <c r="J3487" t="inlineStr">
        <is>
          <t>0.01</t>
        </is>
      </c>
      <c r="K3487"/>
      <c r="L3487" t="inlineStr">
        <is>
          <t>Vancci美衣的店</t>
        </is>
      </c>
      <c r="M3487">
        <v>71000</v>
      </c>
      <c r="N3487">
        <v>4.59</v>
      </c>
      <c r="O3487">
        <v>103000</v>
      </c>
      <c r="P3487" t="inlineStr">
        <is>
          <t>694a79ac1f22d2000119fb4d</t>
        </is>
      </c>
      <c r="Q3487" t="inlineStr">
        <is>
          <t>🚫重复</t>
        </is>
      </c>
      <c r="R3487" t="inlineStr">
        <is>
          <t>14周</t>
        </is>
      </c>
      <c r="S3487" t="inlineStr">
        <is>
          <t>0.24</t>
        </is>
      </c>
      <c r="T3487" t="inlineStr">
        <is>
          <t>服饰穿搭</t>
        </is>
      </c>
      <c r="U3487" t="inlineStr">
        <is>
          <t>女装</t>
        </is>
      </c>
      <c r="V3487" s="3">
        <v>46112.78107638889</v>
      </c>
      <c r="W3487" t="inlineStr">
        <is>
          <t>2026-Q1</t>
        </is>
      </c>
    </row>
    <row r="3488" ht="25.5" customHeight="1">
      <c r="A3488" t="inlineStr">
        <is>
          <t>【镇店神裤】蓝色梨形入春神裤修饰腿型遮胯窄版阔腿直筒牛仔裤女</t>
        </is>
      </c>
      <c r="B3488" t="inlineStr">
        <is>
          <t>recvfqmLqZ2ksG.jpg</t>
        </is>
      </c>
      <c r="C3488" s="2" t="str">
        <f>=HYPERLINK("https://xhslink.com/m/Ajb5siySVRm", "https://xhslink.com/m/Ajb5siySVRm")</f>
        <v>https://xhslink.com/m/Ajb5siySVRm</v>
      </c>
      <c r="D3488"/>
      <c r="E3488">
        <v>30000</v>
      </c>
      <c r="F3488">
        <v>199</v>
      </c>
      <c r="G3488">
        <v>179</v>
      </c>
      <c r="H3488">
        <v>100</v>
      </c>
      <c r="I3488" t="inlineStr">
        <is>
          <t>牛仔裤</t>
        </is>
      </c>
      <c r="J3488" t="inlineStr">
        <is>
          <t>0.00</t>
        </is>
      </c>
      <c r="K3488" t="inlineStr">
        <is>
          <t>🔥低粉爆款</t>
        </is>
      </c>
      <c r="L3488" t="inlineStr">
        <is>
          <t>BLACKKUKU高定牛仔的店</t>
        </is>
      </c>
      <c r="M3488">
        <v>4223</v>
      </c>
      <c r="N3488">
        <v>4.54</v>
      </c>
      <c r="O3488">
        <v>41000</v>
      </c>
      <c r="P3488" t="inlineStr">
        <is>
          <t>65dc510b64e46f000186081d</t>
        </is>
      </c>
      <c r="Q3488" t="inlineStr">
        <is>
          <t>🚫重复</t>
        </is>
      </c>
      <c r="R3488" t="inlineStr">
        <is>
          <t>14周</t>
        </is>
      </c>
      <c r="S3488" t="inlineStr">
        <is>
          <t>7.10</t>
        </is>
      </c>
      <c r="T3488" t="inlineStr">
        <is>
          <t>服饰穿搭</t>
        </is>
      </c>
      <c r="U3488" t="inlineStr">
        <is>
          <t>女装</t>
        </is>
      </c>
      <c r="V3488" s="3">
        <v>46112.78107638889</v>
      </c>
      <c r="W3488" t="inlineStr">
        <is>
          <t>2026-Q1</t>
        </is>
      </c>
    </row>
    <row r="3489" ht="25.5" customHeight="1">
      <c r="A3489" t="inlineStr">
        <is>
          <t>N点辣 绣花侧边2026春夏新款微喇宽松直筒显瘦喇叭弹力牛仔裤</t>
        </is>
      </c>
      <c r="B3489" t="inlineStr">
        <is>
          <t>recvfqmLqZjQrr.jpg</t>
        </is>
      </c>
      <c r="C3489" s="2" t="str">
        <f>=HYPERLINK("https://xhslink.com/m/6mXVEkYLu8d", "https://xhslink.com/m/6mXVEkYLu8d")</f>
        <v>https://xhslink.com/m/6mXVEkYLu8d</v>
      </c>
      <c r="D3489"/>
      <c r="E3489">
        <v>1159</v>
      </c>
      <c r="F3489">
        <v>129</v>
      </c>
      <c r="G3489">
        <v>88</v>
      </c>
      <c r="H3489">
        <v>100</v>
      </c>
      <c r="I3489" t="inlineStr">
        <is>
          <t>牛仔裤</t>
        </is>
      </c>
      <c r="J3489" t="inlineStr">
        <is>
          <t>0.09</t>
        </is>
      </c>
      <c r="K3489"/>
      <c r="L3489" t="inlineStr">
        <is>
          <t>N点辣的店</t>
        </is>
      </c>
      <c r="M3489">
        <v>14000</v>
      </c>
      <c r="N3489">
        <v>4.47</v>
      </c>
      <c r="O3489">
        <v>67000</v>
      </c>
      <c r="P3489" t="inlineStr">
        <is>
          <t>69286ff62cf0ca0001fa686b</t>
        </is>
      </c>
      <c r="Q3489" t="inlineStr">
        <is>
          <t>🚫重复</t>
        </is>
      </c>
      <c r="R3489" t="inlineStr">
        <is>
          <t>14周</t>
        </is>
      </c>
      <c r="S3489" t="inlineStr">
        <is>
          <t>0.08</t>
        </is>
      </c>
      <c r="T3489" t="inlineStr">
        <is>
          <t>服饰穿搭</t>
        </is>
      </c>
      <c r="U3489" t="inlineStr">
        <is>
          <t>女装</t>
        </is>
      </c>
      <c r="V3489" s="3">
        <v>46112.78107638889</v>
      </c>
      <c r="W3489" t="inlineStr">
        <is>
          <t>2026-Q1</t>
        </is>
      </c>
    </row>
    <row r="3490" ht="25.5" customHeight="1">
      <c r="A3490" t="inlineStr">
        <is>
          <t>现货小奶芙【中跟】落寻森原创lolita鞋圆头可爱lo鞋学生洛丽塔鞋</t>
        </is>
      </c>
      <c r="B3490" t="inlineStr">
        <is>
          <t>recvfqmLqZh5f1.jpg</t>
        </is>
      </c>
      <c r="C3490" s="2" t="str">
        <f>=HYPERLINK("https://xhslink.com/m/Q4XG3HIqvO", "https://xhslink.com/m/Q4XG3HIqvO")</f>
        <v>https://xhslink.com/m/Q4XG3HIqvO</v>
      </c>
      <c r="D3490"/>
      <c r="E3490">
        <v>11000</v>
      </c>
      <c r="F3490">
        <v>68</v>
      </c>
      <c r="G3490">
        <v>58</v>
      </c>
      <c r="H3490">
        <v>100</v>
      </c>
      <c r="I3490" t="inlineStr">
        <is>
          <t>单鞋</t>
        </is>
      </c>
      <c r="J3490" t="inlineStr">
        <is>
          <t>0.01</t>
        </is>
      </c>
      <c r="K3490"/>
      <c r="L3490" t="inlineStr">
        <is>
          <t>落寻森lolita的店</t>
        </is>
      </c>
      <c r="M3490">
        <v>20000</v>
      </c>
      <c r="N3490">
        <v>4.4</v>
      </c>
      <c r="O3490">
        <v>33000</v>
      </c>
      <c r="P3490" t="inlineStr">
        <is>
          <t>67f35918b2c30c0001a4c096</t>
        </is>
      </c>
      <c r="Q3490" t="inlineStr">
        <is>
          <t>🚫重复</t>
        </is>
      </c>
      <c r="R3490" t="inlineStr">
        <is>
          <t>14周</t>
        </is>
      </c>
      <c r="S3490" t="inlineStr">
        <is>
          <t>0.55</t>
        </is>
      </c>
      <c r="T3490" t="inlineStr">
        <is>
          <t>服饰穿搭</t>
        </is>
      </c>
      <c r="U3490" t="inlineStr">
        <is>
          <t>鞋靴箱包</t>
        </is>
      </c>
      <c r="V3490" s="3">
        <v>46112.78107638889</v>
      </c>
      <c r="W3490" t="inlineStr">
        <is>
          <t>2026-Q1</t>
        </is>
      </c>
    </row>
    <row r="3491" ht="25.5" customHeight="1">
      <c r="A3491" t="inlineStr">
        <is>
          <t>Re拾梦  手工鞋芭蕾鞋超软真皮单鞋平底鞋</t>
        </is>
      </c>
      <c r="B3491" t="inlineStr">
        <is>
          <t>recvfqmLqZeRF2.jpg</t>
        </is>
      </c>
      <c r="C3491" s="2" t="str">
        <f>=HYPERLINK("https://xhslink.com/m/1oBSQsBIHPz", "https://xhslink.com/m/1oBSQsBIHPz")</f>
        <v>https://xhslink.com/m/1oBSQsBIHPz</v>
      </c>
      <c r="D3491"/>
      <c r="E3491">
        <v>8527</v>
      </c>
      <c r="F3491">
        <v>298</v>
      </c>
      <c r="G3491"/>
      <c r="H3491">
        <v>100</v>
      </c>
      <c r="I3491" t="inlineStr">
        <is>
          <t>单鞋</t>
        </is>
      </c>
      <c r="J3491" t="inlineStr">
        <is>
          <t>0.01</t>
        </is>
      </c>
      <c r="K3491"/>
      <c r="L3491" t="inlineStr">
        <is>
          <t>Re拾梦的店</t>
        </is>
      </c>
      <c r="M3491">
        <v>5214</v>
      </c>
      <c r="N3491">
        <v>4.35</v>
      </c>
      <c r="O3491">
        <v>8968</v>
      </c>
      <c r="P3491" t="inlineStr">
        <is>
          <t>69a503d79507090001dff9d5</t>
        </is>
      </c>
      <c r="Q3491" t="inlineStr">
        <is>
          <t>🚫重复</t>
        </is>
      </c>
      <c r="R3491" t="inlineStr">
        <is>
          <t>14周</t>
        </is>
      </c>
      <c r="S3491" t="inlineStr">
        <is>
          <t>1.64</t>
        </is>
      </c>
      <c r="T3491" t="inlineStr">
        <is>
          <t>服饰穿搭</t>
        </is>
      </c>
      <c r="U3491" t="inlineStr">
        <is>
          <t>鞋靴箱包</t>
        </is>
      </c>
      <c r="V3491" s="3">
        <v>46112.78107638889</v>
      </c>
      <c r="W3491" t="inlineStr">
        <is>
          <t>2026-Q1</t>
        </is>
      </c>
    </row>
    <row r="3492" ht="25.5" customHeight="1">
      <c r="A3492" t="inlineStr">
        <is>
          <t>叁時【芭蕾机能鞋】韩版小众真皮厚底增高单鞋魔术贴学院风玛丽珍</t>
        </is>
      </c>
      <c r="B3492" t="inlineStr">
        <is>
          <t>recvfqmLqZDXFu.jpg</t>
        </is>
      </c>
      <c r="C3492" s="2" t="str">
        <f>=HYPERLINK("https://xhslink.com/m/AHVKt7VunHO", "https://xhslink.com/m/AHVKt7VunHO")</f>
        <v>https://xhslink.com/m/AHVKt7VunHO</v>
      </c>
      <c r="D3492"/>
      <c r="E3492">
        <v>8891</v>
      </c>
      <c r="F3492">
        <v>308</v>
      </c>
      <c r="G3492"/>
      <c r="H3492">
        <v>100</v>
      </c>
      <c r="I3492" t="inlineStr">
        <is>
          <t>单鞋</t>
        </is>
      </c>
      <c r="J3492" t="inlineStr">
        <is>
          <t>0.01</t>
        </is>
      </c>
      <c r="K3492"/>
      <c r="L3492" t="inlineStr">
        <is>
          <t>3rd.time叁時的店</t>
        </is>
      </c>
      <c r="M3492">
        <v>65000</v>
      </c>
      <c r="N3492">
        <v>4.67</v>
      </c>
      <c r="O3492">
        <v>99000</v>
      </c>
      <c r="P3492" t="inlineStr">
        <is>
          <t>684298b593d07800017c2d2c</t>
        </is>
      </c>
      <c r="Q3492" t="inlineStr">
        <is>
          <t>🚫重复</t>
        </is>
      </c>
      <c r="R3492" t="inlineStr">
        <is>
          <t>14周</t>
        </is>
      </c>
      <c r="S3492" t="inlineStr">
        <is>
          <t>0.14</t>
        </is>
      </c>
      <c r="T3492" t="inlineStr">
        <is>
          <t>服饰穿搭</t>
        </is>
      </c>
      <c r="U3492" t="inlineStr">
        <is>
          <t>鞋靴箱包</t>
        </is>
      </c>
      <c r="V3492" s="3">
        <v>46112.78107638889</v>
      </c>
      <c r="W3492" t="inlineStr">
        <is>
          <t>2026-Q1</t>
        </is>
      </c>
    </row>
    <row r="3493" ht="25.5" customHeight="1">
      <c r="A3493" t="inlineStr">
        <is>
          <t>敦绿岛｜至简｜简约法式高跟鞋粗跟一字带玛丽珍单鞋冷淡极简原创</t>
        </is>
      </c>
      <c r="B3493" t="inlineStr">
        <is>
          <t>recvfqmLqZtUNP.jpg</t>
        </is>
      </c>
      <c r="C3493" s="2" t="str">
        <f>=HYPERLINK("https://xhslink.com/m/4hHEQdtW0IY", "https://xhslink.com/m/4hHEQdtW0IY")</f>
        <v>https://xhslink.com/m/4hHEQdtW0IY</v>
      </c>
      <c r="D3493"/>
      <c r="E3493">
        <v>19000</v>
      </c>
      <c r="F3493">
        <v>338</v>
      </c>
      <c r="G3493">
        <v>287.3</v>
      </c>
      <c r="H3493">
        <v>100</v>
      </c>
      <c r="I3493" t="inlineStr">
        <is>
          <t>单鞋</t>
        </is>
      </c>
      <c r="J3493" t="inlineStr">
        <is>
          <t>0.01</t>
        </is>
      </c>
      <c r="K3493"/>
      <c r="L3493" t="inlineStr">
        <is>
          <t>敦绿岛的店</t>
        </is>
      </c>
      <c r="M3493">
        <v>156000</v>
      </c>
      <c r="N3493">
        <v>4.56</v>
      </c>
      <c r="O3493">
        <v>222000</v>
      </c>
      <c r="P3493" t="inlineStr">
        <is>
          <t>656ab16e6bfd6000016d9407</t>
        </is>
      </c>
      <c r="Q3493"/>
      <c r="R3493" t="inlineStr">
        <is>
          <t>14周</t>
        </is>
      </c>
      <c r="S3493" t="inlineStr">
        <is>
          <t>0.12</t>
        </is>
      </c>
      <c r="T3493" t="inlineStr">
        <is>
          <t>服饰穿搭</t>
        </is>
      </c>
      <c r="U3493" t="inlineStr">
        <is>
          <t>鞋靴箱包</t>
        </is>
      </c>
      <c r="V3493" s="3">
        <v>46112.78107638889</v>
      </c>
      <c r="W3493" t="inlineStr">
        <is>
          <t>2026-Q1</t>
        </is>
      </c>
    </row>
    <row r="3494" ht="25.5" customHeight="1">
      <c r="A3494" t="inlineStr">
        <is>
          <t>【制服鞋】落寻森原创lolita鞋高校生日系jk制服鞋学生百搭</t>
        </is>
      </c>
      <c r="B3494" t="inlineStr">
        <is>
          <t>recvfqmLqZnrbS.jpg</t>
        </is>
      </c>
      <c r="C3494" s="2" t="str">
        <f>=HYPERLINK("https://xhslink.com/m/b1p8wm8TJr", "https://xhslink.com/m/b1p8wm8TJr")</f>
        <v>https://xhslink.com/m/b1p8wm8TJr</v>
      </c>
      <c r="D3494"/>
      <c r="E3494">
        <v>15000</v>
      </c>
      <c r="F3494">
        <v>49</v>
      </c>
      <c r="G3494"/>
      <c r="H3494">
        <v>100</v>
      </c>
      <c r="I3494" t="inlineStr">
        <is>
          <t>单鞋</t>
        </is>
      </c>
      <c r="J3494" t="inlineStr">
        <is>
          <t>0.01</t>
        </is>
      </c>
      <c r="K3494"/>
      <c r="L3494" t="inlineStr">
        <is>
          <t>落寻森lolita的店</t>
        </is>
      </c>
      <c r="M3494">
        <v>20000</v>
      </c>
      <c r="N3494">
        <v>4.4</v>
      </c>
      <c r="O3494">
        <v>33000</v>
      </c>
      <c r="P3494" t="inlineStr">
        <is>
          <t>67bfbf30cb5e420001466b2e</t>
        </is>
      </c>
      <c r="Q3494" t="inlineStr">
        <is>
          <t>🚫重复</t>
        </is>
      </c>
      <c r="R3494" t="inlineStr">
        <is>
          <t>14周</t>
        </is>
      </c>
      <c r="S3494" t="inlineStr">
        <is>
          <t>0.75</t>
        </is>
      </c>
      <c r="T3494" t="inlineStr">
        <is>
          <t>服饰穿搭</t>
        </is>
      </c>
      <c r="U3494" t="inlineStr">
        <is>
          <t>鞋靴箱包</t>
        </is>
      </c>
      <c r="V3494" s="3">
        <v>46112.78107638889</v>
      </c>
      <c r="W3494" t="inlineStr">
        <is>
          <t>2026-Q1</t>
        </is>
      </c>
    </row>
    <row r="3495" ht="25.5" customHeight="1">
      <c r="A3495" t="inlineStr">
        <is>
          <t>小羊皮超软2026春季新款粗跟真皮单鞋方头红色浅口玛丽珍低跟女鞋</t>
        </is>
      </c>
      <c r="B3495" t="inlineStr">
        <is>
          <t>recvfqmLqZnsB1.jpg</t>
        </is>
      </c>
      <c r="C3495" s="2" t="str">
        <f>=HYPERLINK("https://xhslink.com/m/3OxJBoIKIvB", "https://xhslink.com/m/3OxJBoIKIvB")</f>
        <v>https://xhslink.com/m/3OxJBoIKIvB</v>
      </c>
      <c r="D3495"/>
      <c r="E3495">
        <v>15000</v>
      </c>
      <c r="F3495">
        <v>129.99</v>
      </c>
      <c r="G3495">
        <v>79.39</v>
      </c>
      <c r="H3495">
        <v>100</v>
      </c>
      <c r="I3495" t="inlineStr">
        <is>
          <t>单鞋</t>
        </is>
      </c>
      <c r="J3495" t="inlineStr">
        <is>
          <t>0.01</t>
        </is>
      </c>
      <c r="K3495"/>
      <c r="L3495" t="inlineStr">
        <is>
          <t>小红薯严选女鞋的店</t>
        </is>
      </c>
      <c r="M3495">
        <v>18000</v>
      </c>
      <c r="N3495">
        <v>4.56</v>
      </c>
      <c r="O3495">
        <v>29000</v>
      </c>
      <c r="P3495" t="inlineStr">
        <is>
          <t>66142e31df3ddc00012cda14</t>
        </is>
      </c>
      <c r="Q3495"/>
      <c r="R3495" t="inlineStr">
        <is>
          <t>14周</t>
        </is>
      </c>
      <c r="S3495" t="inlineStr">
        <is>
          <t>0.83</t>
        </is>
      </c>
      <c r="T3495" t="inlineStr">
        <is>
          <t>服饰穿搭</t>
        </is>
      </c>
      <c r="U3495" t="inlineStr">
        <is>
          <t>鞋靴箱包</t>
        </is>
      </c>
      <c r="V3495" s="3">
        <v>46112.78107638889</v>
      </c>
      <c r="W3495" t="inlineStr">
        <is>
          <t>2026-Q1</t>
        </is>
      </c>
    </row>
    <row r="3496" ht="25.5" customHeight="1">
      <c r="A3496" t="inlineStr">
        <is>
          <t>言二丁 · 斜刘海芭蕾舞鞋｜原创定染一脚蹬通勤芭蕾舞鞋 百搭玛丽珍</t>
        </is>
      </c>
      <c r="B3496" t="inlineStr">
        <is>
          <t>recvfqmLqZi2Ys.jpg</t>
        </is>
      </c>
      <c r="C3496" s="2" t="str">
        <f>=HYPERLINK("https://xhslink.com/m/ANv9gi5NDYS", "https://xhslink.com/m/ANv9gi5NDYS")</f>
        <v>https://xhslink.com/m/ANv9gi5NDYS</v>
      </c>
      <c r="D3496"/>
      <c r="E3496">
        <v>16000</v>
      </c>
      <c r="F3496">
        <v>358</v>
      </c>
      <c r="G3496">
        <v>305.04</v>
      </c>
      <c r="H3496">
        <v>100</v>
      </c>
      <c r="I3496" t="inlineStr">
        <is>
          <t>单鞋</t>
        </is>
      </c>
      <c r="J3496" t="inlineStr">
        <is>
          <t>0.01</t>
        </is>
      </c>
      <c r="K3496"/>
      <c r="L3496" t="inlineStr">
        <is>
          <t>言二丁的店</t>
        </is>
      </c>
      <c r="M3496">
        <v>174000</v>
      </c>
      <c r="N3496">
        <v>4.66</v>
      </c>
      <c r="O3496">
        <v>209000</v>
      </c>
      <c r="P3496" t="inlineStr">
        <is>
          <t>66486c3650a08c0001a6c2a7</t>
        </is>
      </c>
      <c r="Q3496"/>
      <c r="R3496" t="inlineStr">
        <is>
          <t>14周</t>
        </is>
      </c>
      <c r="S3496" t="inlineStr">
        <is>
          <t>0.09</t>
        </is>
      </c>
      <c r="T3496" t="inlineStr">
        <is>
          <t>服饰穿搭</t>
        </is>
      </c>
      <c r="U3496" t="inlineStr">
        <is>
          <t>鞋靴箱包</t>
        </is>
      </c>
      <c r="V3496" s="3">
        <v>46112.78107638889</v>
      </c>
      <c r="W3496" t="inlineStr">
        <is>
          <t>2026-Q1</t>
        </is>
      </c>
    </row>
    <row r="3497" ht="25.5" customHeight="1">
      <c r="A3497" t="inlineStr">
        <is>
          <t>阿芮叱·超气质法式方扣中空单鞋女平底鞋</t>
        </is>
      </c>
      <c r="B3497" t="inlineStr">
        <is>
          <t>recvfqmLqZBv2h.jpg</t>
        </is>
      </c>
      <c r="C3497" s="2" t="str">
        <f>=HYPERLINK("https://xhslink.com/m/7uAP9JXFfxX", "https://xhslink.com/m/7uAP9JXFfxX")</f>
        <v>https://xhslink.com/m/7uAP9JXFfxX</v>
      </c>
      <c r="D3497"/>
      <c r="E3497">
        <v>15000</v>
      </c>
      <c r="F3497">
        <v>200</v>
      </c>
      <c r="G3497">
        <v>149.9</v>
      </c>
      <c r="H3497">
        <v>100</v>
      </c>
      <c r="I3497" t="inlineStr">
        <is>
          <t>单鞋</t>
        </is>
      </c>
      <c r="J3497" t="inlineStr">
        <is>
          <t>0.01</t>
        </is>
      </c>
      <c r="K3497"/>
      <c r="L3497" t="inlineStr">
        <is>
          <t>阿芮叱的店</t>
        </is>
      </c>
      <c r="M3497">
        <v>35000</v>
      </c>
      <c r="N3497">
        <v>4.68</v>
      </c>
      <c r="O3497">
        <v>162000</v>
      </c>
      <c r="P3497" t="inlineStr">
        <is>
          <t>667178417d94b20001ff31bb</t>
        </is>
      </c>
      <c r="Q3497" t="inlineStr">
        <is>
          <t>🚫重复</t>
        </is>
      </c>
      <c r="R3497" t="inlineStr">
        <is>
          <t>14周</t>
        </is>
      </c>
      <c r="S3497" t="inlineStr">
        <is>
          <t>0.43</t>
        </is>
      </c>
      <c r="T3497" t="inlineStr">
        <is>
          <t>服饰穿搭</t>
        </is>
      </c>
      <c r="U3497" t="inlineStr">
        <is>
          <t>鞋靴箱包</t>
        </is>
      </c>
      <c r="V3497" s="3">
        <v>46112.78107638889</v>
      </c>
      <c r="W3497" t="inlineStr">
        <is>
          <t>2026-Q1</t>
        </is>
      </c>
    </row>
    <row r="3498" ht="25.5" customHeight="1">
      <c r="A3498" t="inlineStr">
        <is>
          <t>新法式芭蕾鞋蝴蝶结平底一脚蹬单鞋奶奶鞋糖果瓢鞋豆豆鞋婚鞋女鞋</t>
        </is>
      </c>
      <c r="B3498" t="inlineStr">
        <is>
          <t>recvfqmLqZ2aW1.jpg</t>
        </is>
      </c>
      <c r="C3498" s="2" t="str">
        <f>=HYPERLINK("https://xhslink.com/m/6xj6lT3P6Mf", "https://xhslink.com/m/6xj6lT3P6Mf")</f>
        <v>https://xhslink.com/m/6xj6lT3P6Mf</v>
      </c>
      <c r="D3498"/>
      <c r="E3498">
        <v>2140</v>
      </c>
      <c r="F3498">
        <v>59.9</v>
      </c>
      <c r="G3498"/>
      <c r="H3498">
        <v>100</v>
      </c>
      <c r="I3498" t="inlineStr">
        <is>
          <t>单鞋</t>
        </is>
      </c>
      <c r="J3498" t="inlineStr">
        <is>
          <t>0.05</t>
        </is>
      </c>
      <c r="K3498"/>
      <c r="L3498" t="inlineStr">
        <is>
          <t>小狗不哭的店</t>
        </is>
      </c>
      <c r="M3498">
        <v>2426</v>
      </c>
      <c r="N3498">
        <v>4.47</v>
      </c>
      <c r="O3498">
        <v>16000</v>
      </c>
      <c r="P3498" t="inlineStr">
        <is>
          <t>67bad895f2389c00018bf7ad</t>
        </is>
      </c>
      <c r="Q3498" t="inlineStr">
        <is>
          <t>🚫重复</t>
        </is>
      </c>
      <c r="R3498" t="inlineStr">
        <is>
          <t>14周</t>
        </is>
      </c>
      <c r="S3498" t="inlineStr">
        <is>
          <t>0.88</t>
        </is>
      </c>
      <c r="T3498" t="inlineStr">
        <is>
          <t>服饰穿搭</t>
        </is>
      </c>
      <c r="U3498" t="inlineStr">
        <is>
          <t>鞋靴箱包</t>
        </is>
      </c>
      <c r="V3498" s="3">
        <v>46112.78107638889</v>
      </c>
      <c r="W3498" t="inlineStr">
        <is>
          <t>2026-Q1</t>
        </is>
      </c>
    </row>
    <row r="3499" ht="25.5" customHeight="1">
      <c r="A3499" t="inlineStr">
        <is>
          <t>臣棠手工·【跟高4cm】通勤德训极简厚底系带拼接运动休闲单鞋女</t>
        </is>
      </c>
      <c r="B3499" t="inlineStr">
        <is>
          <t>recvfqmLqZbOeT.jpg</t>
        </is>
      </c>
      <c r="C3499" s="2" t="str">
        <f>=HYPERLINK("https://xhslink.com/m/3gKIyDfaIxc", "https://xhslink.com/m/3gKIyDfaIxc")</f>
        <v>https://xhslink.com/m/3gKIyDfaIxc</v>
      </c>
      <c r="D3499"/>
      <c r="E3499">
        <v>7492</v>
      </c>
      <c r="F3499">
        <v>158</v>
      </c>
      <c r="G3499">
        <v>78</v>
      </c>
      <c r="H3499">
        <v>100</v>
      </c>
      <c r="I3499" t="inlineStr">
        <is>
          <t>单鞋</t>
        </is>
      </c>
      <c r="J3499" t="inlineStr">
        <is>
          <t>0.01</t>
        </is>
      </c>
      <c r="K3499"/>
      <c r="L3499" t="inlineStr">
        <is>
          <t>臣棠手工鞋的店</t>
        </is>
      </c>
      <c r="M3499">
        <v>5690</v>
      </c>
      <c r="N3499">
        <v>4.33</v>
      </c>
      <c r="O3499">
        <v>55000</v>
      </c>
      <c r="P3499" t="inlineStr">
        <is>
          <t>68f0f8c7ed3b2f000165fe95</t>
        </is>
      </c>
      <c r="Q3499" t="inlineStr">
        <is>
          <t>🚫重复</t>
        </is>
      </c>
      <c r="R3499" t="inlineStr">
        <is>
          <t>14周</t>
        </is>
      </c>
      <c r="S3499" t="inlineStr">
        <is>
          <t>1.32</t>
        </is>
      </c>
      <c r="T3499" t="inlineStr">
        <is>
          <t>服饰穿搭</t>
        </is>
      </c>
      <c r="U3499" t="inlineStr">
        <is>
          <t>鞋靴箱包</t>
        </is>
      </c>
      <c r="V3499" s="3">
        <v>46112.78107638889</v>
      </c>
      <c r="W3499" t="inlineStr">
        <is>
          <t>2026-Q1</t>
        </is>
      </c>
    </row>
    <row r="3500" ht="25.5" customHeight="1">
      <c r="A3500" t="inlineStr">
        <is>
          <t>法式银色玛丽珍单鞋女2026春季新款百搭浅口配裙子小皮鞋女平底鞋</t>
        </is>
      </c>
      <c r="B3500" t="inlineStr">
        <is>
          <t>recvfqmLqZfzYA.jpg</t>
        </is>
      </c>
      <c r="C3500" s="2" t="str">
        <f>=HYPERLINK("https://xhslink.com/m/7a5CUi9ggZ8", "https://xhslink.com/m/7a5CUi9ggZ8")</f>
        <v>https://xhslink.com/m/7a5CUi9ggZ8</v>
      </c>
      <c r="D3500"/>
      <c r="E3500">
        <v>4537</v>
      </c>
      <c r="F3500">
        <v>58.8</v>
      </c>
      <c r="G3500"/>
      <c r="H3500">
        <v>100</v>
      </c>
      <c r="I3500" t="inlineStr">
        <is>
          <t>单鞋</t>
        </is>
      </c>
      <c r="J3500" t="inlineStr">
        <is>
          <t>0.02</t>
        </is>
      </c>
      <c r="K3500"/>
      <c r="L3500" t="inlineStr">
        <is>
          <t>肥麦麦的店</t>
        </is>
      </c>
      <c r="M3500">
        <v>18000</v>
      </c>
      <c r="N3500">
        <v>4.6</v>
      </c>
      <c r="O3500">
        <v>312000</v>
      </c>
      <c r="P3500" t="inlineStr">
        <is>
          <t>6832e2350bed5600011ee229</t>
        </is>
      </c>
      <c r="Q3500" t="inlineStr">
        <is>
          <t>🚫重复</t>
        </is>
      </c>
      <c r="R3500" t="inlineStr">
        <is>
          <t>14周</t>
        </is>
      </c>
      <c r="S3500" t="inlineStr">
        <is>
          <t>0.25</t>
        </is>
      </c>
      <c r="T3500" t="inlineStr">
        <is>
          <t>服饰穿搭</t>
        </is>
      </c>
      <c r="U3500" t="inlineStr">
        <is>
          <t>鞋靴箱包</t>
        </is>
      </c>
      <c r="V3500" s="3">
        <v>46112.78107638889</v>
      </c>
      <c r="W3500" t="inlineStr">
        <is>
          <t>2026-Q1</t>
        </is>
      </c>
    </row>
    <row r="3501" ht="25.5" customHeight="1">
      <c r="A3501" t="inlineStr">
        <is>
          <t>圆圆呀aaa__｛现货48小时内发｝平底款绸缎水钻气质通勤单鞋</t>
        </is>
      </c>
      <c r="B3501" t="inlineStr">
        <is>
          <t>recvfqmLqZLg03.jpg</t>
        </is>
      </c>
      <c r="C3501" s="2" t="str">
        <f>=HYPERLINK("https://xhslink.com/m/At7ljRdpF5i", "https://xhslink.com/m/At7ljRdpF5i")</f>
        <v>https://xhslink.com/m/At7ljRdpF5i</v>
      </c>
      <c r="D3501"/>
      <c r="E3501">
        <v>8504</v>
      </c>
      <c r="F3501">
        <v>174</v>
      </c>
      <c r="G3501">
        <v>137</v>
      </c>
      <c r="H3501">
        <v>100</v>
      </c>
      <c r="I3501" t="inlineStr">
        <is>
          <t>单鞋</t>
        </is>
      </c>
      <c r="J3501" t="inlineStr">
        <is>
          <t>0.01</t>
        </is>
      </c>
      <c r="K3501"/>
      <c r="L3501" t="inlineStr">
        <is>
          <t>圆圆呀aaa__的店</t>
        </is>
      </c>
      <c r="M3501">
        <v>12000</v>
      </c>
      <c r="N3501">
        <v>4.6</v>
      </c>
      <c r="O3501">
        <v>52000</v>
      </c>
      <c r="P3501" t="inlineStr">
        <is>
          <t>693e806d691100000193e085</t>
        </is>
      </c>
      <c r="Q3501" t="inlineStr">
        <is>
          <t>🚫重复</t>
        </is>
      </c>
      <c r="R3501" t="inlineStr">
        <is>
          <t>14周</t>
        </is>
      </c>
      <c r="S3501" t="inlineStr">
        <is>
          <t>0.71</t>
        </is>
      </c>
      <c r="T3501" t="inlineStr">
        <is>
          <t>服饰穿搭</t>
        </is>
      </c>
      <c r="U3501" t="inlineStr">
        <is>
          <t>鞋靴箱包</t>
        </is>
      </c>
      <c r="V3501" s="3">
        <v>46112.78107638889</v>
      </c>
      <c r="W3501" t="inlineStr">
        <is>
          <t>2026-Q1</t>
        </is>
      </c>
    </row>
    <row r="3502" ht="25.5" customHeight="1">
      <c r="A3502" t="inlineStr">
        <is>
          <t>软底一脚蹬单鞋女简约百搭奶奶鞋女春秋新款浅口瓢鞋女鞋子夏季女</t>
        </is>
      </c>
      <c r="B3502" t="inlineStr">
        <is>
          <t>recvfqmLqZc0TR.jpg</t>
        </is>
      </c>
      <c r="C3502" s="2" t="str">
        <f>=HYPERLINK("https://xhslink.com/m/4wB24ytPbyd", "https://xhslink.com/m/4wB24ytPbyd")</f>
        <v>https://xhslink.com/m/4wB24ytPbyd</v>
      </c>
      <c r="D3502"/>
      <c r="E3502">
        <v>2805</v>
      </c>
      <c r="F3502">
        <v>89.8</v>
      </c>
      <c r="G3502">
        <v>69.8</v>
      </c>
      <c r="H3502">
        <v>100</v>
      </c>
      <c r="I3502" t="inlineStr">
        <is>
          <t>单鞋</t>
        </is>
      </c>
      <c r="J3502" t="inlineStr">
        <is>
          <t>0.04</t>
        </is>
      </c>
      <c r="K3502"/>
      <c r="L3502" t="inlineStr">
        <is>
          <t>没头脑的丸玖的店</t>
        </is>
      </c>
      <c r="M3502">
        <v>5212</v>
      </c>
      <c r="N3502">
        <v>4.57</v>
      </c>
      <c r="O3502">
        <v>79000</v>
      </c>
      <c r="P3502" t="inlineStr">
        <is>
          <t>67bc24d7f2b3fa0015a2822f</t>
        </is>
      </c>
      <c r="Q3502"/>
      <c r="R3502" t="inlineStr">
        <is>
          <t>14周</t>
        </is>
      </c>
      <c r="S3502" t="inlineStr">
        <is>
          <t>0.54</t>
        </is>
      </c>
      <c r="T3502" t="inlineStr">
        <is>
          <t>服饰穿搭</t>
        </is>
      </c>
      <c r="U3502" t="inlineStr">
        <is>
          <t>鞋靴箱包</t>
        </is>
      </c>
      <c r="V3502" s="3">
        <v>46112.78107638889</v>
      </c>
      <c r="W3502" t="inlineStr">
        <is>
          <t>2026-Q1</t>
        </is>
      </c>
    </row>
    <row r="3503" ht="25.5" customHeight="1">
      <c r="A3503" t="inlineStr">
        <is>
          <t>「优雅的派系」紫标高端线 A级/丝光全真皮 牛反绒平底芭蕾鞋</t>
        </is>
      </c>
      <c r="B3503" t="inlineStr">
        <is>
          <t>recvfqmLqZhL6v.jpg</t>
        </is>
      </c>
      <c r="C3503" s="2" t="str">
        <f>=HYPERLINK("https://xhslink.com/m/Ah2rFfXqrjA", "https://xhslink.com/m/Ah2rFfXqrjA")</f>
        <v>https://xhslink.com/m/Ah2rFfXqrjA</v>
      </c>
      <c r="D3503"/>
      <c r="E3503">
        <v>3694</v>
      </c>
      <c r="F3503">
        <v>258</v>
      </c>
      <c r="G3503">
        <v>218</v>
      </c>
      <c r="H3503">
        <v>100</v>
      </c>
      <c r="I3503" t="inlineStr">
        <is>
          <t>单鞋</t>
        </is>
      </c>
      <c r="J3503" t="inlineStr">
        <is>
          <t>0.03</t>
        </is>
      </c>
      <c r="K3503"/>
      <c r="L3503" t="inlineStr">
        <is>
          <t>猫猫大姐姐的店</t>
        </is>
      </c>
      <c r="M3503">
        <v>21000</v>
      </c>
      <c r="N3503">
        <v>4.59</v>
      </c>
      <c r="O3503">
        <v>61000</v>
      </c>
      <c r="P3503" t="inlineStr">
        <is>
          <t>696a5bf8bfa6dc0001a05685</t>
        </is>
      </c>
      <c r="Q3503" t="inlineStr">
        <is>
          <t>🚫重复</t>
        </is>
      </c>
      <c r="R3503" t="inlineStr">
        <is>
          <t>14周</t>
        </is>
      </c>
      <c r="S3503" t="inlineStr">
        <is>
          <t>0.18</t>
        </is>
      </c>
      <c r="T3503" t="inlineStr">
        <is>
          <t>服饰穿搭</t>
        </is>
      </c>
      <c r="U3503" t="inlineStr">
        <is>
          <t>鞋靴箱包</t>
        </is>
      </c>
      <c r="V3503" s="3">
        <v>46112.78107638889</v>
      </c>
      <c r="W3503" t="inlineStr">
        <is>
          <t>2026-Q1</t>
        </is>
      </c>
    </row>
    <row r="3504" ht="25.5" customHeight="1">
      <c r="A3504" t="inlineStr">
        <is>
          <t>may3socks普拉提女孩的分趾船袜 五趾防滑耐磨专业瑜伽船袜(17）</t>
        </is>
      </c>
      <c r="B3504" t="inlineStr">
        <is>
          <t>recvfqmLqZdXnz.jpg</t>
        </is>
      </c>
      <c r="C3504" s="2" t="str">
        <f>=HYPERLINK("https://xhslink.com/m/7JQJ8BWjDOK", "https://xhslink.com/m/7JQJ8BWjDOK")</f>
        <v>https://xhslink.com/m/7JQJ8BWjDOK</v>
      </c>
      <c r="D3504"/>
      <c r="E3504">
        <v>9497</v>
      </c>
      <c r="F3504">
        <v>17.8</v>
      </c>
      <c r="G3504">
        <v>14.66</v>
      </c>
      <c r="H3504">
        <v>100</v>
      </c>
      <c r="I3504" t="inlineStr">
        <is>
          <t>船袜</t>
        </is>
      </c>
      <c r="J3504" t="inlineStr">
        <is>
          <t>0.01</t>
        </is>
      </c>
      <c r="K3504"/>
      <c r="L3504" t="inlineStr">
        <is>
          <t>May3 Socks的店</t>
        </is>
      </c>
      <c r="M3504">
        <v>56000</v>
      </c>
      <c r="N3504">
        <v>4.7</v>
      </c>
      <c r="O3504">
        <v>374000</v>
      </c>
      <c r="P3504" t="inlineStr">
        <is>
          <t>6843e11a6d191000015fc026</t>
        </is>
      </c>
      <c r="Q3504" t="inlineStr">
        <is>
          <t>🚫重复</t>
        </is>
      </c>
      <c r="R3504" t="inlineStr">
        <is>
          <t>14周</t>
        </is>
      </c>
      <c r="S3504" t="inlineStr">
        <is>
          <t>0.17</t>
        </is>
      </c>
      <c r="T3504" t="inlineStr">
        <is>
          <t>运动潮玩</t>
        </is>
      </c>
      <c r="U3504" t="inlineStr">
        <is>
          <t>运动户外装备</t>
        </is>
      </c>
      <c r="V3504" s="3">
        <v>46112.78107638889</v>
      </c>
      <c r="W3504" t="inlineStr">
        <is>
          <t>2026-Q1</t>
        </is>
      </c>
    </row>
    <row r="3505" ht="25.5" customHeight="1">
      <c r="A3505" t="inlineStr">
        <is>
          <t>5双装!高品质防滑不掉跟船袜纯棉短袜男女同款春夏透气浅口隐形袜</t>
        </is>
      </c>
      <c r="B3505" t="inlineStr">
        <is>
          <t>recvfqmLqZ0ke1.jpg</t>
        </is>
      </c>
      <c r="C3505" s="2" t="str">
        <f>=HYPERLINK("https://xhslink.com/m/8w1PHKeTDt5", "https://xhslink.com/m/8w1PHKeTDt5")</f>
        <v>https://xhslink.com/m/8w1PHKeTDt5</v>
      </c>
      <c r="D3505"/>
      <c r="E3505">
        <v>4216</v>
      </c>
      <c r="F3505">
        <v>31.9</v>
      </c>
      <c r="G3505">
        <v>19.9</v>
      </c>
      <c r="H3505">
        <v>100</v>
      </c>
      <c r="I3505" t="inlineStr">
        <is>
          <t>船袜</t>
        </is>
      </c>
      <c r="J3505" t="inlineStr">
        <is>
          <t>0.02</t>
        </is>
      </c>
      <c r="K3505" t="inlineStr">
        <is>
          <t>🔥低粉爆款</t>
        </is>
      </c>
      <c r="L3505" t="inlineStr">
        <is>
          <t>一家袜铺的店</t>
        </is>
      </c>
      <c r="M3505">
        <v>780</v>
      </c>
      <c r="N3505">
        <v>4.61</v>
      </c>
      <c r="O3505">
        <v>10000</v>
      </c>
      <c r="P3505" t="inlineStr">
        <is>
          <t>67b9bfa6f2389c000184cb27</t>
        </is>
      </c>
      <c r="Q3505"/>
      <c r="R3505" t="inlineStr">
        <is>
          <t>14周</t>
        </is>
      </c>
      <c r="S3505" t="inlineStr">
        <is>
          <t>5.41</t>
        </is>
      </c>
      <c r="T3505" t="inlineStr">
        <is>
          <t>服饰穿搭</t>
        </is>
      </c>
      <c r="U3505" t="inlineStr">
        <is>
          <t>鞋靴箱包</t>
        </is>
      </c>
      <c r="V3505" s="3">
        <v>46112.78107638889</v>
      </c>
      <c r="W3505" t="inlineStr">
        <is>
          <t>2026-Q1</t>
        </is>
      </c>
    </row>
    <row r="3506" ht="25.5" customHeight="1">
      <c r="A3506" t="inlineStr">
        <is>
          <t>【早点起床shop】可爱卡通小熊春夏学院风防掉跟透气隐形无骨船袜</t>
        </is>
      </c>
      <c r="B3506" t="inlineStr">
        <is>
          <t>recvfqmLqZohGL.jpg</t>
        </is>
      </c>
      <c r="C3506" s="2" t="str">
        <f>=HYPERLINK("https://xhslink.com/m/5KwPTzOLTXw", "https://xhslink.com/m/5KwPTzOLTXw")</f>
        <v>https://xhslink.com/m/5KwPTzOLTXw</v>
      </c>
      <c r="D3506"/>
      <c r="E3506">
        <v>411</v>
      </c>
      <c r="F3506">
        <v>15.8</v>
      </c>
      <c r="G3506">
        <v>12.9</v>
      </c>
      <c r="H3506">
        <v>100</v>
      </c>
      <c r="I3506" t="inlineStr">
        <is>
          <t>船袜</t>
        </is>
      </c>
      <c r="J3506" t="inlineStr">
        <is>
          <t>0.24</t>
        </is>
      </c>
      <c r="K3506"/>
      <c r="L3506" t="inlineStr">
        <is>
          <t>早点起床的店</t>
        </is>
      </c>
      <c r="M3506">
        <v>36000</v>
      </c>
      <c r="N3506">
        <v>4.66</v>
      </c>
      <c r="O3506">
        <v>568000</v>
      </c>
      <c r="P3506" t="inlineStr">
        <is>
          <t>69afd080bac797000137f199</t>
        </is>
      </c>
      <c r="Q3506"/>
      <c r="R3506" t="inlineStr">
        <is>
          <t>14周</t>
        </is>
      </c>
      <c r="S3506" t="inlineStr">
        <is>
          <t>0.01</t>
        </is>
      </c>
      <c r="T3506" t="inlineStr">
        <is>
          <t>服饰穿搭</t>
        </is>
      </c>
      <c r="U3506" t="inlineStr">
        <is>
          <t>鞋靴箱包</t>
        </is>
      </c>
      <c r="V3506" s="3">
        <v>46112.78107638889</v>
      </c>
      <c r="W3506" t="inlineStr">
        <is>
          <t>2026-Q1</t>
        </is>
      </c>
    </row>
    <row r="3507" ht="25.5" customHeight="1">
      <c r="A3507" t="inlineStr">
        <is>
          <t>粉底液隐形分趾船袜_春夏薄款裸色系避震不掉跟浅口袜（13</t>
        </is>
      </c>
      <c r="B3507" t="inlineStr">
        <is>
          <t>recvfqmLqZjl0p.jpg</t>
        </is>
      </c>
      <c r="C3507" s="2" t="str">
        <f>=HYPERLINK("https://xhslink.com/m/17N7xh6P5Px", "https://xhslink.com/m/17N7xh6P5Px")</f>
        <v>https://xhslink.com/m/17N7xh6P5Px</v>
      </c>
      <c r="D3507"/>
      <c r="E3507">
        <v>635</v>
      </c>
      <c r="F3507">
        <v>15.8</v>
      </c>
      <c r="G3507">
        <v>13.9</v>
      </c>
      <c r="H3507">
        <v>100</v>
      </c>
      <c r="I3507" t="inlineStr">
        <is>
          <t>船袜</t>
        </is>
      </c>
      <c r="J3507" t="inlineStr">
        <is>
          <t>0.16</t>
        </is>
      </c>
      <c r="K3507"/>
      <c r="L3507" t="inlineStr">
        <is>
          <t>beibeilook的店</t>
        </is>
      </c>
      <c r="M3507">
        <v>1669</v>
      </c>
      <c r="N3507">
        <v>4.64</v>
      </c>
      <c r="O3507">
        <v>23000</v>
      </c>
      <c r="P3507" t="inlineStr">
        <is>
          <t>69b8c956916f6b0001b62923</t>
        </is>
      </c>
      <c r="Q3507"/>
      <c r="R3507" t="inlineStr">
        <is>
          <t>14周</t>
        </is>
      </c>
      <c r="S3507" t="inlineStr">
        <is>
          <t>0.38</t>
        </is>
      </c>
      <c r="T3507" t="inlineStr">
        <is>
          <t>美妆个护</t>
        </is>
      </c>
      <c r="U3507" t="inlineStr">
        <is>
          <t>护肤彩妆</t>
        </is>
      </c>
      <c r="V3507" s="3">
        <v>46112.78107638889</v>
      </c>
      <c r="W3507" t="inlineStr">
        <is>
          <t>2026-Q1</t>
        </is>
      </c>
    </row>
    <row r="3508" ht="25.5" customHeight="1">
      <c r="A3508" t="inlineStr">
        <is>
          <t>船袜女夏季薄款防滑不掉跟纯棉夏天单鞋冰丝浅口隐形袜子夏款短袜</t>
        </is>
      </c>
      <c r="B3508" t="inlineStr">
        <is>
          <t>recvfqmLqZQYUx.jpg</t>
        </is>
      </c>
      <c r="C3508" s="2" t="str">
        <f>=HYPERLINK("https://xhslink.com/m/tsUR5PBSwX", "https://xhslink.com/m/tsUR5PBSwX")</f>
        <v>https://xhslink.com/m/tsUR5PBSwX</v>
      </c>
      <c r="D3508"/>
      <c r="E3508">
        <v>16000</v>
      </c>
      <c r="F3508">
        <v>25.9</v>
      </c>
      <c r="G3508">
        <v>12.8</v>
      </c>
      <c r="H3508">
        <v>100</v>
      </c>
      <c r="I3508" t="inlineStr">
        <is>
          <t>船袜</t>
        </is>
      </c>
      <c r="J3508" t="inlineStr">
        <is>
          <t>0.01</t>
        </is>
      </c>
      <c r="K3508" t="inlineStr">
        <is>
          <t>🔥低粉爆款</t>
        </is>
      </c>
      <c r="L3508" t="inlineStr">
        <is>
          <t>乐鱼吕日记的店</t>
        </is>
      </c>
      <c r="M3508">
        <v>926</v>
      </c>
      <c r="N3508">
        <v>4.57</v>
      </c>
      <c r="O3508">
        <v>52000</v>
      </c>
      <c r="P3508" t="inlineStr">
        <is>
          <t>67fca22452646c001587ceb2</t>
        </is>
      </c>
      <c r="Q3508"/>
      <c r="R3508" t="inlineStr">
        <is>
          <t>14周</t>
        </is>
      </c>
      <c r="S3508" t="inlineStr">
        <is>
          <t>17.28</t>
        </is>
      </c>
      <c r="T3508" t="inlineStr">
        <is>
          <t>服饰穿搭</t>
        </is>
      </c>
      <c r="U3508" t="inlineStr">
        <is>
          <t>鞋靴箱包</t>
        </is>
      </c>
      <c r="V3508" s="3">
        <v>46112.78107638889</v>
      </c>
      <c r="W3508" t="inlineStr">
        <is>
          <t>2026-Q1</t>
        </is>
      </c>
    </row>
    <row r="3509" ht="25.5" customHeight="1">
      <c r="A3509" t="inlineStr">
        <is>
          <t>紫气东来豆腐混合猫砂除臭无尘不粘底可冲厕所2.4kg</t>
        </is>
      </c>
      <c r="B3509" t="inlineStr">
        <is>
          <t>recvfqmLqZPUzV.jpg</t>
        </is>
      </c>
      <c r="C3509" s="2" t="str">
        <f>=HYPERLINK("https://xhslink.com/m/3VnhXfO3fG1", "https://xhslink.com/m/3VnhXfO3fG1")</f>
        <v>https://xhslink.com/m/3VnhXfO3fG1</v>
      </c>
      <c r="D3509"/>
      <c r="E3509">
        <v>31000</v>
      </c>
      <c r="F3509">
        <v>21.9</v>
      </c>
      <c r="G3509">
        <v>9.9</v>
      </c>
      <c r="H3509">
        <v>100</v>
      </c>
      <c r="I3509" t="inlineStr">
        <is>
          <t>除臭猫砂</t>
        </is>
      </c>
      <c r="J3509" t="inlineStr">
        <is>
          <t>0.00</t>
        </is>
      </c>
      <c r="K3509" t="inlineStr">
        <is>
          <t>🔥低粉爆款</t>
        </is>
      </c>
      <c r="L3509" t="inlineStr">
        <is>
          <t>紫气东来TUANZism的店</t>
        </is>
      </c>
      <c r="M3509">
        <v>1711</v>
      </c>
      <c r="N3509">
        <v>4.47</v>
      </c>
      <c r="O3509">
        <v>33000</v>
      </c>
      <c r="P3509" t="inlineStr">
        <is>
          <t>68b1085685ba1f00158a0046</t>
        </is>
      </c>
      <c r="Q3509"/>
      <c r="R3509" t="inlineStr">
        <is>
          <t>14周</t>
        </is>
      </c>
      <c r="S3509" t="inlineStr">
        <is>
          <t>18.12</t>
        </is>
      </c>
      <c r="T3509" t="inlineStr">
        <is>
          <t>家居生活</t>
        </is>
      </c>
      <c r="U3509" t="inlineStr">
        <is>
          <t>宠物用品</t>
        </is>
      </c>
      <c r="V3509" s="3">
        <v>46112.78107638889</v>
      </c>
      <c r="W3509" t="inlineStr">
        <is>
          <t>2026-Q1</t>
        </is>
      </c>
    </row>
    <row r="3510" ht="25.5" customHeight="1">
      <c r="A3510" t="inlineStr">
        <is>
          <t>小乐魔 · SAP高分子豆腐混合猫砂除臭强吸水无尘不沾底快速结团可冲厕</t>
        </is>
      </c>
      <c r="B3510" t="inlineStr">
        <is>
          <t>recvfqmLqZj7i9.jpg</t>
        </is>
      </c>
      <c r="C3510" s="2" t="str">
        <f>=HYPERLINK("https://xhslink.com/m/4s8w5JEucNu", "https://xhslink.com/m/4s8w5JEucNu")</f>
        <v>https://xhslink.com/m/4s8w5JEucNu</v>
      </c>
      <c r="D3510"/>
      <c r="E3510">
        <v>206000</v>
      </c>
      <c r="F3510">
        <v>70.8</v>
      </c>
      <c r="G3510">
        <v>60.18</v>
      </c>
      <c r="H3510">
        <v>100</v>
      </c>
      <c r="I3510" t="inlineStr">
        <is>
          <t>除臭猫砂</t>
        </is>
      </c>
      <c r="J3510" t="inlineStr">
        <is>
          <t>0.00</t>
        </is>
      </c>
      <c r="K3510" t="inlineStr">
        <is>
          <t>🔥低粉爆款</t>
        </is>
      </c>
      <c r="L3510" t="inlineStr">
        <is>
          <t>小乐魔宠物猫砂的店</t>
        </is>
      </c>
      <c r="M3510">
        <v>4978</v>
      </c>
      <c r="N3510">
        <v>4.41</v>
      </c>
      <c r="O3510">
        <v>272000</v>
      </c>
      <c r="P3510" t="inlineStr">
        <is>
          <t>65e824f10af17e00011ff303</t>
        </is>
      </c>
      <c r="Q3510" t="inlineStr">
        <is>
          <t>🚫重复</t>
        </is>
      </c>
      <c r="R3510" t="inlineStr">
        <is>
          <t>14周</t>
        </is>
      </c>
      <c r="S3510" t="inlineStr">
        <is>
          <t>41.38</t>
        </is>
      </c>
      <c r="T3510" t="inlineStr">
        <is>
          <t>家居生活</t>
        </is>
      </c>
      <c r="U3510" t="inlineStr">
        <is>
          <t>宠物用品</t>
        </is>
      </c>
      <c r="V3510" s="3">
        <v>46112.78107638889</v>
      </c>
      <c r="W3510" t="inlineStr">
        <is>
          <t>2026-Q1</t>
        </is>
      </c>
    </row>
    <row r="3511" ht="25.5" customHeight="1">
      <c r="A3511" t="inlineStr">
        <is>
          <t>魔法香风小雏菊木薯猫砂不粘底除臭结团膨润土植物可混合近无尘</t>
        </is>
      </c>
      <c r="B3511" t="inlineStr">
        <is>
          <t>recvfqmLqZAT8Z.jpg</t>
        </is>
      </c>
      <c r="C3511" s="2" t="str">
        <f>=HYPERLINK("https://xhslink.com/m/3oVDdl1AlOR", "https://xhslink.com/m/3oVDdl1AlOR")</f>
        <v>https://xhslink.com/m/3oVDdl1AlOR</v>
      </c>
      <c r="D3511"/>
      <c r="E3511">
        <v>1149</v>
      </c>
      <c r="F3511">
        <v>66.9</v>
      </c>
      <c r="G3511">
        <v>56.9</v>
      </c>
      <c r="H3511">
        <v>100</v>
      </c>
      <c r="I3511" t="inlineStr">
        <is>
          <t>除臭猫砂</t>
        </is>
      </c>
      <c r="J3511" t="inlineStr">
        <is>
          <t>0.09</t>
        </is>
      </c>
      <c r="K3511"/>
      <c r="L3511" t="inlineStr">
        <is>
          <t>囧囧小猫的店</t>
        </is>
      </c>
      <c r="M3511">
        <v>37000</v>
      </c>
      <c r="N3511">
        <v>4.59</v>
      </c>
      <c r="O3511">
        <v>22000</v>
      </c>
      <c r="P3511" t="inlineStr">
        <is>
          <t>6956705923d3ce00016688c6</t>
        </is>
      </c>
      <c r="Q3511"/>
      <c r="R3511" t="inlineStr">
        <is>
          <t>14周</t>
        </is>
      </c>
      <c r="S3511" t="inlineStr">
        <is>
          <t>0.03</t>
        </is>
      </c>
      <c r="T3511" t="inlineStr">
        <is>
          <t>家居生活</t>
        </is>
      </c>
      <c r="U3511" t="inlineStr">
        <is>
          <t>家具家装</t>
        </is>
      </c>
      <c r="V3511" s="3">
        <v>46112.78107638889</v>
      </c>
      <c r="W3511" t="inlineStr">
        <is>
          <t>2026-Q1</t>
        </is>
      </c>
    </row>
    <row r="3512" ht="25.5" customHeight="1">
      <c r="A3512" t="inlineStr">
        <is>
          <t>人参蜜片/红参蜜片/西洋参蜜片（代客分装，需指定铁盒请备注）</t>
        </is>
      </c>
      <c r="B3512" t="inlineStr">
        <is>
          <t>recvfqmLqZo6IN.jpg</t>
        </is>
      </c>
      <c r="C3512" s="2" t="str">
        <f>=HYPERLINK("https://xhslink.com/m/70gfjUtcwr1", "https://xhslink.com/m/70gfjUtcwr1")</f>
        <v>https://xhslink.com/m/70gfjUtcwr1</v>
      </c>
      <c r="D3512"/>
      <c r="E3512">
        <v>51000</v>
      </c>
      <c r="F3512">
        <v>63.8</v>
      </c>
      <c r="G3512"/>
      <c r="H3512">
        <v>100</v>
      </c>
      <c r="I3512" t="inlineStr">
        <is>
          <t>气血滋补</t>
        </is>
      </c>
      <c r="J3512" t="inlineStr">
        <is>
          <t>0.00</t>
        </is>
      </c>
      <c r="K3512"/>
      <c r="L3512" t="inlineStr">
        <is>
          <t>奔燕的滋补小铺的店</t>
        </is>
      </c>
      <c r="M3512">
        <v>37000</v>
      </c>
      <c r="N3512">
        <v>4.77</v>
      </c>
      <c r="O3512">
        <v>124000</v>
      </c>
      <c r="P3512" t="inlineStr">
        <is>
          <t>67345b0428ba0100012b415a</t>
        </is>
      </c>
      <c r="Q3512" t="inlineStr">
        <is>
          <t>🚫重复</t>
        </is>
      </c>
      <c r="R3512" t="inlineStr">
        <is>
          <t>14周</t>
        </is>
      </c>
      <c r="S3512" t="inlineStr">
        <is>
          <t>1.38</t>
        </is>
      </c>
      <c r="T3512" t="inlineStr">
        <is>
          <t>美食滋补</t>
        </is>
      </c>
      <c r="U3512" t="inlineStr">
        <is>
          <t>营养滋补</t>
        </is>
      </c>
      <c r="V3512" s="3">
        <v>46112.78107638889</v>
      </c>
      <c r="W3512" t="inlineStr">
        <is>
          <t>2026-Q1</t>
        </is>
      </c>
    </row>
    <row r="3513" ht="25.5" customHeight="1">
      <c r="A3513" t="inlineStr">
        <is>
          <t>颐之宜 · 当归川芎白芍地黄黄芪 四物汤 红润不上火 无熏硫</t>
        </is>
      </c>
      <c r="B3513" t="inlineStr">
        <is>
          <t>recvfqmLqZKMZq.jpg</t>
        </is>
      </c>
      <c r="C3513" s="2" t="str">
        <f>=HYPERLINK("https://xhslink.com/m/3eJRclhkePV", "https://xhslink.com/m/3eJRclhkePV")</f>
        <v>https://xhslink.com/m/3eJRclhkePV</v>
      </c>
      <c r="D3513"/>
      <c r="E3513">
        <v>79000</v>
      </c>
      <c r="F3513">
        <v>158</v>
      </c>
      <c r="G3513"/>
      <c r="H3513">
        <v>100</v>
      </c>
      <c r="I3513" t="inlineStr">
        <is>
          <t>气血滋补</t>
        </is>
      </c>
      <c r="J3513" t="inlineStr">
        <is>
          <t>0.00</t>
        </is>
      </c>
      <c r="K3513"/>
      <c r="L3513" t="inlineStr">
        <is>
          <t>颐之宜养生的店</t>
        </is>
      </c>
      <c r="M3513">
        <v>78000</v>
      </c>
      <c r="N3513">
        <v>4.53</v>
      </c>
      <c r="O3513">
        <v>232000</v>
      </c>
      <c r="P3513" t="inlineStr">
        <is>
          <t>63930131786fbf0001f62ff2</t>
        </is>
      </c>
      <c r="Q3513" t="inlineStr">
        <is>
          <t>🚫重复</t>
        </is>
      </c>
      <c r="R3513" t="inlineStr">
        <is>
          <t>14周</t>
        </is>
      </c>
      <c r="S3513" t="inlineStr">
        <is>
          <t>1.01</t>
        </is>
      </c>
      <c r="T3513" t="inlineStr">
        <is>
          <t>美食滋补</t>
        </is>
      </c>
      <c r="U3513" t="inlineStr">
        <is>
          <t>营养滋补</t>
        </is>
      </c>
      <c r="V3513" s="3">
        <v>46112.78107638889</v>
      </c>
      <c r="W3513" t="inlineStr">
        <is>
          <t>2026-Q1</t>
        </is>
      </c>
    </row>
    <row r="3514" ht="25.5" customHeight="1">
      <c r="A3514" t="inlineStr">
        <is>
          <t>【9.9元发2包】鸡胸肉干鸡肉条风干解减饿脂解馋小吃零食</t>
        </is>
      </c>
      <c r="B3514" t="inlineStr">
        <is>
          <t>recvfqmLqZpZ4N.jpg</t>
        </is>
      </c>
      <c r="C3514" s="2" t="str">
        <f>=HYPERLINK("https://xhslink.com/m/7hF1FHMOeuL", "https://xhslink.com/m/7hF1FHMOeuL")</f>
        <v>https://xhslink.com/m/7hF1FHMOeuL</v>
      </c>
      <c r="D3514"/>
      <c r="E3514">
        <v>7535</v>
      </c>
      <c r="F3514">
        <v>19.9</v>
      </c>
      <c r="G3514">
        <v>9.9</v>
      </c>
      <c r="H3514">
        <v>100</v>
      </c>
      <c r="I3514" t="inlineStr">
        <is>
          <t>减肥零食</t>
        </is>
      </c>
      <c r="J3514" t="inlineStr">
        <is>
          <t>0.01</t>
        </is>
      </c>
      <c r="K3514" t="inlineStr">
        <is>
          <t>🔥低粉爆款</t>
        </is>
      </c>
      <c r="L3514" t="inlineStr">
        <is>
          <t>茉颂手作的店</t>
        </is>
      </c>
      <c r="M3514">
        <v>109</v>
      </c>
      <c r="N3514">
        <v>4.65</v>
      </c>
      <c r="O3514">
        <v>7989</v>
      </c>
      <c r="P3514" t="inlineStr">
        <is>
          <t>688ef358e58d07000190cec4</t>
        </is>
      </c>
      <c r="Q3514" t="inlineStr">
        <is>
          <t>🚫重复</t>
        </is>
      </c>
      <c r="R3514" t="inlineStr">
        <is>
          <t>14周</t>
        </is>
      </c>
      <c r="S3514" t="inlineStr">
        <is>
          <t>69.13</t>
        </is>
      </c>
      <c r="T3514" t="inlineStr">
        <is>
          <t>美食滋补</t>
        </is>
      </c>
      <c r="U3514" t="inlineStr">
        <is>
          <t>休闲零食</t>
        </is>
      </c>
      <c r="V3514" s="3">
        <v>46112.78107638889</v>
      </c>
      <c r="W3514" t="inlineStr">
        <is>
          <t>2026-Q1</t>
        </is>
      </c>
    </row>
    <row r="3515" ht="25.5" customHeight="1">
      <c r="A3515" t="inlineStr">
        <is>
          <t>手作五谷丰登馒头健康粗粮轻食代餐早餐速食半成品</t>
        </is>
      </c>
      <c r="B3515" t="inlineStr">
        <is>
          <t>recvfqmLqZQ8of.jpg</t>
        </is>
      </c>
      <c r="C3515" s="2" t="str">
        <f>=HYPERLINK("https://xhslink.com/m/6YcRniAE82c", "https://xhslink.com/m/6YcRniAE82c")</f>
        <v>https://xhslink.com/m/6YcRniAE82c</v>
      </c>
      <c r="D3515"/>
      <c r="E3515">
        <v>1006</v>
      </c>
      <c r="F3515">
        <v>29.9</v>
      </c>
      <c r="G3515">
        <v>19.9</v>
      </c>
      <c r="H3515">
        <v>100</v>
      </c>
      <c r="I3515" t="inlineStr">
        <is>
          <t>减肥零食</t>
        </is>
      </c>
      <c r="J3515" t="inlineStr">
        <is>
          <t>0.10</t>
        </is>
      </c>
      <c r="K3515" t="inlineStr">
        <is>
          <t>🔥低粉爆款</t>
        </is>
      </c>
      <c r="L3515" t="inlineStr">
        <is>
          <t>三十六膳的店</t>
        </is>
      </c>
      <c r="M3515">
        <v>47</v>
      </c>
      <c r="N3515">
        <v>4.49</v>
      </c>
      <c r="O3515">
        <v>1005</v>
      </c>
      <c r="P3515" t="inlineStr">
        <is>
          <t>6959292b8ff5d400013b18de</t>
        </is>
      </c>
      <c r="Q3515" t="inlineStr">
        <is>
          <t>🚫重复</t>
        </is>
      </c>
      <c r="R3515" t="inlineStr">
        <is>
          <t>14周</t>
        </is>
      </c>
      <c r="S3515" t="inlineStr">
        <is>
          <t>21.40</t>
        </is>
      </c>
      <c r="T3515" t="inlineStr">
        <is>
          <t>美食滋补</t>
        </is>
      </c>
      <c r="U3515" t="inlineStr">
        <is>
          <t>休闲零食</t>
        </is>
      </c>
      <c r="V3515" s="3">
        <v>46112.78107638889</v>
      </c>
      <c r="W3515" t="inlineStr">
        <is>
          <t>2026-Q1</t>
        </is>
      </c>
    </row>
    <row r="3516" ht="25.5" customHeight="1">
      <c r="A3516" t="inlineStr">
        <is>
          <t>野人日记 · 【爆款轻卡饺】早餐速食魔芋燕麦鸡胸肉馅蒸饺 500g/袋</t>
        </is>
      </c>
      <c r="B3516" t="inlineStr">
        <is>
          <t>recvfqmLqZ5PQa.jpg</t>
        </is>
      </c>
      <c r="C3516" s="2" t="str">
        <f>=HYPERLINK("https://xhslink.com/m/Y9zzkEwDlk", "https://xhslink.com/m/Y9zzkEwDlk")</f>
        <v>https://xhslink.com/m/Y9zzkEwDlk</v>
      </c>
      <c r="D3516"/>
      <c r="E3516">
        <v>37000</v>
      </c>
      <c r="F3516">
        <v>29.9</v>
      </c>
      <c r="G3516"/>
      <c r="H3516">
        <v>100</v>
      </c>
      <c r="I3516" t="inlineStr">
        <is>
          <t>减肥零食</t>
        </is>
      </c>
      <c r="J3516" t="inlineStr">
        <is>
          <t>0.00</t>
        </is>
      </c>
      <c r="K3516"/>
      <c r="L3516" t="inlineStr">
        <is>
          <t>野人日记旗舰店</t>
        </is>
      </c>
      <c r="M3516">
        <v>17000</v>
      </c>
      <c r="N3516">
        <v>4.71</v>
      </c>
      <c r="O3516">
        <v>101000</v>
      </c>
      <c r="P3516" t="inlineStr">
        <is>
          <t>6435044d32f9c8000192229c</t>
        </is>
      </c>
      <c r="Q3516" t="inlineStr">
        <is>
          <t>🚫重复</t>
        </is>
      </c>
      <c r="R3516" t="inlineStr">
        <is>
          <t>14周</t>
        </is>
      </c>
      <c r="S3516" t="inlineStr">
        <is>
          <t>2.18</t>
        </is>
      </c>
      <c r="T3516" t="inlineStr">
        <is>
          <t>美食滋补</t>
        </is>
      </c>
      <c r="U3516" t="inlineStr">
        <is>
          <t>休闲零食</t>
        </is>
      </c>
      <c r="V3516" s="3">
        <v>46112.78107638889</v>
      </c>
      <c r="W3516" t="inlineStr">
        <is>
          <t>2026-Q1</t>
        </is>
      </c>
    </row>
    <row r="3517" ht="25.5" customHeight="1">
      <c r="A3517" t="inlineStr">
        <is>
          <t>山西吕梁纯碱养胃烤馍无蔗糖低脂烤馍纯手工干馍馒碱水烤馍酥脆</t>
        </is>
      </c>
      <c r="B3517" t="inlineStr">
        <is>
          <t>recvfqmLqZyDMt.jpg</t>
        </is>
      </c>
      <c r="C3517" s="2" t="str">
        <f>=HYPERLINK("https://xhslink.com/m/7tw43ICrisD", "https://xhslink.com/m/7tw43ICrisD")</f>
        <v>https://xhslink.com/m/7tw43ICrisD</v>
      </c>
      <c r="D3517"/>
      <c r="E3517">
        <v>19000</v>
      </c>
      <c r="F3517">
        <v>17.9</v>
      </c>
      <c r="G3517">
        <v>13.75</v>
      </c>
      <c r="H3517">
        <v>100</v>
      </c>
      <c r="I3517" t="inlineStr">
        <is>
          <t>减肥零食</t>
        </is>
      </c>
      <c r="J3517" t="inlineStr">
        <is>
          <t>0.01</t>
        </is>
      </c>
      <c r="K3517" t="inlineStr">
        <is>
          <t>🔥低粉爆款</t>
        </is>
      </c>
      <c r="L3517" t="inlineStr">
        <is>
          <t>小麦零食铺的店</t>
        </is>
      </c>
      <c r="M3517">
        <v>461</v>
      </c>
      <c r="N3517">
        <v>4.49</v>
      </c>
      <c r="O3517">
        <v>22000</v>
      </c>
      <c r="P3517" t="inlineStr">
        <is>
          <t>659f8360fdf2180001afc47e</t>
        </is>
      </c>
      <c r="Q3517" t="inlineStr">
        <is>
          <t>🚫重复</t>
        </is>
      </c>
      <c r="R3517" t="inlineStr">
        <is>
          <t>14周</t>
        </is>
      </c>
      <c r="S3517" t="inlineStr">
        <is>
          <t>41.21</t>
        </is>
      </c>
      <c r="T3517" t="inlineStr">
        <is>
          <t>美食滋补</t>
        </is>
      </c>
      <c r="U3517" t="inlineStr">
        <is>
          <t>休闲零食</t>
        </is>
      </c>
      <c r="V3517" s="3">
        <v>46112.78107638889</v>
      </c>
      <c r="W3517" t="inlineStr">
        <is>
          <t>2026-Q1</t>
        </is>
      </c>
    </row>
    <row r="3518" ht="25.5" customHeight="1">
      <c r="A3518" t="inlineStr">
        <is>
          <t>盐津铺子 · 【真实添加蟹肉】低脂丝丝鲜甜海鲜零食模拟蟹腿棒健身吃</t>
        </is>
      </c>
      <c r="B3518" t="inlineStr">
        <is>
          <t>recvfqmLqZcjSg.jpg</t>
        </is>
      </c>
      <c r="C3518" s="2" t="str">
        <f>=HYPERLINK("https://xhslink.com/m/4XNsYmEHitx", "https://xhslink.com/m/4XNsYmEHitx")</f>
        <v>https://xhslink.com/m/4XNsYmEHitx</v>
      </c>
      <c r="D3518"/>
      <c r="E3518">
        <v>22000</v>
      </c>
      <c r="F3518">
        <v>39.9</v>
      </c>
      <c r="G3518">
        <v>19.9</v>
      </c>
      <c r="H3518">
        <v>100</v>
      </c>
      <c r="I3518" t="inlineStr">
        <is>
          <t>减肥零食</t>
        </is>
      </c>
      <c r="J3518" t="inlineStr">
        <is>
          <t>0.00</t>
        </is>
      </c>
      <c r="K3518"/>
      <c r="L3518" t="inlineStr">
        <is>
          <t>茹茹食光的店</t>
        </is>
      </c>
      <c r="M3518">
        <v>17000</v>
      </c>
      <c r="N3518">
        <v>4.42</v>
      </c>
      <c r="O3518">
        <v>244000</v>
      </c>
      <c r="P3518" t="inlineStr">
        <is>
          <t>689bf753ba5a8300156a1f41</t>
        </is>
      </c>
      <c r="Q3518" t="inlineStr">
        <is>
          <t>🚫重复</t>
        </is>
      </c>
      <c r="R3518" t="inlineStr">
        <is>
          <t>14周</t>
        </is>
      </c>
      <c r="S3518" t="inlineStr">
        <is>
          <t>1.29</t>
        </is>
      </c>
      <c r="T3518" t="inlineStr">
        <is>
          <t>美食滋补</t>
        </is>
      </c>
      <c r="U3518" t="inlineStr">
        <is>
          <t>休闲零食</t>
        </is>
      </c>
      <c r="V3518" s="3">
        <v>46112.78107638889</v>
      </c>
      <c r="W3518" t="inlineStr">
        <is>
          <t>2026-Q1</t>
        </is>
      </c>
    </row>
    <row r="3519" ht="25.5" customHeight="1">
      <c r="A3519" t="inlineStr">
        <is>
          <t>开袋即食零食冰烤蜜薯紫薯大学生减脂期代餐轻食健康早餐速食推荐</t>
        </is>
      </c>
      <c r="B3519" t="inlineStr">
        <is>
          <t>recvfqmLqZmPrz.jpg</t>
        </is>
      </c>
      <c r="C3519" s="2" t="str">
        <f>=HYPERLINK("https://xhslink.com/m/2zlSiAvmdAD", "https://xhslink.com/m/2zlSiAvmdAD")</f>
        <v>https://xhslink.com/m/2zlSiAvmdAD</v>
      </c>
      <c r="D3519"/>
      <c r="E3519">
        <v>30000</v>
      </c>
      <c r="F3519">
        <v>24.8</v>
      </c>
      <c r="G3519">
        <v>14.8</v>
      </c>
      <c r="H3519">
        <v>100</v>
      </c>
      <c r="I3519" t="inlineStr">
        <is>
          <t>减肥零食</t>
        </is>
      </c>
      <c r="J3519" t="inlineStr">
        <is>
          <t>0.00</t>
        </is>
      </c>
      <c r="K3519" t="inlineStr">
        <is>
          <t>🔥低粉爆款</t>
        </is>
      </c>
      <c r="L3519" t="inlineStr">
        <is>
          <t>麦味零食坊的店</t>
        </is>
      </c>
      <c r="M3519">
        <v>6046</v>
      </c>
      <c r="N3519">
        <v>4.76</v>
      </c>
      <c r="O3519">
        <v>135000</v>
      </c>
      <c r="P3519" t="inlineStr">
        <is>
          <t>670bc03d4cd28900014f106a</t>
        </is>
      </c>
      <c r="Q3519" t="inlineStr">
        <is>
          <t>🚫重复</t>
        </is>
      </c>
      <c r="R3519" t="inlineStr">
        <is>
          <t>14周</t>
        </is>
      </c>
      <c r="S3519" t="inlineStr">
        <is>
          <t>4.96</t>
        </is>
      </c>
      <c r="T3519" t="inlineStr">
        <is>
          <t>美食滋补</t>
        </is>
      </c>
      <c r="U3519" t="inlineStr">
        <is>
          <t>休闲零食</t>
        </is>
      </c>
      <c r="V3519" s="3">
        <v>46112.78107638889</v>
      </c>
      <c r="W3519" t="inlineStr">
        <is>
          <t>2026-Q1</t>
        </is>
      </c>
    </row>
    <row r="3520" ht="25.5" customHeight="1">
      <c r="A3520" t="inlineStr">
        <is>
          <t>【每天仅100单】私房纯手作系列碱水包 低卡饱腹早餐健身代餐</t>
        </is>
      </c>
      <c r="B3520" t="inlineStr">
        <is>
          <t>recvfqmLqZuuSO.jpg</t>
        </is>
      </c>
      <c r="C3520" s="2" t="str">
        <f>=HYPERLINK("https://xhslink.com/m/1mGe1sSACGy", "https://xhslink.com/m/1mGe1sSACGy")</f>
        <v>https://xhslink.com/m/1mGe1sSACGy</v>
      </c>
      <c r="D3520"/>
      <c r="E3520">
        <v>2801</v>
      </c>
      <c r="F3520">
        <v>20.8</v>
      </c>
      <c r="G3520">
        <v>9.9</v>
      </c>
      <c r="H3520">
        <v>100</v>
      </c>
      <c r="I3520" t="inlineStr">
        <is>
          <t>减肥零食</t>
        </is>
      </c>
      <c r="J3520" t="inlineStr">
        <is>
          <t>0.04</t>
        </is>
      </c>
      <c r="K3520" t="inlineStr">
        <is>
          <t>🔥低粉爆款</t>
        </is>
      </c>
      <c r="L3520" t="inlineStr">
        <is>
          <t>甜心妈妈手作面包的店</t>
        </is>
      </c>
      <c r="M3520">
        <v>80</v>
      </c>
      <c r="N3520">
        <v>4.28</v>
      </c>
      <c r="O3520">
        <v>3229</v>
      </c>
      <c r="P3520" t="inlineStr">
        <is>
          <t>694768c71f22d20001cdcdb1</t>
        </is>
      </c>
      <c r="Q3520" t="inlineStr">
        <is>
          <t>🚫重复</t>
        </is>
      </c>
      <c r="R3520" t="inlineStr">
        <is>
          <t>14周</t>
        </is>
      </c>
      <c r="S3520" t="inlineStr">
        <is>
          <t>35.01</t>
        </is>
      </c>
      <c r="T3520" t="inlineStr">
        <is>
          <t>美食滋补</t>
        </is>
      </c>
      <c r="U3520" t="inlineStr">
        <is>
          <t>休闲零食</t>
        </is>
      </c>
      <c r="V3520" s="3">
        <v>46112.78107638889</v>
      </c>
      <c r="W3520" t="inlineStr">
        <is>
          <t>2026-Q1</t>
        </is>
      </c>
    </row>
    <row r="3521" ht="25.5" customHeight="1">
      <c r="A3521" t="inlineStr">
        <is>
          <t>【每天仅限100单】手作奶酥碱水棒 早餐代餐低卡饱腹面包</t>
        </is>
      </c>
      <c r="B3521" t="inlineStr">
        <is>
          <t>recvfqmLqZx4oX.jpg</t>
        </is>
      </c>
      <c r="C3521" s="2" t="str">
        <f>=HYPERLINK("https://xhslink.com/m/5hlhyDvyu1y", "https://xhslink.com/m/5hlhyDvyu1y")</f>
        <v>https://xhslink.com/m/5hlhyDvyu1y</v>
      </c>
      <c r="D3521"/>
      <c r="E3521">
        <v>687</v>
      </c>
      <c r="F3521">
        <v>20.8</v>
      </c>
      <c r="G3521">
        <v>9.9</v>
      </c>
      <c r="H3521">
        <v>100</v>
      </c>
      <c r="I3521" t="inlineStr">
        <is>
          <t>减肥零食</t>
        </is>
      </c>
      <c r="J3521" t="inlineStr">
        <is>
          <t>0.15</t>
        </is>
      </c>
      <c r="K3521" t="inlineStr">
        <is>
          <t>🔥低粉爆款</t>
        </is>
      </c>
      <c r="L3521" t="inlineStr">
        <is>
          <t>慕溪手作面包坊的店</t>
        </is>
      </c>
      <c r="M3521">
        <v>24</v>
      </c>
      <c r="N3521">
        <v>3.88</v>
      </c>
      <c r="O3521">
        <v>907</v>
      </c>
      <c r="P3521" t="inlineStr">
        <is>
          <t>697f2c896d22e70001a1decb</t>
        </is>
      </c>
      <c r="Q3521"/>
      <c r="R3521" t="inlineStr">
        <is>
          <t>14周</t>
        </is>
      </c>
      <c r="S3521" t="inlineStr">
        <is>
          <t>28.62</t>
        </is>
      </c>
      <c r="T3521" t="inlineStr">
        <is>
          <t>美食滋补</t>
        </is>
      </c>
      <c r="U3521" t="inlineStr">
        <is>
          <t>休闲零食</t>
        </is>
      </c>
      <c r="V3521" s="3">
        <v>46112.78107638889</v>
      </c>
      <c r="W3521" t="inlineStr">
        <is>
          <t>2026-Q1</t>
        </is>
      </c>
    </row>
    <row r="3522" ht="25.5" customHeight="1">
      <c r="A3522" t="inlineStr">
        <is>
          <t>【常温可囤贝果面包】早八大学生早餐推荐代餐全麦无蔗糖夹低心卡</t>
        </is>
      </c>
      <c r="B3522" t="inlineStr">
        <is>
          <t>recvfqmLqZLYEH.jpg</t>
        </is>
      </c>
      <c r="C3522" s="2" t="str">
        <f>=HYPERLINK("https://xhslink.com/m/ifVLn6ohfj", "https://xhslink.com/m/ifVLn6ohfj")</f>
        <v>https://xhslink.com/m/ifVLn6ohfj</v>
      </c>
      <c r="D3522"/>
      <c r="E3522">
        <v>156000</v>
      </c>
      <c r="F3522">
        <v>38.8</v>
      </c>
      <c r="G3522">
        <v>18.8</v>
      </c>
      <c r="H3522">
        <v>100</v>
      </c>
      <c r="I3522" t="inlineStr">
        <is>
          <t>减肥零食</t>
        </is>
      </c>
      <c r="J3522" t="inlineStr">
        <is>
          <t>0.00</t>
        </is>
      </c>
      <c r="K3522" t="inlineStr">
        <is>
          <t>🔥低粉爆款</t>
        </is>
      </c>
      <c r="L3522" t="inlineStr">
        <is>
          <t>糖隐烘焙坊的店</t>
        </is>
      </c>
      <c r="M3522">
        <v>17000</v>
      </c>
      <c r="N3522">
        <v>4.6</v>
      </c>
      <c r="O3522">
        <v>189000</v>
      </c>
      <c r="P3522" t="inlineStr">
        <is>
          <t>6713280d758fa40001ae2afb</t>
        </is>
      </c>
      <c r="Q3522" t="inlineStr">
        <is>
          <t>🚫重复</t>
        </is>
      </c>
      <c r="R3522" t="inlineStr">
        <is>
          <t>14周</t>
        </is>
      </c>
      <c r="S3522" t="inlineStr">
        <is>
          <t>9.18</t>
        </is>
      </c>
      <c r="T3522" t="inlineStr">
        <is>
          <t>美食滋补</t>
        </is>
      </c>
      <c r="U3522" t="inlineStr">
        <is>
          <t>休闲零食</t>
        </is>
      </c>
      <c r="V3522" s="3">
        <v>46112.78107638889</v>
      </c>
      <c r="W3522" t="inlineStr">
        <is>
          <t>2026-Q1</t>
        </is>
      </c>
    </row>
    <row r="3523" ht="25.5" customHeight="1">
      <c r="A3523" t="inlineStr">
        <is>
          <t>【延边电视台】延边朝鲜族低度酸甜果味米酒</t>
        </is>
      </c>
      <c r="B3523" t="inlineStr">
        <is>
          <t>recvfqmLqZsTE7.jpg</t>
        </is>
      </c>
      <c r="C3523" s="2" t="str">
        <f>=HYPERLINK("https://xhslink.com/m/4AU4O2HZ7hN", "https://xhslink.com/m/4AU4O2HZ7hN")</f>
        <v>https://xhslink.com/m/4AU4O2HZ7hN</v>
      </c>
      <c r="D3523"/>
      <c r="E3523">
        <v>1244</v>
      </c>
      <c r="F3523">
        <v>29.8</v>
      </c>
      <c r="G3523"/>
      <c r="H3523">
        <v>100</v>
      </c>
      <c r="I3523" t="inlineStr">
        <is>
          <t>减肥零食</t>
        </is>
      </c>
      <c r="J3523" t="inlineStr">
        <is>
          <t>0.08</t>
        </is>
      </c>
      <c r="K3523"/>
      <c r="L3523" t="inlineStr">
        <is>
          <t>延甄优选的店</t>
        </is>
      </c>
      <c r="M3523">
        <v>474</v>
      </c>
      <c r="N3523">
        <v>4.59</v>
      </c>
      <c r="O3523">
        <v>146000</v>
      </c>
      <c r="P3523" t="inlineStr">
        <is>
          <t>699be7e85f567d00018e6b57</t>
        </is>
      </c>
      <c r="Q3523" t="inlineStr">
        <is>
          <t>🚫重复</t>
        </is>
      </c>
      <c r="R3523" t="inlineStr">
        <is>
          <t>14周</t>
        </is>
      </c>
      <c r="S3523" t="inlineStr">
        <is>
          <t>2.62</t>
        </is>
      </c>
      <c r="T3523" t="inlineStr">
        <is>
          <t>数码家电</t>
        </is>
      </c>
      <c r="U3523" t="inlineStr">
        <is>
          <t>大家电</t>
        </is>
      </c>
      <c r="V3523" s="3">
        <v>46112.78107638889</v>
      </c>
      <c r="W3523" t="inlineStr">
        <is>
          <t>2026-Q1</t>
        </is>
      </c>
    </row>
    <row r="3524" ht="25.5" customHeight="1">
      <c r="A3524" t="inlineStr">
        <is>
          <t>哈克汉贝 · 美式三防冲锋裤男女秋季款印花潮牌宽松百搭解构机能登山休闲裤子</t>
        </is>
      </c>
      <c r="B3524" t="inlineStr">
        <is>
          <t>recvfqmLqZDtrm.jpg</t>
        </is>
      </c>
      <c r="C3524" s="2" t="str">
        <f>=HYPERLINK("https://xhslink.com/m/82CqY0R6KQB", "https://xhslink.com/m/82CqY0R6KQB")</f>
        <v>https://xhslink.com/m/82CqY0R6KQB</v>
      </c>
      <c r="D3524"/>
      <c r="E3524">
        <v>2256</v>
      </c>
      <c r="F3524">
        <v>59.9</v>
      </c>
      <c r="G3524"/>
      <c r="H3524">
        <v>100</v>
      </c>
      <c r="I3524" t="inlineStr">
        <is>
          <t>登山</t>
        </is>
      </c>
      <c r="J3524" t="inlineStr">
        <is>
          <t>0.04</t>
        </is>
      </c>
      <c r="K3524"/>
      <c r="L3524" t="inlineStr">
        <is>
          <t>哈克汉贝旗舰店</t>
        </is>
      </c>
      <c r="M3524">
        <v>853</v>
      </c>
      <c r="N3524">
        <v>4.39</v>
      </c>
      <c r="O3524">
        <v>13000</v>
      </c>
      <c r="P3524" t="inlineStr">
        <is>
          <t>68c382266d08080015d7c2f7</t>
        </is>
      </c>
      <c r="Q3524"/>
      <c r="R3524" t="inlineStr">
        <is>
          <t>14周</t>
        </is>
      </c>
      <c r="S3524" t="inlineStr">
        <is>
          <t>2.64</t>
        </is>
      </c>
      <c r="T3524" t="inlineStr">
        <is>
          <t>服饰穿搭</t>
        </is>
      </c>
      <c r="U3524" t="inlineStr">
        <is>
          <t>女装</t>
        </is>
      </c>
      <c r="V3524" s="3">
        <v>46112.78107638889</v>
      </c>
      <c r="W3524" t="inlineStr">
        <is>
          <t>2026-Q1</t>
        </is>
      </c>
    </row>
    <row r="3525" ht="25.5" customHeight="1">
      <c r="A3525" t="inlineStr">
        <is>
          <t>冰皮凉感防晒衣薄款夏季户外防紫外线山系徒步连帽外套透气皮肤衣</t>
        </is>
      </c>
      <c r="B3525" t="inlineStr">
        <is>
          <t>recvfqmLqZ8bYJ.jpg</t>
        </is>
      </c>
      <c r="C3525" s="2" t="str">
        <f>=HYPERLINK("https://xhslink.com/m/7tfN8hu0fUr", "https://xhslink.com/m/7tfN8hu0fUr")</f>
        <v>https://xhslink.com/m/7tfN8hu0fUr</v>
      </c>
      <c r="D3525"/>
      <c r="E3525">
        <v>54000</v>
      </c>
      <c r="F3525">
        <v>169</v>
      </c>
      <c r="G3525">
        <v>89</v>
      </c>
      <c r="H3525">
        <v>100</v>
      </c>
      <c r="I3525" t="inlineStr">
        <is>
          <t>登山</t>
        </is>
      </c>
      <c r="J3525" t="inlineStr">
        <is>
          <t>0.00</t>
        </is>
      </c>
      <c r="K3525"/>
      <c r="L3525" t="inlineStr">
        <is>
          <t>果果studio的店</t>
        </is>
      </c>
      <c r="M3525">
        <v>24000</v>
      </c>
      <c r="N3525">
        <v>4.69</v>
      </c>
      <c r="O3525">
        <v>173000</v>
      </c>
      <c r="P3525" t="inlineStr">
        <is>
          <t>662b793d7b1b0c000130422f</t>
        </is>
      </c>
      <c r="Q3525" t="inlineStr">
        <is>
          <t>🚫重复</t>
        </is>
      </c>
      <c r="R3525" t="inlineStr">
        <is>
          <t>14周</t>
        </is>
      </c>
      <c r="S3525" t="inlineStr">
        <is>
          <t>2.25</t>
        </is>
      </c>
      <c r="T3525" t="inlineStr">
        <is>
          <t>服饰穿搭</t>
        </is>
      </c>
      <c r="U3525" t="inlineStr">
        <is>
          <t>女装</t>
        </is>
      </c>
      <c r="V3525" s="3">
        <v>46112.78107638889</v>
      </c>
      <c r="W3525" t="inlineStr">
        <is>
          <t>2026-Q1</t>
        </is>
      </c>
    </row>
    <row r="3526" ht="25.5" customHeight="1">
      <c r="A3526" t="inlineStr">
        <is>
          <t>一裤两穿 春秋冬情侣款户外机能登山徒步工装多口袋束脚休闲长裤</t>
        </is>
      </c>
      <c r="B3526" t="inlineStr">
        <is>
          <t>recvfqmLqZIogR.jpg</t>
        </is>
      </c>
      <c r="C3526" s="2" t="str">
        <f>=HYPERLINK("https://xhslink.com/m/76a5sQOIAWk", "https://xhslink.com/m/76a5sQOIAWk")</f>
        <v>https://xhslink.com/m/76a5sQOIAWk</v>
      </c>
      <c r="D3526"/>
      <c r="E3526">
        <v>31000</v>
      </c>
      <c r="F3526">
        <v>69</v>
      </c>
      <c r="G3526"/>
      <c r="H3526">
        <v>100</v>
      </c>
      <c r="I3526" t="inlineStr">
        <is>
          <t>登山</t>
        </is>
      </c>
      <c r="J3526" t="inlineStr">
        <is>
          <t>0.00</t>
        </is>
      </c>
      <c r="K3526" t="inlineStr">
        <is>
          <t>🔥低粉爆款</t>
        </is>
      </c>
      <c r="L3526" t="inlineStr">
        <is>
          <t>七七户外穿搭的店</t>
        </is>
      </c>
      <c r="M3526">
        <v>9648</v>
      </c>
      <c r="N3526">
        <v>4.44</v>
      </c>
      <c r="O3526">
        <v>37000</v>
      </c>
      <c r="P3526" t="inlineStr">
        <is>
          <t>67aa014d20e47e0015e5fd67</t>
        </is>
      </c>
      <c r="Q3526" t="inlineStr">
        <is>
          <t>🚫重复</t>
        </is>
      </c>
      <c r="R3526" t="inlineStr">
        <is>
          <t>14周</t>
        </is>
      </c>
      <c r="S3526" t="inlineStr">
        <is>
          <t>3.21</t>
        </is>
      </c>
      <c r="T3526" t="inlineStr">
        <is>
          <t>服饰穿搭</t>
        </is>
      </c>
      <c r="U3526" t="inlineStr">
        <is>
          <t>女装</t>
        </is>
      </c>
      <c r="V3526" s="3">
        <v>46112.78107638889</v>
      </c>
      <c r="W3526" t="inlineStr">
        <is>
          <t>2026-Q1</t>
        </is>
      </c>
    </row>
    <row r="3527" ht="25.5" customHeight="1">
      <c r="A3527" t="inlineStr">
        <is>
          <t>蕉下客jiaoxiake · 【新品 短款版】户外三合一冲锋外套小个子秋冬防泼水登山</t>
        </is>
      </c>
      <c r="B3527" t="inlineStr">
        <is>
          <t>recvfqmLqZnYRr.jpg</t>
        </is>
      </c>
      <c r="C3527" s="2" t="str">
        <f>=HYPERLINK("https://xhslink.com/m/xGtaHE2bET", "https://xhslink.com/m/xGtaHE2bET")</f>
        <v>https://xhslink.com/m/xGtaHE2bET</v>
      </c>
      <c r="D3527"/>
      <c r="E3527">
        <v>36000</v>
      </c>
      <c r="F3527">
        <v>299</v>
      </c>
      <c r="G3527">
        <v>99</v>
      </c>
      <c r="H3527">
        <v>100</v>
      </c>
      <c r="I3527" t="inlineStr">
        <is>
          <t>登山</t>
        </is>
      </c>
      <c r="J3527" t="inlineStr">
        <is>
          <t>0.00</t>
        </is>
      </c>
      <c r="K3527"/>
      <c r="L3527" t="inlineStr">
        <is>
          <t>蕉下客jiaoxiake服饰旗舰店</t>
        </is>
      </c>
      <c r="M3527">
        <v>109000</v>
      </c>
      <c r="N3527">
        <v>4.45</v>
      </c>
      <c r="O3527">
        <v>113000</v>
      </c>
      <c r="P3527" t="inlineStr">
        <is>
          <t>68b46eef89b748001564f81e</t>
        </is>
      </c>
      <c r="Q3527"/>
      <c r="R3527" t="inlineStr">
        <is>
          <t>14周</t>
        </is>
      </c>
      <c r="S3527" t="inlineStr">
        <is>
          <t>0.33</t>
        </is>
      </c>
      <c r="T3527" t="inlineStr">
        <is>
          <t>服饰穿搭</t>
        </is>
      </c>
      <c r="U3527" t="inlineStr">
        <is>
          <t>女装</t>
        </is>
      </c>
      <c r="V3527" s="3">
        <v>46112.78107638889</v>
      </c>
      <c r="W3527" t="inlineStr">
        <is>
          <t>2026-Q1</t>
        </is>
      </c>
    </row>
    <row r="3528" ht="25.5" customHeight="1">
      <c r="A3528" t="inlineStr">
        <is>
          <t>HEMADANDUN · 山系三防三合一冲锋衣外套男女连帽夹克户外旅游登山冲锋衣</t>
        </is>
      </c>
      <c r="B3528" t="inlineStr">
        <is>
          <t>recvfqmLqZYADw.jpg</t>
        </is>
      </c>
      <c r="C3528" s="2" t="str">
        <f>=HYPERLINK("https://xhslink.com/m/4RoSVSFp05T", "https://xhslink.com/m/4RoSVSFp05T")</f>
        <v>https://xhslink.com/m/4RoSVSFp05T</v>
      </c>
      <c r="D3528"/>
      <c r="E3528">
        <v>17000</v>
      </c>
      <c r="F3528">
        <v>189</v>
      </c>
      <c r="G3528">
        <v>129</v>
      </c>
      <c r="H3528">
        <v>100</v>
      </c>
      <c r="I3528" t="inlineStr">
        <is>
          <t>登山</t>
        </is>
      </c>
      <c r="J3528" t="inlineStr">
        <is>
          <t>0.01</t>
        </is>
      </c>
      <c r="K3528" t="inlineStr">
        <is>
          <t>🔥低粉爆款</t>
        </is>
      </c>
      <c r="L3528" t="inlineStr">
        <is>
          <t>三喜白GNOCCHI的店</t>
        </is>
      </c>
      <c r="M3528">
        <v>1861</v>
      </c>
      <c r="N3528">
        <v>4.54</v>
      </c>
      <c r="O3528">
        <v>24000</v>
      </c>
      <c r="P3528" t="inlineStr">
        <is>
          <t>6892b2b78fe34700012ee04f</t>
        </is>
      </c>
      <c r="Q3528" t="inlineStr">
        <is>
          <t>🚫重复</t>
        </is>
      </c>
      <c r="R3528" t="inlineStr">
        <is>
          <t>14周</t>
        </is>
      </c>
      <c r="S3528" t="inlineStr">
        <is>
          <t>9.13</t>
        </is>
      </c>
      <c r="T3528" t="inlineStr">
        <is>
          <t>服饰穿搭</t>
        </is>
      </c>
      <c r="U3528" t="inlineStr">
        <is>
          <t>女装</t>
        </is>
      </c>
      <c r="V3528" s="3">
        <v>46112.78107638889</v>
      </c>
      <c r="W3528" t="inlineStr">
        <is>
          <t>2026-Q1</t>
        </is>
      </c>
    </row>
    <row r="3529" ht="25.5" customHeight="1">
      <c r="A3529" t="inlineStr">
        <is>
          <t>|山系穿搭！夏日男女徒步登山运动透气多巴胺时尚百搭短裤2513</t>
        </is>
      </c>
      <c r="B3529" t="inlineStr">
        <is>
          <t>recvfqmLqZjlHG.jpg</t>
        </is>
      </c>
      <c r="C3529" s="2" t="str">
        <f>=HYPERLINK("https://xhslink.com/m/7xFuR3eDWkx", "https://xhslink.com/m/7xFuR3eDWkx")</f>
        <v>https://xhslink.com/m/7xFuR3eDWkx</v>
      </c>
      <c r="D3529"/>
      <c r="E3529">
        <v>20000</v>
      </c>
      <c r="F3529">
        <v>59</v>
      </c>
      <c r="G3529"/>
      <c r="H3529">
        <v>100</v>
      </c>
      <c r="I3529" t="inlineStr">
        <is>
          <t>登山</t>
        </is>
      </c>
      <c r="J3529" t="inlineStr">
        <is>
          <t>0.01</t>
        </is>
      </c>
      <c r="K3529"/>
      <c r="L3529" t="inlineStr">
        <is>
          <t>XYJ STUDIO的店</t>
        </is>
      </c>
      <c r="M3529">
        <v>17000</v>
      </c>
      <c r="N3529">
        <v>4.44</v>
      </c>
      <c r="O3529">
        <v>153000</v>
      </c>
      <c r="P3529" t="inlineStr">
        <is>
          <t>68061e64974306000174e7c6</t>
        </is>
      </c>
      <c r="Q3529" t="inlineStr">
        <is>
          <t>🚫重复</t>
        </is>
      </c>
      <c r="R3529" t="inlineStr">
        <is>
          <t>14周</t>
        </is>
      </c>
      <c r="S3529" t="inlineStr">
        <is>
          <t>1.18</t>
        </is>
      </c>
      <c r="T3529" t="inlineStr">
        <is>
          <t>服饰穿搭</t>
        </is>
      </c>
      <c r="U3529" t="inlineStr">
        <is>
          <t>女装</t>
        </is>
      </c>
      <c r="V3529" s="3">
        <v>46112.78107638889</v>
      </c>
      <c r="W3529" t="inlineStr">
        <is>
          <t>2026-Q1</t>
        </is>
      </c>
    </row>
    <row r="3530" ht="25.5" customHeight="1">
      <c r="A3530" t="inlineStr">
        <is>
          <t>TOPSTAR · 【春上新】儿童帆布鞋女童小白鞋男童幼儿园室内鞋宝宝软底鞋7026</t>
        </is>
      </c>
      <c r="B3530" t="inlineStr">
        <is>
          <t>recvfqmLqZUyTG.jpg</t>
        </is>
      </c>
      <c r="C3530" s="2" t="str">
        <f>=HYPERLINK("https://xhslink.com/m/4FTsMuefuRA", "https://xhslink.com/m/4FTsMuefuRA")</f>
        <v>https://xhslink.com/m/4FTsMuefuRA</v>
      </c>
      <c r="D3530"/>
      <c r="E3530">
        <v>353</v>
      </c>
      <c r="F3530">
        <v>129</v>
      </c>
      <c r="G3530">
        <v>99</v>
      </c>
      <c r="H3530">
        <v>100</v>
      </c>
      <c r="I3530" t="inlineStr">
        <is>
          <t>童鞋</t>
        </is>
      </c>
      <c r="J3530" t="inlineStr">
        <is>
          <t>0.28</t>
        </is>
      </c>
      <c r="K3530"/>
      <c r="L3530" t="inlineStr">
        <is>
          <t>TOPSTAR童鞋旗舰店</t>
        </is>
      </c>
      <c r="M3530">
        <v>29000</v>
      </c>
      <c r="N3530">
        <v>4.49</v>
      </c>
      <c r="O3530">
        <v>68000</v>
      </c>
      <c r="P3530" t="inlineStr">
        <is>
          <t>69785f4fb95d2800158cf419</t>
        </is>
      </c>
      <c r="Q3530"/>
      <c r="R3530" t="inlineStr">
        <is>
          <t>14周</t>
        </is>
      </c>
      <c r="S3530" t="inlineStr">
        <is>
          <t>0.01</t>
        </is>
      </c>
      <c r="T3530" t="inlineStr">
        <is>
          <t>母婴亲子</t>
        </is>
      </c>
      <c r="U3530" t="inlineStr">
        <is>
          <t>童装童鞋</t>
        </is>
      </c>
      <c r="V3530" s="3">
        <v>46112.78107638889</v>
      </c>
      <c r="W3530" t="inlineStr">
        <is>
          <t>2026-Q1</t>
        </is>
      </c>
    </row>
    <row r="3531" ht="25.5" customHeight="1">
      <c r="A3531" t="inlineStr">
        <is>
          <t>美味球球母鸡系列圆滚滚可爱鸡可以当球踢的毛绒玩具抽象搞怪萌物</t>
        </is>
      </c>
      <c r="B3531" t="inlineStr">
        <is>
          <t>recvfqmLqZIhEN.jpg</t>
        </is>
      </c>
      <c r="C3531" s="2" t="str">
        <f>=HYPERLINK("https://xhslink.com/m/8p37BAnHTru", "https://xhslink.com/m/8p37BAnHTru")</f>
        <v>https://xhslink.com/m/8p37BAnHTru</v>
      </c>
      <c r="D3531"/>
      <c r="E3531">
        <v>10000</v>
      </c>
      <c r="F3531">
        <v>40</v>
      </c>
      <c r="G3531">
        <v>32.8</v>
      </c>
      <c r="H3531">
        <v>100</v>
      </c>
      <c r="I3531" t="inlineStr">
        <is>
          <t>毛绒玩偶</t>
        </is>
      </c>
      <c r="J3531" t="inlineStr">
        <is>
          <t>0.01</t>
        </is>
      </c>
      <c r="K3531" t="inlineStr">
        <is>
          <t>🔥低粉爆款</t>
        </is>
      </c>
      <c r="L3531" t="inlineStr">
        <is>
          <t>困困鱼毛绒小屋的店</t>
        </is>
      </c>
      <c r="M3531">
        <v>2472</v>
      </c>
      <c r="N3531">
        <v>4.5</v>
      </c>
      <c r="O3531">
        <v>16000</v>
      </c>
      <c r="P3531" t="inlineStr">
        <is>
          <t>69255b32b644e40001700dde</t>
        </is>
      </c>
      <c r="Q3531" t="inlineStr">
        <is>
          <t>🚫重复</t>
        </is>
      </c>
      <c r="R3531" t="inlineStr">
        <is>
          <t>14周</t>
        </is>
      </c>
      <c r="S3531" t="inlineStr">
        <is>
          <t>4.05</t>
        </is>
      </c>
      <c r="T3531" t="inlineStr">
        <is>
          <t>母婴亲子</t>
        </is>
      </c>
      <c r="U3531" t="inlineStr">
        <is>
          <t>玩具早教</t>
        </is>
      </c>
      <c r="V3531" s="3">
        <v>46112.78107638889</v>
      </c>
      <c r="W3531" t="inlineStr">
        <is>
          <t>2026-Q1</t>
        </is>
      </c>
    </row>
    <row r="3532" ht="25.5" customHeight="1">
      <c r="A3532" t="inlineStr">
        <is>
          <t>前1w单特价.yukio丑娃娃富士山三日橘许愿星美人鱼四叶草挂件玩偶</t>
        </is>
      </c>
      <c r="B3532" t="inlineStr">
        <is>
          <t>recvfqmLqZMK6P.jpg</t>
        </is>
      </c>
      <c r="C3532" s="2" t="str">
        <f>=HYPERLINK("https://xhslink.com/m/4w0tOz5SyTo", "https://xhslink.com/m/4w0tOz5SyTo")</f>
        <v>https://xhslink.com/m/4w0tOz5SyTo</v>
      </c>
      <c r="D3532"/>
      <c r="E3532">
        <v>3884</v>
      </c>
      <c r="F3532">
        <v>39</v>
      </c>
      <c r="G3532">
        <v>24.8</v>
      </c>
      <c r="H3532">
        <v>100</v>
      </c>
      <c r="I3532" t="inlineStr">
        <is>
          <t>毛绒玩偶</t>
        </is>
      </c>
      <c r="J3532" t="inlineStr">
        <is>
          <t>0.03</t>
        </is>
      </c>
      <c r="K3532" t="inlineStr">
        <is>
          <t>🔥低粉爆款</t>
        </is>
      </c>
      <c r="L3532" t="inlineStr">
        <is>
          <t>万物皆可盼的店</t>
        </is>
      </c>
      <c r="M3532">
        <v>70</v>
      </c>
      <c r="N3532">
        <v>4.69</v>
      </c>
      <c r="O3532">
        <v>5764</v>
      </c>
      <c r="P3532" t="inlineStr">
        <is>
          <t>696b7f1497279300015f51e5</t>
        </is>
      </c>
      <c r="Q3532" t="inlineStr">
        <is>
          <t>🚫重复</t>
        </is>
      </c>
      <c r="R3532" t="inlineStr">
        <is>
          <t>14周</t>
        </is>
      </c>
      <c r="S3532" t="inlineStr">
        <is>
          <t>55.49</t>
        </is>
      </c>
      <c r="T3532" t="inlineStr">
        <is>
          <t>母婴亲子</t>
        </is>
      </c>
      <c r="U3532" t="inlineStr">
        <is>
          <t>玩具早教</t>
        </is>
      </c>
      <c r="V3532" s="3">
        <v>46112.78107638889</v>
      </c>
      <c r="W3532" t="inlineStr">
        <is>
          <t>2026-Q1</t>
        </is>
      </c>
    </row>
    <row r="3533" ht="25.5" customHeight="1">
      <c r="A3533" t="inlineStr">
        <is>
          <t>【Haileykittyy】正版授权 玫瑰Melody礼盒</t>
        </is>
      </c>
      <c r="B3533" t="inlineStr">
        <is>
          <t>recvfqmLqZel9w.jpg</t>
        </is>
      </c>
      <c r="C3533" s="2" t="str">
        <f>=HYPERLINK("https://xhslink.com/m/3JvjzLkADdr", "https://xhslink.com/m/3JvjzLkADdr")</f>
        <v>https://xhslink.com/m/3JvjzLkADdr</v>
      </c>
      <c r="D3533"/>
      <c r="E3533">
        <v>2747</v>
      </c>
      <c r="F3533">
        <v>42.99</v>
      </c>
      <c r="G3533">
        <v>40.99</v>
      </c>
      <c r="H3533">
        <v>100</v>
      </c>
      <c r="I3533" t="inlineStr">
        <is>
          <t>毛绒玩偶</t>
        </is>
      </c>
      <c r="J3533" t="inlineStr">
        <is>
          <t>0.04</t>
        </is>
      </c>
      <c r="K3533"/>
      <c r="L3533" t="inlineStr">
        <is>
          <t>Haileykittyy的店</t>
        </is>
      </c>
      <c r="M3533">
        <v>6952</v>
      </c>
      <c r="N3533">
        <v>4.53</v>
      </c>
      <c r="O3533">
        <v>17000</v>
      </c>
      <c r="P3533" t="inlineStr">
        <is>
          <t>691203f13b8fe8000105fafb</t>
        </is>
      </c>
      <c r="Q3533"/>
      <c r="R3533" t="inlineStr">
        <is>
          <t>14周</t>
        </is>
      </c>
      <c r="S3533" t="inlineStr">
        <is>
          <t>0.40</t>
        </is>
      </c>
      <c r="T3533" t="inlineStr">
        <is>
          <t>母婴亲子</t>
        </is>
      </c>
      <c r="U3533" t="inlineStr">
        <is>
          <t>玩具早教</t>
        </is>
      </c>
      <c r="V3533" s="3">
        <v>46112.78107638889</v>
      </c>
      <c r="W3533" t="inlineStr">
        <is>
          <t>2026-Q1</t>
        </is>
      </c>
    </row>
    <row r="3534" ht="25.5" customHeight="1">
      <c r="A3534" t="inlineStr">
        <is>
          <t>【下单四天内发】打工兽原创设计13cm社畜熊 可爱挂件玩偶礼物</t>
        </is>
      </c>
      <c r="B3534" t="inlineStr">
        <is>
          <t>recvfqmLqZmJXJ.jpg</t>
        </is>
      </c>
      <c r="C3534" s="2" t="str">
        <f>=HYPERLINK("https://xhslink.com/m/2jPjr6qLGsf", "https://xhslink.com/m/2jPjr6qLGsf")</f>
        <v>https://xhslink.com/m/2jPjr6qLGsf</v>
      </c>
      <c r="D3534"/>
      <c r="E3534">
        <v>6114</v>
      </c>
      <c r="F3534">
        <v>1.5</v>
      </c>
      <c r="G3534"/>
      <c r="H3534">
        <v>100</v>
      </c>
      <c r="I3534" t="inlineStr">
        <is>
          <t>毛绒玩偶</t>
        </is>
      </c>
      <c r="J3534" t="inlineStr">
        <is>
          <t>0.02</t>
        </is>
      </c>
      <c r="K3534"/>
      <c r="L3534" t="inlineStr">
        <is>
          <t>打工兽Work Fuzz的店</t>
        </is>
      </c>
      <c r="M3534">
        <v>6414</v>
      </c>
      <c r="N3534">
        <v>4.49</v>
      </c>
      <c r="O3534">
        <v>10000</v>
      </c>
      <c r="P3534" t="inlineStr">
        <is>
          <t>6939000aa1f92100016cf507</t>
        </is>
      </c>
      <c r="Q3534" t="inlineStr">
        <is>
          <t>🚫重复</t>
        </is>
      </c>
      <c r="R3534" t="inlineStr">
        <is>
          <t>14周</t>
        </is>
      </c>
      <c r="S3534" t="inlineStr">
        <is>
          <t>0.95</t>
        </is>
      </c>
      <c r="T3534" t="inlineStr">
        <is>
          <t>母婴亲子</t>
        </is>
      </c>
      <c r="U3534" t="inlineStr">
        <is>
          <t>玩具早教</t>
        </is>
      </c>
      <c r="V3534" s="3">
        <v>46112.78107638889</v>
      </c>
      <c r="W3534" t="inlineStr">
        <is>
          <t>2026-Q1</t>
        </is>
      </c>
    </row>
    <row r="3535" ht="25.5" customHeight="1">
      <c r="A3535" t="inlineStr">
        <is>
          <t>【角落生物合集】角落生物毛绒玩具挂件</t>
        </is>
      </c>
      <c r="B3535" t="inlineStr">
        <is>
          <t>recvfqmLqZd2Vh.jpg</t>
        </is>
      </c>
      <c r="C3535" s="2" t="str">
        <f>=HYPERLINK("https://xhslink.com/m/7kjy6KUc2PY", "https://xhslink.com/m/7kjy6KUc2PY")</f>
        <v>https://xhslink.com/m/7kjy6KUc2PY</v>
      </c>
      <c r="D3535"/>
      <c r="E3535">
        <v>2013</v>
      </c>
      <c r="F3535">
        <v>20.9</v>
      </c>
      <c r="G3535"/>
      <c r="H3535">
        <v>100</v>
      </c>
      <c r="I3535" t="inlineStr">
        <is>
          <t>毛绒玩偶</t>
        </is>
      </c>
      <c r="J3535" t="inlineStr">
        <is>
          <t>0.05</t>
        </is>
      </c>
      <c r="K3535"/>
      <c r="L3535" t="inlineStr">
        <is>
          <t>小蘑菇の毛绒商店的店</t>
        </is>
      </c>
      <c r="M3535">
        <v>23000</v>
      </c>
      <c r="N3535">
        <v>4.44</v>
      </c>
      <c r="O3535">
        <v>11000</v>
      </c>
      <c r="P3535" t="inlineStr">
        <is>
          <t>69b1891e5e5f050001c7059d</t>
        </is>
      </c>
      <c r="Q3535"/>
      <c r="R3535" t="inlineStr">
        <is>
          <t>14周</t>
        </is>
      </c>
      <c r="S3535" t="inlineStr">
        <is>
          <t>0.09</t>
        </is>
      </c>
      <c r="T3535" t="inlineStr">
        <is>
          <t>母婴亲子</t>
        </is>
      </c>
      <c r="U3535" t="inlineStr">
        <is>
          <t>玩具早教</t>
        </is>
      </c>
      <c r="V3535" s="3">
        <v>46112.78107638889</v>
      </c>
      <c r="W3535" t="inlineStr">
        <is>
          <t>2026-Q1</t>
        </is>
      </c>
    </row>
    <row r="3536" ht="25.5" customHeight="1">
      <c r="A3536" t="inlineStr">
        <is>
          <t>CHICAURA · 甜品乐园薄荷绿兔鼠熊粉色毛绒挂件玩偶娃礼物厨师小动物钥匙扣</t>
        </is>
      </c>
      <c r="B3536" t="inlineStr">
        <is>
          <t>recvfqmLqZ5i2v.jpg</t>
        </is>
      </c>
      <c r="C3536" s="2" t="str">
        <f>=HYPERLINK("https://xhslink.com/m/3XHdrbMLZLJ", "https://xhslink.com/m/3XHdrbMLZLJ")</f>
        <v>https://xhslink.com/m/3XHdrbMLZLJ</v>
      </c>
      <c r="D3536"/>
      <c r="E3536">
        <v>1503</v>
      </c>
      <c r="F3536">
        <v>39.9</v>
      </c>
      <c r="G3536"/>
      <c r="H3536">
        <v>100</v>
      </c>
      <c r="I3536" t="inlineStr">
        <is>
          <t>毛绒玩偶</t>
        </is>
      </c>
      <c r="J3536" t="inlineStr">
        <is>
          <t>0.07</t>
        </is>
      </c>
      <c r="K3536"/>
      <c r="L3536" t="inlineStr">
        <is>
          <t>CHICAURA气哭啦的店</t>
        </is>
      </c>
      <c r="M3536">
        <v>26000</v>
      </c>
      <c r="N3536">
        <v>4.62</v>
      </c>
      <c r="O3536">
        <v>42000</v>
      </c>
      <c r="P3536" t="inlineStr">
        <is>
          <t>68f23e53e53c100015d66ffb</t>
        </is>
      </c>
      <c r="Q3536"/>
      <c r="R3536" t="inlineStr">
        <is>
          <t>14周</t>
        </is>
      </c>
      <c r="S3536" t="inlineStr">
        <is>
          <t>0.06</t>
        </is>
      </c>
      <c r="T3536" t="inlineStr">
        <is>
          <t>母婴亲子</t>
        </is>
      </c>
      <c r="U3536" t="inlineStr">
        <is>
          <t>玩具早教</t>
        </is>
      </c>
      <c r="V3536" s="3">
        <v>46112.78107638889</v>
      </c>
      <c r="W3536" t="inlineStr">
        <is>
          <t>2026-Q1</t>
        </is>
      </c>
    </row>
    <row r="3537" ht="25.5" customHeight="1">
      <c r="A3537" t="inlineStr">
        <is>
          <t>三丽鸥 · 合集【正版授权】Kitty可爱包包挂件正版带防伪码</t>
        </is>
      </c>
      <c r="B3537" t="inlineStr">
        <is>
          <t>recvfqmLqZDXB7.jpg</t>
        </is>
      </c>
      <c r="C3537" s="2" t="str">
        <f>=HYPERLINK("https://xhslink.com/m/22dBR5R7fP5", "https://xhslink.com/m/22dBR5R7fP5")</f>
        <v>https://xhslink.com/m/22dBR5R7fP5</v>
      </c>
      <c r="D3537"/>
      <c r="E3537">
        <v>5002</v>
      </c>
      <c r="F3537">
        <v>9.9</v>
      </c>
      <c r="G3537"/>
      <c r="H3537">
        <v>100</v>
      </c>
      <c r="I3537" t="inlineStr">
        <is>
          <t>小物件</t>
        </is>
      </c>
      <c r="J3537" t="inlineStr">
        <is>
          <t>0.02</t>
        </is>
      </c>
      <c r="K3537"/>
      <c r="L3537" t="inlineStr">
        <is>
          <t>咖啡味的夹子的店</t>
        </is>
      </c>
      <c r="M3537">
        <v>25000</v>
      </c>
      <c r="N3537">
        <v>4.6</v>
      </c>
      <c r="O3537">
        <v>40000</v>
      </c>
      <c r="P3537" t="inlineStr">
        <is>
          <t>69552c3a08cd900001774147</t>
        </is>
      </c>
      <c r="Q3537" t="inlineStr">
        <is>
          <t>🚫重复</t>
        </is>
      </c>
      <c r="R3537" t="inlineStr">
        <is>
          <t>14周</t>
        </is>
      </c>
      <c r="S3537" t="inlineStr">
        <is>
          <t>0.20</t>
        </is>
      </c>
      <c r="T3537" t="inlineStr">
        <is>
          <t>服饰穿搭</t>
        </is>
      </c>
      <c r="U3537" t="inlineStr">
        <is>
          <t>鞋靴箱包</t>
        </is>
      </c>
      <c r="V3537" s="3">
        <v>46112.78107638889</v>
      </c>
      <c r="W3537" t="inlineStr">
        <is>
          <t>2026-Q1</t>
        </is>
      </c>
    </row>
    <row r="3538" ht="25.5" customHeight="1">
      <c r="A3538" t="inlineStr">
        <is>
          <t>正版森之物猫猫小陪伴日常盲盒/摆件/礼物推荐/女生礼物</t>
        </is>
      </c>
      <c r="B3538" t="inlineStr">
        <is>
          <t>recvfqmLqZnUeC.jpg</t>
        </is>
      </c>
      <c r="C3538" s="2" t="str">
        <f>=HYPERLINK("https://xhslink.com/m/1y7DuSmfklu", "https://xhslink.com/m/1y7DuSmfklu")</f>
        <v>https://xhslink.com/m/1y7DuSmfklu</v>
      </c>
      <c r="D3538"/>
      <c r="E3538">
        <v>6330</v>
      </c>
      <c r="F3538">
        <v>20.9</v>
      </c>
      <c r="G3538">
        <v>12.9</v>
      </c>
      <c r="H3538">
        <v>100</v>
      </c>
      <c r="I3538" t="inlineStr">
        <is>
          <t>小物件</t>
        </is>
      </c>
      <c r="J3538" t="inlineStr">
        <is>
          <t>0.02</t>
        </is>
      </c>
      <c r="K3538" t="inlineStr">
        <is>
          <t>🔥低粉爆款</t>
        </is>
      </c>
      <c r="L3538" t="inlineStr">
        <is>
          <t>一大口小猫咪🐈的店</t>
        </is>
      </c>
      <c r="M3538">
        <v>1172</v>
      </c>
      <c r="N3538">
        <v>4.62</v>
      </c>
      <c r="O3538">
        <v>15000</v>
      </c>
      <c r="P3538" t="inlineStr">
        <is>
          <t>692e4eefeb0d800001ef5477</t>
        </is>
      </c>
      <c r="Q3538" t="inlineStr">
        <is>
          <t>🚫重复</t>
        </is>
      </c>
      <c r="R3538" t="inlineStr">
        <is>
          <t>14周</t>
        </is>
      </c>
      <c r="S3538" t="inlineStr">
        <is>
          <t>5.40</t>
        </is>
      </c>
      <c r="T3538" t="inlineStr">
        <is>
          <t>家居生活</t>
        </is>
      </c>
      <c r="U3538" t="inlineStr">
        <is>
          <t>家具家装</t>
        </is>
      </c>
      <c r="V3538" s="3">
        <v>46112.78107638889</v>
      </c>
      <c r="W3538" t="inlineStr">
        <is>
          <t>2026-Q1</t>
        </is>
      </c>
    </row>
    <row r="3539" ht="25.5" customHeight="1">
      <c r="A3539" t="inlineStr">
        <is>
          <t>创意水母半球造型幸运四叶草风格风铃摆件挂件挂饰风吹叮当响挂件</t>
        </is>
      </c>
      <c r="B3539" t="inlineStr">
        <is>
          <t>recvfqmLqZbn0b.jpg</t>
        </is>
      </c>
      <c r="C3539" s="2" t="str">
        <f>=HYPERLINK("https://xhslink.com/m/Yvsd4VzUg7", "https://xhslink.com/m/Yvsd4VzUg7")</f>
        <v>https://xhslink.com/m/Yvsd4VzUg7</v>
      </c>
      <c r="D3539"/>
      <c r="E3539">
        <v>1209</v>
      </c>
      <c r="F3539">
        <v>1.9</v>
      </c>
      <c r="G3539">
        <v>0.1</v>
      </c>
      <c r="H3539">
        <v>100</v>
      </c>
      <c r="I3539" t="inlineStr">
        <is>
          <t>小物件</t>
        </is>
      </c>
      <c r="J3539" t="inlineStr">
        <is>
          <t>0.08</t>
        </is>
      </c>
      <c r="K3539"/>
      <c r="L3539" t="inlineStr">
        <is>
          <t>时悦春语的店</t>
        </is>
      </c>
      <c r="M3539">
        <v>1379</v>
      </c>
      <c r="N3539">
        <v>4.13</v>
      </c>
      <c r="O3539">
        <v>9342</v>
      </c>
      <c r="P3539" t="inlineStr">
        <is>
          <t>6920921b3da23600158ee5a4</t>
        </is>
      </c>
      <c r="Q3539"/>
      <c r="R3539" t="inlineStr">
        <is>
          <t>14周</t>
        </is>
      </c>
      <c r="S3539" t="inlineStr">
        <is>
          <t>0.88</t>
        </is>
      </c>
      <c r="T3539" t="inlineStr">
        <is>
          <t>家居生活</t>
        </is>
      </c>
      <c r="U3539" t="inlineStr">
        <is>
          <t>家具家装</t>
        </is>
      </c>
      <c r="V3539" s="3">
        <v>46112.78107638889</v>
      </c>
      <c r="W3539" t="inlineStr">
        <is>
          <t>2026-Q1</t>
        </is>
      </c>
    </row>
    <row r="3540" ht="25.5" customHeight="1">
      <c r="A3540" t="inlineStr">
        <is>
          <t>【许愿光羽】可爱发光系列盲盒家居摆件工位装饰好友送礼</t>
        </is>
      </c>
      <c r="B3540" t="inlineStr">
        <is>
          <t>recvfqmLqZBOZ8.jpg</t>
        </is>
      </c>
      <c r="C3540" s="2" t="str">
        <f>=HYPERLINK("https://xhslink.com/m/9waj3q2ZoVG", "https://xhslink.com/m/9waj3q2ZoVG")</f>
        <v>https://xhslink.com/m/9waj3q2ZoVG</v>
      </c>
      <c r="D3540"/>
      <c r="E3540">
        <v>4457</v>
      </c>
      <c r="F3540">
        <v>20.8</v>
      </c>
      <c r="G3540">
        <v>16.8</v>
      </c>
      <c r="H3540">
        <v>100</v>
      </c>
      <c r="I3540" t="inlineStr">
        <is>
          <t>小物件</t>
        </is>
      </c>
      <c r="J3540" t="inlineStr">
        <is>
          <t>0.02</t>
        </is>
      </c>
      <c r="K3540"/>
      <c r="L3540" t="inlineStr">
        <is>
          <t>一心集Artistic Life的店</t>
        </is>
      </c>
      <c r="M3540">
        <v>6105</v>
      </c>
      <c r="N3540">
        <v>4.53</v>
      </c>
      <c r="O3540">
        <v>29000</v>
      </c>
      <c r="P3540" t="inlineStr">
        <is>
          <t>68d6bb8a3f37a90001e7071b</t>
        </is>
      </c>
      <c r="Q3540"/>
      <c r="R3540" t="inlineStr">
        <is>
          <t>14周</t>
        </is>
      </c>
      <c r="S3540" t="inlineStr">
        <is>
          <t>0.73</t>
        </is>
      </c>
      <c r="T3540" t="inlineStr">
        <is>
          <t>家居生活</t>
        </is>
      </c>
      <c r="U3540" t="inlineStr">
        <is>
          <t>家具家装</t>
        </is>
      </c>
      <c r="V3540" s="3">
        <v>46112.78107638889</v>
      </c>
      <c r="W3540" t="inlineStr">
        <is>
          <t>2026-Q1</t>
        </is>
      </c>
    </row>
    <row r="3541" ht="25.5" customHeight="1">
      <c r="A3541" t="inlineStr">
        <is>
          <t>正版森之物猫猫小陪伴日常盲盒/摆件/礼物推荐/女生礼物</t>
        </is>
      </c>
      <c r="B3541" t="inlineStr">
        <is>
          <t>recvfqmLqZRQHK.jpg</t>
        </is>
      </c>
      <c r="C3541" s="2" t="str">
        <f>=HYPERLINK("https://xhslink.com/m/3lbrriWkvhW", "https://xhslink.com/m/3lbrriWkvhW")</f>
        <v>https://xhslink.com/m/3lbrriWkvhW</v>
      </c>
      <c r="D3541"/>
      <c r="E3541">
        <v>6331</v>
      </c>
      <c r="F3541">
        <v>31</v>
      </c>
      <c r="G3541">
        <v>23</v>
      </c>
      <c r="H3541">
        <v>100</v>
      </c>
      <c r="I3541" t="inlineStr">
        <is>
          <t>盲盒</t>
        </is>
      </c>
      <c r="J3541" t="inlineStr">
        <is>
          <t>0.02</t>
        </is>
      </c>
      <c r="K3541" t="inlineStr">
        <is>
          <t>🔥低粉爆款</t>
        </is>
      </c>
      <c r="L3541" t="inlineStr">
        <is>
          <t>一大口小猫咪🐈的店</t>
        </is>
      </c>
      <c r="M3541">
        <v>1172</v>
      </c>
      <c r="N3541">
        <v>4.62</v>
      </c>
      <c r="O3541">
        <v>15000</v>
      </c>
      <c r="P3541" t="inlineStr">
        <is>
          <t>692eae8101312b0001b07d89</t>
        </is>
      </c>
      <c r="Q3541" t="inlineStr">
        <is>
          <t>🚫重复</t>
        </is>
      </c>
      <c r="R3541" t="inlineStr">
        <is>
          <t>14周</t>
        </is>
      </c>
      <c r="S3541" t="inlineStr">
        <is>
          <t>5.40</t>
        </is>
      </c>
      <c r="T3541" t="inlineStr">
        <is>
          <t>家居生活</t>
        </is>
      </c>
      <c r="U3541" t="inlineStr">
        <is>
          <t>家具家装</t>
        </is>
      </c>
      <c r="V3541" s="3">
        <v>46112.78107638889</v>
      </c>
      <c r="W3541" t="inlineStr">
        <is>
          <t>2026-Q1</t>
        </is>
      </c>
    </row>
    <row r="3542" ht="25.5" customHeight="1">
      <c r="A3542" t="inlineStr">
        <is>
          <t>KODAK · 现货预售柯达1987盲盒玩具相机Charmera钥匙扣ccd</t>
        </is>
      </c>
      <c r="B3542" t="inlineStr">
        <is>
          <t>recvfqmLqZeIU8.jpg</t>
        </is>
      </c>
      <c r="C3542" s="2" t="str">
        <f>=HYPERLINK("https://xhslink.com/m/10REyMwVwKt", "https://xhslink.com/m/10REyMwVwKt")</f>
        <v>https://xhslink.com/m/10REyMwVwKt</v>
      </c>
      <c r="D3542"/>
      <c r="E3542">
        <v>11000</v>
      </c>
      <c r="F3542">
        <v>420</v>
      </c>
      <c r="G3542">
        <v>258</v>
      </c>
      <c r="H3542">
        <v>100</v>
      </c>
      <c r="I3542" t="inlineStr">
        <is>
          <t>盲盒</t>
        </is>
      </c>
      <c r="J3542" t="inlineStr">
        <is>
          <t>0.01</t>
        </is>
      </c>
      <c r="K3542"/>
      <c r="L3542" t="inlineStr">
        <is>
          <t>胶片复兴事务所的店</t>
        </is>
      </c>
      <c r="M3542">
        <v>37000</v>
      </c>
      <c r="N3542">
        <v>4.74</v>
      </c>
      <c r="O3542">
        <v>38000</v>
      </c>
      <c r="P3542" t="inlineStr">
        <is>
          <t>68f7af50602b7c000179db18</t>
        </is>
      </c>
      <c r="Q3542"/>
      <c r="R3542" t="inlineStr">
        <is>
          <t>14周</t>
        </is>
      </c>
      <c r="S3542" t="inlineStr">
        <is>
          <t>0.30</t>
        </is>
      </c>
      <c r="T3542" t="inlineStr">
        <is>
          <t>母婴亲子</t>
        </is>
      </c>
      <c r="U3542" t="inlineStr">
        <is>
          <t>玩具早教</t>
        </is>
      </c>
      <c r="V3542" s="3">
        <v>46112.78107638889</v>
      </c>
      <c r="W3542" t="inlineStr">
        <is>
          <t>2026-Q1</t>
        </is>
      </c>
    </row>
    <row r="3543" ht="25.5" customHeight="1">
      <c r="A3543" t="inlineStr">
        <is>
          <t>古早可爱轻松熊冰淇淋甜筒挂件盲盒～默认出厂瑕疵</t>
        </is>
      </c>
      <c r="B3543" t="inlineStr">
        <is>
          <t>recvfqmLqZrjmg.jpg</t>
        </is>
      </c>
      <c r="C3543" s="2" t="str">
        <f>=HYPERLINK("https://xhslink.com/m/1mgMA5fSrF1", "https://xhslink.com/m/1mgMA5fSrF1")</f>
        <v>https://xhslink.com/m/1mgMA5fSrF1</v>
      </c>
      <c r="D3543"/>
      <c r="E3543">
        <v>2519</v>
      </c>
      <c r="F3543">
        <v>49.9</v>
      </c>
      <c r="G3543"/>
      <c r="H3543">
        <v>100</v>
      </c>
      <c r="I3543" t="inlineStr">
        <is>
          <t>盲盒</t>
        </is>
      </c>
      <c r="J3543" t="inlineStr">
        <is>
          <t>0.04</t>
        </is>
      </c>
      <c r="K3543"/>
      <c r="L3543" t="inlineStr">
        <is>
          <t>虾子杂物社的店</t>
        </is>
      </c>
      <c r="M3543">
        <v>5224</v>
      </c>
      <c r="N3543">
        <v>4.66</v>
      </c>
      <c r="O3543">
        <v>19000</v>
      </c>
      <c r="P3543" t="inlineStr">
        <is>
          <t>694ef130b249210001acc742</t>
        </is>
      </c>
      <c r="Q3543" t="inlineStr">
        <is>
          <t>🚫重复</t>
        </is>
      </c>
      <c r="R3543" t="inlineStr">
        <is>
          <t>14周</t>
        </is>
      </c>
      <c r="S3543" t="inlineStr">
        <is>
          <t>0.48</t>
        </is>
      </c>
      <c r="T3543" t="inlineStr">
        <is>
          <t>运动潮玩</t>
        </is>
      </c>
      <c r="U3543" t="inlineStr">
        <is>
          <t>潮玩手办</t>
        </is>
      </c>
      <c r="V3543" s="3">
        <v>46112.78107638889</v>
      </c>
      <c r="W3543" t="inlineStr">
        <is>
          <t>2026-Q1</t>
        </is>
      </c>
    </row>
    <row r="3544" ht="25.5" customHeight="1">
      <c r="A3544" t="inlineStr">
        <is>
          <t>故事的小黄花·韩系ins风手工编织包单肩包女雏菊海边度假休闲包</t>
        </is>
      </c>
      <c r="B3544" t="inlineStr">
        <is>
          <t>recvfqmLqZsXMg.jpg</t>
        </is>
      </c>
      <c r="C3544" s="2" t="str">
        <f>=HYPERLINK("https://xhslink.com/m/8sX2q2rkXLK", "https://xhslink.com/m/8sX2q2rkXLK")</f>
        <v>https://xhslink.com/m/8sX2q2rkXLK</v>
      </c>
      <c r="D3544"/>
      <c r="E3544">
        <v>829</v>
      </c>
      <c r="F3544">
        <v>108.8</v>
      </c>
      <c r="G3544"/>
      <c r="H3544">
        <v>100</v>
      </c>
      <c r="I3544" t="inlineStr">
        <is>
          <t>韩系包包</t>
        </is>
      </c>
      <c r="J3544" t="inlineStr">
        <is>
          <t>0.12</t>
        </is>
      </c>
      <c r="K3544"/>
      <c r="L3544" t="inlineStr">
        <is>
          <t>包幸运（每天直播版）的店</t>
        </is>
      </c>
      <c r="M3544">
        <v>30000</v>
      </c>
      <c r="N3544">
        <v>4.65</v>
      </c>
      <c r="O3544">
        <v>11000</v>
      </c>
      <c r="P3544" t="inlineStr">
        <is>
          <t>69af744a07adea0001d8a37f</t>
        </is>
      </c>
      <c r="Q3544" t="inlineStr">
        <is>
          <t>🚫重复</t>
        </is>
      </c>
      <c r="R3544" t="inlineStr">
        <is>
          <t>14周</t>
        </is>
      </c>
      <c r="S3544" t="inlineStr">
        <is>
          <t>0.03</t>
        </is>
      </c>
      <c r="T3544" t="inlineStr">
        <is>
          <t>服饰穿搭</t>
        </is>
      </c>
      <c r="U3544" t="inlineStr">
        <is>
          <t>鞋靴箱包</t>
        </is>
      </c>
      <c r="V3544" s="3">
        <v>46112.78107638889</v>
      </c>
      <c r="W3544" t="inlineStr">
        <is>
          <t>2026-Q1</t>
        </is>
      </c>
    </row>
    <row r="3545" ht="25.5" customHeight="1">
      <c r="A3545" t="inlineStr">
        <is>
          <t>韩系复古秋冬麂皮绒单肩包大容量通勤百搭慵懒风手提双面托特包包</t>
        </is>
      </c>
      <c r="B3545" t="inlineStr">
        <is>
          <t>recvfqmLqZiCTH.jpg</t>
        </is>
      </c>
      <c r="C3545" s="2" t="str">
        <f>=HYPERLINK("https://xhslink.com/m/8A9z1I8FzuL", "https://xhslink.com/m/8A9z1I8FzuL")</f>
        <v>https://xhslink.com/m/8A9z1I8FzuL</v>
      </c>
      <c r="D3545"/>
      <c r="E3545">
        <v>11000</v>
      </c>
      <c r="F3545">
        <v>52.9</v>
      </c>
      <c r="G3545">
        <v>23.9</v>
      </c>
      <c r="H3545">
        <v>100</v>
      </c>
      <c r="I3545" t="inlineStr">
        <is>
          <t>韩系包包</t>
        </is>
      </c>
      <c r="J3545" t="inlineStr">
        <is>
          <t>0.01</t>
        </is>
      </c>
      <c r="K3545"/>
      <c r="L3545" t="inlineStr">
        <is>
          <t>呆呆肉团儿的店</t>
        </is>
      </c>
      <c r="M3545">
        <v>10000</v>
      </c>
      <c r="N3545">
        <v>4.45</v>
      </c>
      <c r="O3545">
        <v>218000</v>
      </c>
      <c r="P3545" t="inlineStr">
        <is>
          <t>68fc50c5c074c500012abfc3</t>
        </is>
      </c>
      <c r="Q3545" t="inlineStr">
        <is>
          <t>🚫重复</t>
        </is>
      </c>
      <c r="R3545" t="inlineStr">
        <is>
          <t>14周</t>
        </is>
      </c>
      <c r="S3545" t="inlineStr">
        <is>
          <t>1.10</t>
        </is>
      </c>
      <c r="T3545" t="inlineStr">
        <is>
          <t>服饰穿搭</t>
        </is>
      </c>
      <c r="U3545" t="inlineStr">
        <is>
          <t>鞋靴箱包</t>
        </is>
      </c>
      <c r="V3545" s="3">
        <v>46112.78107638889</v>
      </c>
      <c r="W3545" t="inlineStr">
        <is>
          <t>2026-Q1</t>
        </is>
      </c>
    </row>
    <row r="3546" ht="25.5" customHeight="1">
      <c r="A3546" t="inlineStr">
        <is>
          <t>韩系16寸电脑上班通勤独立多隔层双肩背包出游大容量防水书包女包</t>
        </is>
      </c>
      <c r="B3546" t="inlineStr">
        <is>
          <t>recvfqmLqZMFzj.jpg</t>
        </is>
      </c>
      <c r="C3546" s="2" t="str">
        <f>=HYPERLINK("https://xhslink.com/m/1rQ271M38ji", "https://xhslink.com/m/1rQ271M38ji")</f>
        <v>https://xhslink.com/m/1rQ271M38ji</v>
      </c>
      <c r="D3546"/>
      <c r="E3546">
        <v>21000</v>
      </c>
      <c r="F3546">
        <v>99</v>
      </c>
      <c r="G3546">
        <v>79</v>
      </c>
      <c r="H3546">
        <v>100</v>
      </c>
      <c r="I3546" t="inlineStr">
        <is>
          <t>韩系包包</t>
        </is>
      </c>
      <c r="J3546" t="inlineStr">
        <is>
          <t>0.00</t>
        </is>
      </c>
      <c r="K3546"/>
      <c r="L3546" t="inlineStr">
        <is>
          <t>么么哒包哩的店</t>
        </is>
      </c>
      <c r="M3546">
        <v>171000</v>
      </c>
      <c r="N3546">
        <v>4.44</v>
      </c>
      <c r="O3546">
        <v>113000</v>
      </c>
      <c r="P3546" t="inlineStr">
        <is>
          <t>6763faa767b3ca0001362e11</t>
        </is>
      </c>
      <c r="Q3546" t="inlineStr">
        <is>
          <t>🚫重复</t>
        </is>
      </c>
      <c r="R3546" t="inlineStr">
        <is>
          <t>14周</t>
        </is>
      </c>
      <c r="S3546" t="inlineStr">
        <is>
          <t>0.12</t>
        </is>
      </c>
      <c r="T3546" t="inlineStr">
        <is>
          <t>服饰穿搭</t>
        </is>
      </c>
      <c r="U3546" t="inlineStr">
        <is>
          <t>鞋靴箱包</t>
        </is>
      </c>
      <c r="V3546" s="3">
        <v>46112.78107638889</v>
      </c>
      <c r="W3546" t="inlineStr">
        <is>
          <t>2026-Q1</t>
        </is>
      </c>
    </row>
    <row r="3547" ht="25.5" customHeight="1">
      <c r="A3547" t="inlineStr">
        <is>
          <t>韩国小众FANCYCLUB包雪允同款机车托特包追星微痛包单肩斜跨女包</t>
        </is>
      </c>
      <c r="B3547" t="inlineStr">
        <is>
          <t>recvfqmLqZfrT8.jpg</t>
        </is>
      </c>
      <c r="C3547" s="2" t="str">
        <f>=HYPERLINK("https://xhslink.com/m/2jXtLxlAfg2", "https://xhslink.com/m/2jXtLxlAfg2")</f>
        <v>https://xhslink.com/m/2jXtLxlAfg2</v>
      </c>
      <c r="D3547"/>
      <c r="E3547">
        <v>3735</v>
      </c>
      <c r="F3547">
        <v>169</v>
      </c>
      <c r="G3547">
        <v>139</v>
      </c>
      <c r="H3547">
        <v>100</v>
      </c>
      <c r="I3547" t="inlineStr">
        <is>
          <t>韩系包包</t>
        </is>
      </c>
      <c r="J3547" t="inlineStr">
        <is>
          <t>0.03</t>
        </is>
      </c>
      <c r="K3547"/>
      <c r="L3547" t="inlineStr">
        <is>
          <t>SeLin包好看的店</t>
        </is>
      </c>
      <c r="M3547">
        <v>3691</v>
      </c>
      <c r="N3547">
        <v>4.65</v>
      </c>
      <c r="O3547">
        <v>18000</v>
      </c>
      <c r="P3547" t="inlineStr">
        <is>
          <t>6928440301312b00016b2e2e</t>
        </is>
      </c>
      <c r="Q3547"/>
      <c r="R3547" t="inlineStr">
        <is>
          <t>14周</t>
        </is>
      </c>
      <c r="S3547" t="inlineStr">
        <is>
          <t>1.01</t>
        </is>
      </c>
      <c r="T3547" t="inlineStr">
        <is>
          <t>服饰穿搭</t>
        </is>
      </c>
      <c r="U3547" t="inlineStr">
        <is>
          <t>鞋靴箱包</t>
        </is>
      </c>
      <c r="V3547" s="3">
        <v>46112.78107638889</v>
      </c>
      <c r="W3547" t="inlineStr">
        <is>
          <t>2026-Q1</t>
        </is>
      </c>
    </row>
    <row r="3548" ht="25.5" customHeight="1">
      <c r="A3548" t="inlineStr">
        <is>
          <t>丹宁刺绣hobo包！！韩系牛仔复古托色包通勤上课百搭大容量新款</t>
        </is>
      </c>
      <c r="B3548" t="inlineStr">
        <is>
          <t>recvfqmLqZp6GC.jpg</t>
        </is>
      </c>
      <c r="C3548" s="2" t="str">
        <f>=HYPERLINK("https://xhslink.com/m/7lJCPUVa39R", "https://xhslink.com/m/7lJCPUVa39R")</f>
        <v>https://xhslink.com/m/7lJCPUVa39R</v>
      </c>
      <c r="D3548"/>
      <c r="E3548">
        <v>3338</v>
      </c>
      <c r="F3548">
        <v>66.9</v>
      </c>
      <c r="G3548">
        <v>58.87</v>
      </c>
      <c r="H3548">
        <v>100</v>
      </c>
      <c r="I3548" t="inlineStr">
        <is>
          <t>韩系包包</t>
        </is>
      </c>
      <c r="J3548" t="inlineStr">
        <is>
          <t>0.03</t>
        </is>
      </c>
      <c r="K3548"/>
      <c r="L3548" t="inlineStr">
        <is>
          <t>小司很哇塞（实拍版）的店</t>
        </is>
      </c>
      <c r="M3548">
        <v>47000</v>
      </c>
      <c r="N3548">
        <v>4.51</v>
      </c>
      <c r="O3548">
        <v>25000</v>
      </c>
      <c r="P3548" t="inlineStr">
        <is>
          <t>67dfb87c21ffb30001471158</t>
        </is>
      </c>
      <c r="Q3548"/>
      <c r="R3548" t="inlineStr">
        <is>
          <t>14周</t>
        </is>
      </c>
      <c r="S3548" t="inlineStr">
        <is>
          <t>0.07</t>
        </is>
      </c>
      <c r="T3548" t="inlineStr">
        <is>
          <t>服饰穿搭</t>
        </is>
      </c>
      <c r="U3548" t="inlineStr">
        <is>
          <t>鞋靴箱包</t>
        </is>
      </c>
      <c r="V3548" s="3">
        <v>46112.78107638889</v>
      </c>
      <c r="W3548" t="inlineStr">
        <is>
          <t>2026-Q1</t>
        </is>
      </c>
    </row>
    <row r="3549" ht="25.5" customHeight="1">
      <c r="A3549" t="inlineStr">
        <is>
          <t>ason流浪包博主同款韩国新款机车单肩腋下包</t>
        </is>
      </c>
      <c r="B3549" t="inlineStr">
        <is>
          <t>recvfqmLqZ5qh4.jpg</t>
        </is>
      </c>
      <c r="C3549" s="2" t="str">
        <f>=HYPERLINK("https://xhslink.com/m/7YHIDIG8LpS", "https://xhslink.com/m/7YHIDIG8LpS")</f>
        <v>https://xhslink.com/m/7YHIDIG8LpS</v>
      </c>
      <c r="D3549"/>
      <c r="E3549">
        <v>4097</v>
      </c>
      <c r="F3549">
        <v>188</v>
      </c>
      <c r="G3549">
        <v>148</v>
      </c>
      <c r="H3549">
        <v>100</v>
      </c>
      <c r="I3549" t="inlineStr">
        <is>
          <t>韩系包包</t>
        </is>
      </c>
      <c r="J3549" t="inlineStr">
        <is>
          <t>0.02</t>
        </is>
      </c>
      <c r="K3549"/>
      <c r="L3549" t="inlineStr">
        <is>
          <t>小韩妮子的店</t>
        </is>
      </c>
      <c r="M3549">
        <v>12000</v>
      </c>
      <c r="N3549">
        <v>4.65</v>
      </c>
      <c r="O3549">
        <v>32000</v>
      </c>
      <c r="P3549" t="inlineStr">
        <is>
          <t>6873324264e96a000108ef14</t>
        </is>
      </c>
      <c r="Q3549" t="inlineStr">
        <is>
          <t>🚫重复</t>
        </is>
      </c>
      <c r="R3549" t="inlineStr">
        <is>
          <t>14周</t>
        </is>
      </c>
      <c r="S3549" t="inlineStr">
        <is>
          <t>0.34</t>
        </is>
      </c>
      <c r="T3549" t="inlineStr">
        <is>
          <t>服饰穿搭</t>
        </is>
      </c>
      <c r="U3549" t="inlineStr">
        <is>
          <t>鞋靴箱包</t>
        </is>
      </c>
      <c r="V3549" s="3">
        <v>46112.78107638889</v>
      </c>
      <c r="W3549" t="inlineStr">
        <is>
          <t>2026-Q1</t>
        </is>
      </c>
    </row>
    <row r="3550" ht="25.5" customHeight="1">
      <c r="A3550" t="inlineStr">
        <is>
          <t>假期预告｜韩系网红ins风镂空针织慵懒风单肩包 沙滩度假包</t>
        </is>
      </c>
      <c r="B3550" t="inlineStr">
        <is>
          <t>recvfqmLqZbmvf.jpg</t>
        </is>
      </c>
      <c r="C3550" s="2" t="str">
        <f>=HYPERLINK("https://xhslink.com/m/1LKVs59Cjuv", "https://xhslink.com/m/1LKVs59Cjuv")</f>
        <v>https://xhslink.com/m/1LKVs59Cjuv</v>
      </c>
      <c r="D3550"/>
      <c r="E3550">
        <v>1525</v>
      </c>
      <c r="F3550">
        <v>45.9</v>
      </c>
      <c r="G3550">
        <v>32.9</v>
      </c>
      <c r="H3550">
        <v>100</v>
      </c>
      <c r="I3550" t="inlineStr">
        <is>
          <t>韩系包包</t>
        </is>
      </c>
      <c r="J3550" t="inlineStr">
        <is>
          <t>0.07</t>
        </is>
      </c>
      <c r="K3550"/>
      <c r="L3550" t="inlineStr">
        <is>
          <t>咕叽Guji的店</t>
        </is>
      </c>
      <c r="M3550">
        <v>257000</v>
      </c>
      <c r="N3550">
        <v>4.61</v>
      </c>
      <c r="O3550">
        <v>154000</v>
      </c>
      <c r="P3550" t="inlineStr">
        <is>
          <t>699858635f567d0001674580</t>
        </is>
      </c>
      <c r="Q3550"/>
      <c r="R3550" t="inlineStr">
        <is>
          <t>14周</t>
        </is>
      </c>
      <c r="S3550" t="inlineStr">
        <is>
          <t>0.01</t>
        </is>
      </c>
      <c r="T3550" t="inlineStr">
        <is>
          <t>服饰穿搭</t>
        </is>
      </c>
      <c r="U3550" t="inlineStr">
        <is>
          <t>鞋靴箱包</t>
        </is>
      </c>
      <c r="V3550" s="3">
        <v>46112.78107638889</v>
      </c>
      <c r="W3550" t="inlineStr">
        <is>
          <t>2026-Q1</t>
        </is>
      </c>
    </row>
    <row r="3551" ht="25.5" customHeight="1">
      <c r="A3551" t="inlineStr">
        <is>
          <t>很赞的包～韩系ins风good印花帆布包托特包大容量休闲学生党包包</t>
        </is>
      </c>
      <c r="B3551" t="inlineStr">
        <is>
          <t>recvfqmLqZR4ss.jpg</t>
        </is>
      </c>
      <c r="C3551" s="2" t="str">
        <f>=HYPERLINK("https://xhslink.com/m/6jP9lTWECjB", "https://xhslink.com/m/6jP9lTWECjB")</f>
        <v>https://xhslink.com/m/6jP9lTWECjB</v>
      </c>
      <c r="D3551"/>
      <c r="E3551">
        <v>698</v>
      </c>
      <c r="F3551">
        <v>45.8</v>
      </c>
      <c r="G3551"/>
      <c r="H3551">
        <v>100</v>
      </c>
      <c r="I3551" t="inlineStr">
        <is>
          <t>韩系包包</t>
        </is>
      </c>
      <c r="J3551" t="inlineStr">
        <is>
          <t>0.14</t>
        </is>
      </c>
      <c r="K3551"/>
      <c r="L3551" t="inlineStr">
        <is>
          <t>包幸运（每天直播版）的店</t>
        </is>
      </c>
      <c r="M3551">
        <v>30000</v>
      </c>
      <c r="N3551">
        <v>4.65</v>
      </c>
      <c r="O3551">
        <v>11000</v>
      </c>
      <c r="P3551" t="inlineStr">
        <is>
          <t>69aed1d60635fd00012068c9</t>
        </is>
      </c>
      <c r="Q3551" t="inlineStr">
        <is>
          <t>🚫重复</t>
        </is>
      </c>
      <c r="R3551" t="inlineStr">
        <is>
          <t>14周</t>
        </is>
      </c>
      <c r="S3551" t="inlineStr">
        <is>
          <t>0.02</t>
        </is>
      </c>
      <c r="T3551" t="inlineStr">
        <is>
          <t>服饰穿搭</t>
        </is>
      </c>
      <c r="U3551" t="inlineStr">
        <is>
          <t>鞋靴箱包</t>
        </is>
      </c>
      <c r="V3551" s="3">
        <v>46112.78107638889</v>
      </c>
      <c r="W3551" t="inlineStr">
        <is>
          <t>2026-Q1</t>
        </is>
      </c>
    </row>
    <row r="3552" ht="25.5" customHeight="1">
      <c r="A3552" t="inlineStr">
        <is>
          <t>小众质感复古牛角包女2025新款复古休闲斜挎包秋冬季通勤百搭包包</t>
        </is>
      </c>
      <c r="B3552" t="inlineStr">
        <is>
          <t>recvfqmLqZ9k7y.jpg</t>
        </is>
      </c>
      <c r="C3552" s="2" t="str">
        <f>=HYPERLINK("https://xhslink.com/m/7EXGcBznkci", "https://xhslink.com/m/7EXGcBznkci")</f>
        <v>https://xhslink.com/m/7EXGcBznkci</v>
      </c>
      <c r="D3552"/>
      <c r="E3552">
        <v>1416</v>
      </c>
      <c r="F3552">
        <v>47.9</v>
      </c>
      <c r="G3552">
        <v>37.9</v>
      </c>
      <c r="H3552">
        <v>100</v>
      </c>
      <c r="I3552" t="inlineStr">
        <is>
          <t>小斜挎包</t>
        </is>
      </c>
      <c r="J3552" t="inlineStr">
        <is>
          <t>0.07</t>
        </is>
      </c>
      <c r="K3552"/>
      <c r="L3552" t="inlineStr">
        <is>
          <t>佳乐的店</t>
        </is>
      </c>
      <c r="M3552">
        <v>1608</v>
      </c>
      <c r="N3552">
        <v>4.6</v>
      </c>
      <c r="O3552">
        <v>18000</v>
      </c>
      <c r="P3552" t="inlineStr">
        <is>
          <t>68ad6b84f38f970001bbe2fc</t>
        </is>
      </c>
      <c r="Q3552"/>
      <c r="R3552" t="inlineStr">
        <is>
          <t>14周</t>
        </is>
      </c>
      <c r="S3552" t="inlineStr">
        <is>
          <t>0.88</t>
        </is>
      </c>
      <c r="T3552" t="inlineStr">
        <is>
          <t>服饰穿搭</t>
        </is>
      </c>
      <c r="U3552" t="inlineStr">
        <is>
          <t>鞋靴箱包</t>
        </is>
      </c>
      <c r="V3552" s="3">
        <v>46112.78107638889</v>
      </c>
      <c r="W3552" t="inlineStr">
        <is>
          <t>2026-Q1</t>
        </is>
      </c>
    </row>
    <row r="3553" ht="25.5" customHeight="1">
      <c r="A3553" t="inlineStr">
        <is>
          <t>26年迪士尼第一场大型特卖会！</t>
        </is>
      </c>
      <c r="B3553" t="inlineStr">
        <is>
          <t>recvfqmLqZi05E.jpg</t>
        </is>
      </c>
      <c r="C3553" s="2" t="str">
        <f>=HYPERLINK("https://xhslink.com/m/6wnvxPOYz5u", "https://xhslink.com/m/6wnvxPOYz5u")</f>
        <v>https://xhslink.com/m/6wnvxPOYz5u</v>
      </c>
      <c r="D3553"/>
      <c r="E3553">
        <v>3381</v>
      </c>
      <c r="F3553">
        <v>89</v>
      </c>
      <c r="G3553"/>
      <c r="H3553">
        <v>100</v>
      </c>
      <c r="I3553" t="inlineStr">
        <is>
          <t>迪士尼</t>
        </is>
      </c>
      <c r="J3553" t="inlineStr">
        <is>
          <t>0.03</t>
        </is>
      </c>
      <c r="K3553"/>
      <c r="L3553" t="inlineStr">
        <is>
          <t>茜茜妈咪的店</t>
        </is>
      </c>
      <c r="M3553">
        <v>5005</v>
      </c>
      <c r="N3553">
        <v>4.37</v>
      </c>
      <c r="O3553">
        <v>11000</v>
      </c>
      <c r="P3553" t="inlineStr">
        <is>
          <t>696bb9ed04796b00013d3c89</t>
        </is>
      </c>
      <c r="Q3553" t="inlineStr">
        <is>
          <t>🚫重复</t>
        </is>
      </c>
      <c r="R3553" t="inlineStr">
        <is>
          <t>14周</t>
        </is>
      </c>
      <c r="S3553" t="inlineStr">
        <is>
          <t>0.68</t>
        </is>
      </c>
      <c r="T3553" t="inlineStr">
        <is>
          <t>运动潮玩</t>
        </is>
      </c>
      <c r="U3553" t="inlineStr">
        <is>
          <t>潮玩手办</t>
        </is>
      </c>
      <c r="V3553" s="3">
        <v>46112.78107638889</v>
      </c>
      <c r="W3553" t="inlineStr">
        <is>
          <t>2026-Q1</t>
        </is>
      </c>
    </row>
    <row r="3554" ht="25.5" customHeight="1">
      <c r="A3554" t="inlineStr">
        <is>
          <t>【预售】yaya原创鬼灭之刃动漫同人周边10cm棉花娃娃（非官方）</t>
        </is>
      </c>
      <c r="B3554" t="inlineStr">
        <is>
          <t>recvfqmLqZ54I1.jpg</t>
        </is>
      </c>
      <c r="C3554" s="2" t="str">
        <f>=HYPERLINK("https://xhslink.com/m/9BgDdrDrqeq", "https://xhslink.com/m/9BgDdrDrqeq")</f>
        <v>https://xhslink.com/m/9BgDdrDrqeq</v>
      </c>
      <c r="D3554"/>
      <c r="E3554">
        <v>48000</v>
      </c>
      <c r="F3554">
        <v>42</v>
      </c>
      <c r="G3554"/>
      <c r="H3554">
        <v>100</v>
      </c>
      <c r="I3554" t="inlineStr">
        <is>
          <t>动漫</t>
        </is>
      </c>
      <c r="J3554" t="inlineStr">
        <is>
          <t>0.00</t>
        </is>
      </c>
      <c r="K3554" t="inlineStr">
        <is>
          <t>🔥低粉爆款</t>
        </is>
      </c>
      <c r="L3554" t="inlineStr">
        <is>
          <t>yaya来电的店</t>
        </is>
      </c>
      <c r="M3554">
        <v>16000</v>
      </c>
      <c r="N3554">
        <v>4.66</v>
      </c>
      <c r="O3554">
        <v>207000</v>
      </c>
      <c r="P3554" t="inlineStr">
        <is>
          <t>693e43e136ea3d000121f61c</t>
        </is>
      </c>
      <c r="Q3554" t="inlineStr">
        <is>
          <t>🚫重复</t>
        </is>
      </c>
      <c r="R3554" t="inlineStr">
        <is>
          <t>14周</t>
        </is>
      </c>
      <c r="S3554" t="inlineStr">
        <is>
          <t>3.00</t>
        </is>
      </c>
      <c r="T3554" t="inlineStr">
        <is>
          <t>运动潮玩</t>
        </is>
      </c>
      <c r="U3554" t="inlineStr">
        <is>
          <t>潮玩手办</t>
        </is>
      </c>
      <c r="V3554" s="3">
        <v>46112.78107638889</v>
      </c>
      <c r="W3554" t="inlineStr">
        <is>
          <t>2026-Q1</t>
        </is>
      </c>
    </row>
    <row r="3555" ht="25.5" customHeight="1">
      <c r="A3555" t="inlineStr">
        <is>
          <t>BALODY · 正版蜡笔小新生日积木相框送女生闺蜜情侣生日礼物小众创意摆件</t>
        </is>
      </c>
      <c r="B3555" t="inlineStr">
        <is>
          <t>recvfqmLqZnJPl.jpg</t>
        </is>
      </c>
      <c r="C3555" s="2" t="str">
        <f>=HYPERLINK("https://xhslink.com/m/4Yx8nXcUOpT", "https://xhslink.com/m/4Yx8nXcUOpT")</f>
        <v>https://xhslink.com/m/4Yx8nXcUOpT</v>
      </c>
      <c r="D3555"/>
      <c r="E3555">
        <v>23000</v>
      </c>
      <c r="F3555">
        <v>48.8</v>
      </c>
      <c r="G3555">
        <v>38.8</v>
      </c>
      <c r="H3555">
        <v>100</v>
      </c>
      <c r="I3555" t="inlineStr">
        <is>
          <t>积木拼图</t>
        </is>
      </c>
      <c r="J3555" t="inlineStr">
        <is>
          <t>0.00</t>
        </is>
      </c>
      <c r="K3555" t="inlineStr">
        <is>
          <t>🔥低粉爆款</t>
        </is>
      </c>
      <c r="L3555" t="inlineStr">
        <is>
          <t>源积的店</t>
        </is>
      </c>
      <c r="M3555">
        <v>1102</v>
      </c>
      <c r="N3555">
        <v>4.63</v>
      </c>
      <c r="O3555">
        <v>36000</v>
      </c>
      <c r="P3555" t="inlineStr">
        <is>
          <t>683a941a413fa00001a047ca</t>
        </is>
      </c>
      <c r="Q3555"/>
      <c r="R3555" t="inlineStr">
        <is>
          <t>14周</t>
        </is>
      </c>
      <c r="S3555" t="inlineStr">
        <is>
          <t>20.87</t>
        </is>
      </c>
      <c r="T3555" t="inlineStr">
        <is>
          <t>家居生活</t>
        </is>
      </c>
      <c r="U3555" t="inlineStr">
        <is>
          <t>家具家装</t>
        </is>
      </c>
      <c r="V3555" s="3">
        <v>46112.78107638889</v>
      </c>
      <c r="W3555" t="inlineStr">
        <is>
          <t>2026-Q1</t>
        </is>
      </c>
    </row>
    <row r="3556" ht="25.5" customHeight="1">
      <c r="A3556" t="inlineStr">
        <is>
          <t>Foco《蓝调烟花》728片细闪拼图 分四包</t>
        </is>
      </c>
      <c r="B3556" t="inlineStr">
        <is>
          <t>recvfqmLqZqUAt.jpg</t>
        </is>
      </c>
      <c r="C3556" s="2" t="str">
        <f>=HYPERLINK("https://xhslink.com/m/AVJGT3Wxm8w", "https://xhslink.com/m/AVJGT3Wxm8w")</f>
        <v>https://xhslink.com/m/AVJGT3Wxm8w</v>
      </c>
      <c r="D3556"/>
      <c r="E3556">
        <v>1554</v>
      </c>
      <c r="F3556">
        <v>109</v>
      </c>
      <c r="G3556">
        <v>79</v>
      </c>
      <c r="H3556">
        <v>100</v>
      </c>
      <c r="I3556" t="inlineStr">
        <is>
          <t>积木拼图</t>
        </is>
      </c>
      <c r="J3556" t="inlineStr">
        <is>
          <t>0.06</t>
        </is>
      </c>
      <c r="K3556"/>
      <c r="L3556" t="inlineStr">
        <is>
          <t>Foco Puzzle拼图的店</t>
        </is>
      </c>
      <c r="M3556">
        <v>2675</v>
      </c>
      <c r="N3556">
        <v>4.52</v>
      </c>
      <c r="O3556">
        <v>2275</v>
      </c>
      <c r="P3556" t="inlineStr">
        <is>
          <t>69ba639bff00dc0001354004</t>
        </is>
      </c>
      <c r="Q3556"/>
      <c r="R3556" t="inlineStr">
        <is>
          <t>14周</t>
        </is>
      </c>
      <c r="S3556" t="inlineStr">
        <is>
          <t>0.58</t>
        </is>
      </c>
      <c r="T3556" t="inlineStr">
        <is>
          <t>母婴亲子</t>
        </is>
      </c>
      <c r="U3556" t="inlineStr">
        <is>
          <t>玩具早教</t>
        </is>
      </c>
      <c r="V3556" s="3">
        <v>46112.78107638889</v>
      </c>
      <c r="W3556" t="inlineStr">
        <is>
          <t>2026-Q1</t>
        </is>
      </c>
    </row>
    <row r="3557" ht="25.5" customHeight="1">
      <c r="A3557" t="inlineStr">
        <is>
          <t>AIFER · 免烤灯！免打磨！穿戴甲专用云感可剥胶速干持久轻松可卸不伤甲</t>
        </is>
      </c>
      <c r="B3557" t="inlineStr">
        <is>
          <t>recvfqmLqZ9q2m.jpg</t>
        </is>
      </c>
      <c r="C3557" s="2" t="str">
        <f>=HYPERLINK("https://xhslink.com/m/3A0busH4dLk", "https://xhslink.com/m/3A0busH4dLk")</f>
        <v>https://xhslink.com/m/3A0busH4dLk</v>
      </c>
      <c r="D3557"/>
      <c r="E3557">
        <v>19000</v>
      </c>
      <c r="F3557">
        <v>49.8</v>
      </c>
      <c r="G3557">
        <v>24.9</v>
      </c>
      <c r="H3557">
        <v>100</v>
      </c>
      <c r="I3557" t="inlineStr">
        <is>
          <t>美甲</t>
        </is>
      </c>
      <c r="J3557" t="inlineStr">
        <is>
          <t>0.01</t>
        </is>
      </c>
      <c r="K3557" t="inlineStr">
        <is>
          <t>🔥低粉爆款</t>
        </is>
      </c>
      <c r="L3557" t="inlineStr">
        <is>
          <t>AIFER旗舰店</t>
        </is>
      </c>
      <c r="M3557">
        <v>4346</v>
      </c>
      <c r="N3557">
        <v>4.23</v>
      </c>
      <c r="O3557">
        <v>80000</v>
      </c>
      <c r="P3557" t="inlineStr">
        <is>
          <t>68a42bab0991b4000169f02b</t>
        </is>
      </c>
      <c r="Q3557"/>
      <c r="R3557" t="inlineStr">
        <is>
          <t>14周</t>
        </is>
      </c>
      <c r="S3557" t="inlineStr">
        <is>
          <t>4.37</t>
        </is>
      </c>
      <c r="T3557" t="inlineStr">
        <is>
          <t>美妆个护</t>
        </is>
      </c>
      <c r="U3557" t="inlineStr">
        <is>
          <t>护肤彩妆</t>
        </is>
      </c>
      <c r="V3557" s="3">
        <v>46112.78107638889</v>
      </c>
      <c r="W3557" t="inlineStr">
        <is>
          <t>2026-Q1</t>
        </is>
      </c>
    </row>
    <row r="3558" ht="25.5" customHeight="1">
      <c r="A3558" t="inlineStr">
        <is>
          <t>心愿先生 · 【达人专属】精华笔三合一修甲护甲磨死皮指缘油营养护理美甲工具</t>
        </is>
      </c>
      <c r="B3558" t="inlineStr">
        <is>
          <t>recvfqmLqZxUF3.jpg</t>
        </is>
      </c>
      <c r="C3558" s="2" t="str">
        <f>=HYPERLINK("https://xhslink.com/m/9UeO0lu3bA9", "https://xhslink.com/m/9UeO0lu3bA9")</f>
        <v>https://xhslink.com/m/9UeO0lu3bA9</v>
      </c>
      <c r="D3558"/>
      <c r="E3558">
        <v>1996</v>
      </c>
      <c r="F3558">
        <v>29.9</v>
      </c>
      <c r="G3558"/>
      <c r="H3558">
        <v>100</v>
      </c>
      <c r="I3558" t="inlineStr">
        <is>
          <t>美甲</t>
        </is>
      </c>
      <c r="J3558" t="inlineStr">
        <is>
          <t>0.05</t>
        </is>
      </c>
      <c r="K3558"/>
      <c r="L3558" t="inlineStr">
        <is>
          <t>MR.WISH心愿先生有鲤美妆工具专卖店</t>
        </is>
      </c>
      <c r="M3558">
        <v>103000</v>
      </c>
      <c r="N3558">
        <v>4.39</v>
      </c>
      <c r="O3558">
        <v>306000</v>
      </c>
      <c r="P3558" t="inlineStr">
        <is>
          <t>6972d9d665a1a100017b27d5</t>
        </is>
      </c>
      <c r="Q3558" t="inlineStr">
        <is>
          <t>🚫重复</t>
        </is>
      </c>
      <c r="R3558" t="inlineStr">
        <is>
          <t>14周</t>
        </is>
      </c>
      <c r="S3558" t="inlineStr">
        <is>
          <t>0.02</t>
        </is>
      </c>
      <c r="T3558" t="inlineStr">
        <is>
          <t>美妆个护</t>
        </is>
      </c>
      <c r="U3558" t="inlineStr">
        <is>
          <t>护肤彩妆</t>
        </is>
      </c>
      <c r="V3558" s="3">
        <v>46112.78107638889</v>
      </c>
      <c r="W3558" t="inlineStr">
        <is>
          <t>2026-Q1</t>
        </is>
      </c>
    </row>
    <row r="3559" ht="25.5" customHeight="1">
      <c r="A3559" t="inlineStr">
        <is>
          <t>SONGMUMU死皮剪/SONGMUMU超薄钢推（升级版）</t>
        </is>
      </c>
      <c r="B3559" t="inlineStr">
        <is>
          <t>recvfqmLqZvQdm.jpg</t>
        </is>
      </c>
      <c r="C3559" s="2" t="str">
        <f>=HYPERLINK("https://xhslink.com/m/YdRPXov1f", "https://xhslink.com/m/YdRPXov1f")</f>
        <v>https://xhslink.com/m/YdRPXov1f</v>
      </c>
      <c r="D3559"/>
      <c r="E3559">
        <v>10000</v>
      </c>
      <c r="F3559">
        <v>12.8</v>
      </c>
      <c r="G3559"/>
      <c r="H3559">
        <v>100</v>
      </c>
      <c r="I3559" t="inlineStr">
        <is>
          <t>美甲</t>
        </is>
      </c>
      <c r="J3559" t="inlineStr">
        <is>
          <t>0.01</t>
        </is>
      </c>
      <c r="K3559"/>
      <c r="L3559" t="inlineStr">
        <is>
          <t>SONGMUMU的店</t>
        </is>
      </c>
      <c r="M3559">
        <v>16000</v>
      </c>
      <c r="N3559">
        <v>4.6</v>
      </c>
      <c r="O3559">
        <v>61000</v>
      </c>
      <c r="P3559" t="inlineStr">
        <is>
          <t>670b70ec4c161f0001433435</t>
        </is>
      </c>
      <c r="Q3559"/>
      <c r="R3559" t="inlineStr">
        <is>
          <t>14周</t>
        </is>
      </c>
      <c r="S3559" t="inlineStr">
        <is>
          <t>0.62</t>
        </is>
      </c>
      <c r="T3559" t="inlineStr">
        <is>
          <t>美妆个护</t>
        </is>
      </c>
      <c r="U3559" t="inlineStr">
        <is>
          <t>护肤彩妆</t>
        </is>
      </c>
      <c r="V3559" s="3">
        <v>46112.78107638889</v>
      </c>
      <c r="W3559" t="inlineStr">
        <is>
          <t>2026-Q1</t>
        </is>
      </c>
    </row>
    <row r="3560" ht="25.5" customHeight="1">
      <c r="A3560" t="inlineStr">
        <is>
          <t>Ruokoco · 新升级花香固态胶穿戴甲专用贴片胶牢固持久轻松可卸不伤甲</t>
        </is>
      </c>
      <c r="B3560" t="inlineStr">
        <is>
          <t>recvfqmLqZCNtC.jpg</t>
        </is>
      </c>
      <c r="C3560" s="2" t="str">
        <f>=HYPERLINK("https://xhslink.com/m/4WMBtpN27mA", "https://xhslink.com/m/4WMBtpN27mA")</f>
        <v>https://xhslink.com/m/4WMBtpN27mA</v>
      </c>
      <c r="D3560"/>
      <c r="E3560">
        <v>13000</v>
      </c>
      <c r="F3560">
        <v>51.9</v>
      </c>
      <c r="G3560">
        <v>31.9</v>
      </c>
      <c r="H3560">
        <v>100</v>
      </c>
      <c r="I3560" t="inlineStr">
        <is>
          <t>美甲</t>
        </is>
      </c>
      <c r="J3560" t="inlineStr">
        <is>
          <t>0.01</t>
        </is>
      </c>
      <c r="K3560" t="inlineStr">
        <is>
          <t>🔥低粉爆款</t>
        </is>
      </c>
      <c r="L3560" t="inlineStr">
        <is>
          <t>Ruokoco花汀专卖店</t>
        </is>
      </c>
      <c r="M3560">
        <v>3173</v>
      </c>
      <c r="N3560">
        <v>4.3</v>
      </c>
      <c r="O3560">
        <v>14000</v>
      </c>
      <c r="P3560" t="inlineStr">
        <is>
          <t>68c4e50234db2a00013ef21d</t>
        </is>
      </c>
      <c r="Q3560"/>
      <c r="R3560" t="inlineStr">
        <is>
          <t>14周</t>
        </is>
      </c>
      <c r="S3560" t="inlineStr">
        <is>
          <t>4.10</t>
        </is>
      </c>
      <c r="T3560" t="inlineStr">
        <is>
          <t>美妆个护</t>
        </is>
      </c>
      <c r="U3560" t="inlineStr">
        <is>
          <t>护肤彩妆</t>
        </is>
      </c>
      <c r="V3560" s="3">
        <v>46112.78107638889</v>
      </c>
      <c r="W3560" t="inlineStr">
        <is>
          <t>2026-Q1</t>
        </is>
      </c>
    </row>
    <row r="3561" ht="25.5" customHeight="1">
      <c r="A3561" t="inlineStr">
        <is>
          <t>OTHER · 【新款】美甲店专用爆裂胶快速卸甲不伤甲除胶神器</t>
        </is>
      </c>
      <c r="B3561" t="inlineStr">
        <is>
          <t>recvfqmLqZ6OeV.jpg</t>
        </is>
      </c>
      <c r="C3561" s="2" t="str">
        <f>=HYPERLINK("https://xhslink.com/m/6idLZZicSJ8", "https://xhslink.com/m/6idLZZicSJ8")</f>
        <v>https://xhslink.com/m/6idLZZicSJ8</v>
      </c>
      <c r="D3561"/>
      <c r="E3561">
        <v>27000</v>
      </c>
      <c r="F3561">
        <v>31.8</v>
      </c>
      <c r="G3561">
        <v>21.8</v>
      </c>
      <c r="H3561">
        <v>100</v>
      </c>
      <c r="I3561" t="inlineStr">
        <is>
          <t>美甲</t>
        </is>
      </c>
      <c r="J3561" t="inlineStr">
        <is>
          <t>0.00</t>
        </is>
      </c>
      <c r="K3561" t="inlineStr">
        <is>
          <t>🔥低粉爆款</t>
        </is>
      </c>
      <c r="L3561" t="inlineStr">
        <is>
          <t>J锦盈好物的店</t>
        </is>
      </c>
      <c r="M3561">
        <v>126</v>
      </c>
      <c r="N3561">
        <v>4.01</v>
      </c>
      <c r="O3561">
        <v>49000</v>
      </c>
      <c r="P3561" t="inlineStr">
        <is>
          <t>67a062e620e47e00156a377a</t>
        </is>
      </c>
      <c r="Q3561"/>
      <c r="R3561" t="inlineStr">
        <is>
          <t>14周</t>
        </is>
      </c>
      <c r="S3561" t="inlineStr">
        <is>
          <t>214.29</t>
        </is>
      </c>
      <c r="T3561" t="inlineStr">
        <is>
          <t>美妆个护</t>
        </is>
      </c>
      <c r="U3561" t="inlineStr">
        <is>
          <t>护肤彩妆</t>
        </is>
      </c>
      <c r="V3561" s="3">
        <v>46112.78107638889</v>
      </c>
      <c r="W3561" t="inlineStr">
        <is>
          <t>2026-Q1</t>
        </is>
      </c>
    </row>
    <row r="3562" ht="25.5" customHeight="1">
      <c r="A3562" t="inlineStr">
        <is>
          <t>FAROY · 直播专属-美甲钨钢打磨头甲片接痕锥形球头打磨头高品质磨头【M齿</t>
        </is>
      </c>
      <c r="B3562" t="inlineStr">
        <is>
          <t>recvfqmLqZ4oTW.jpg</t>
        </is>
      </c>
      <c r="C3562" s="2" t="str">
        <f>=HYPERLINK("https://xhslink.com/m/1m23DuIpMiv", "https://xhslink.com/m/1m23DuIpMiv")</f>
        <v>https://xhslink.com/m/1m23DuIpMiv</v>
      </c>
      <c r="D3562"/>
      <c r="E3562">
        <v>28000</v>
      </c>
      <c r="F3562">
        <v>32</v>
      </c>
      <c r="G3562">
        <v>19.9</v>
      </c>
      <c r="H3562">
        <v>100</v>
      </c>
      <c r="I3562" t="inlineStr">
        <is>
          <t>美甲</t>
        </is>
      </c>
      <c r="J3562" t="inlineStr">
        <is>
          <t>0.00</t>
        </is>
      </c>
      <c r="K3562"/>
      <c r="L3562" t="inlineStr">
        <is>
          <t>FAROY美妆旗舰店</t>
        </is>
      </c>
      <c r="M3562">
        <v>14000</v>
      </c>
      <c r="N3562">
        <v>4.59</v>
      </c>
      <c r="O3562">
        <v>293000</v>
      </c>
      <c r="P3562" t="inlineStr">
        <is>
          <t>65e3e2e2ec1b5d0001610ad4</t>
        </is>
      </c>
      <c r="Q3562" t="inlineStr">
        <is>
          <t>🚫重复</t>
        </is>
      </c>
      <c r="R3562" t="inlineStr">
        <is>
          <t>14周</t>
        </is>
      </c>
      <c r="S3562" t="inlineStr">
        <is>
          <t>2.00</t>
        </is>
      </c>
      <c r="T3562" t="inlineStr">
        <is>
          <t>美妆个护</t>
        </is>
      </c>
      <c r="U3562" t="inlineStr">
        <is>
          <t>护肤彩妆</t>
        </is>
      </c>
      <c r="V3562" s="3">
        <v>46112.78107638889</v>
      </c>
      <c r="W3562" t="inlineStr">
        <is>
          <t>2026-Q1</t>
        </is>
      </c>
    </row>
    <row r="3563" ht="25.5" customHeight="1">
      <c r="A3563" t="inlineStr">
        <is>
          <t>Ruokoco · 六合一罐装多功能胶建构底胶加固流平粘钻贴甲片美甲专用</t>
        </is>
      </c>
      <c r="B3563" t="inlineStr">
        <is>
          <t>recvfqmLqZ8Qgg.jpg</t>
        </is>
      </c>
      <c r="C3563" s="2" t="str">
        <f>=HYPERLINK("https://xhslink.com/m/8RWVFrDVhsS", "https://xhslink.com/m/8RWVFrDVhsS")</f>
        <v>https://xhslink.com/m/8RWVFrDVhsS</v>
      </c>
      <c r="D3563"/>
      <c r="E3563">
        <v>18000</v>
      </c>
      <c r="F3563">
        <v>43.8</v>
      </c>
      <c r="G3563">
        <v>19.9</v>
      </c>
      <c r="H3563">
        <v>100</v>
      </c>
      <c r="I3563" t="inlineStr">
        <is>
          <t>美甲</t>
        </is>
      </c>
      <c r="J3563" t="inlineStr">
        <is>
          <t>0.01</t>
        </is>
      </c>
      <c r="K3563"/>
      <c r="L3563" t="inlineStr">
        <is>
          <t>Ruokoco美妆旗舰店</t>
        </is>
      </c>
      <c r="M3563">
        <v>15000</v>
      </c>
      <c r="N3563">
        <v>4.22</v>
      </c>
      <c r="O3563">
        <v>160000</v>
      </c>
      <c r="P3563" t="inlineStr">
        <is>
          <t>680da00ee836e90001f02e6f</t>
        </is>
      </c>
      <c r="Q3563" t="inlineStr">
        <is>
          <t>🚫重复</t>
        </is>
      </c>
      <c r="R3563" t="inlineStr">
        <is>
          <t>14周</t>
        </is>
      </c>
      <c r="S3563" t="inlineStr">
        <is>
          <t>1.20</t>
        </is>
      </c>
      <c r="T3563" t="inlineStr">
        <is>
          <t>美妆个护</t>
        </is>
      </c>
      <c r="U3563" t="inlineStr">
        <is>
          <t>护肤彩妆</t>
        </is>
      </c>
      <c r="V3563" s="3">
        <v>46112.78107638889</v>
      </c>
      <c r="W3563" t="inlineStr">
        <is>
          <t>2026-Q1</t>
        </is>
      </c>
    </row>
    <row r="3564" ht="25.5" customHeight="1">
      <c r="A3564" t="inlineStr">
        <is>
          <t>【后背镂空透气网眼速干短袖】夏季情侣款圆领纯色运动短袖T恤</t>
        </is>
      </c>
      <c r="B3564" t="inlineStr">
        <is>
          <t>recvfqmLqZbE7q.jpg</t>
        </is>
      </c>
      <c r="C3564" s="2" t="str">
        <f>=HYPERLINK("https://xhslink.com/m/8LVbScgDyx6", "https://xhslink.com/m/8LVbScgDyx6")</f>
        <v>https://xhslink.com/m/8LVbScgDyx6</v>
      </c>
      <c r="D3564"/>
      <c r="E3564">
        <v>13000</v>
      </c>
      <c r="F3564">
        <v>49.9</v>
      </c>
      <c r="G3564"/>
      <c r="H3564">
        <v>100</v>
      </c>
      <c r="I3564" t="inlineStr">
        <is>
          <t>T恤</t>
        </is>
      </c>
      <c r="J3564" t="inlineStr">
        <is>
          <t>0.01</t>
        </is>
      </c>
      <c r="K3564"/>
      <c r="L3564" t="inlineStr">
        <is>
          <t>福多外贸服饰的店</t>
        </is>
      </c>
      <c r="M3564">
        <v>11000</v>
      </c>
      <c r="N3564">
        <v>4.55</v>
      </c>
      <c r="O3564">
        <v>175000</v>
      </c>
      <c r="P3564" t="inlineStr">
        <is>
          <t>66990a4d5cf22c0001a76e26</t>
        </is>
      </c>
      <c r="Q3564" t="inlineStr">
        <is>
          <t>🚫重复</t>
        </is>
      </c>
      <c r="R3564" t="inlineStr">
        <is>
          <t>14周</t>
        </is>
      </c>
      <c r="S3564" t="inlineStr">
        <is>
          <t>1.18</t>
        </is>
      </c>
      <c r="T3564" t="inlineStr">
        <is>
          <t>服饰穿搭</t>
        </is>
      </c>
      <c r="U3564" t="inlineStr">
        <is>
          <t>女装</t>
        </is>
      </c>
      <c r="V3564" s="3">
        <v>46112.78107638889</v>
      </c>
      <c r="W3564" t="inlineStr">
        <is>
          <t>2026-Q1</t>
        </is>
      </c>
    </row>
    <row r="3565" ht="25.5" customHeight="1">
      <c r="A3565" t="inlineStr">
        <is>
          <t>拉链口袋 夏季透气速干运动训练短裤男女健身跑步打球户外四分裤</t>
        </is>
      </c>
      <c r="B3565" t="inlineStr">
        <is>
          <t>recvfqmLqZfmAZ.jpg</t>
        </is>
      </c>
      <c r="C3565" s="2" t="str">
        <f>=HYPERLINK("https://xhslink.com/m/24DNCclmWXp", "https://xhslink.com/m/24DNCclmWXp")</f>
        <v>https://xhslink.com/m/24DNCclmWXp</v>
      </c>
      <c r="D3565"/>
      <c r="E3565">
        <v>499</v>
      </c>
      <c r="F3565">
        <v>89</v>
      </c>
      <c r="G3565">
        <v>78.32</v>
      </c>
      <c r="H3565">
        <v>100</v>
      </c>
      <c r="I3565" t="inlineStr">
        <is>
          <t>运动裤</t>
        </is>
      </c>
      <c r="J3565" t="inlineStr">
        <is>
          <t>0.20</t>
        </is>
      </c>
      <c r="K3565"/>
      <c r="L3565" t="inlineStr">
        <is>
          <t>WASSUP BLUEO的店</t>
        </is>
      </c>
      <c r="M3565">
        <v>199</v>
      </c>
      <c r="N3565">
        <v>4.51</v>
      </c>
      <c r="O3565">
        <v>1424</v>
      </c>
      <c r="P3565" t="inlineStr">
        <is>
          <t>69a393e61c93e60001195f9c</t>
        </is>
      </c>
      <c r="Q3565"/>
      <c r="R3565" t="inlineStr">
        <is>
          <t>14周</t>
        </is>
      </c>
      <c r="S3565" t="inlineStr">
        <is>
          <t>2.51</t>
        </is>
      </c>
      <c r="T3565" t="inlineStr">
        <is>
          <t>运动潮玩</t>
        </is>
      </c>
      <c r="U3565" t="inlineStr">
        <is>
          <t>运动户外装备</t>
        </is>
      </c>
      <c r="V3565" s="3">
        <v>46112.78107638889</v>
      </c>
      <c r="W3565" t="inlineStr">
        <is>
          <t>2026-Q1</t>
        </is>
      </c>
    </row>
    <row r="3566" ht="25.5" customHeight="1">
      <c r="A3566" t="inlineStr">
        <is>
          <t>海派甜心釉下彩苹果碗陶瓷碗具餐盘套装</t>
        </is>
      </c>
      <c r="B3566" t="inlineStr">
        <is>
          <t>recvfvVmDwkkqH.jpg</t>
        </is>
      </c>
      <c r="C3566" s="2" t="str">
        <f>=HYPERLINK("https://xhslink.com/m/y43cIhCP9V", "https://xhslink.com/m/y43cIhCP9V")</f>
        <v>https://xhslink.com/m/y43cIhCP9V</v>
      </c>
      <c r="D3566"/>
      <c r="E3566">
        <v>12000</v>
      </c>
      <c r="F3566">
        <v>26.9</v>
      </c>
      <c r="G3566">
        <v>22.86</v>
      </c>
      <c r="H3566">
        <v>100</v>
      </c>
      <c r="I3566" t="inlineStr">
        <is>
          <t>漂亮餐具</t>
        </is>
      </c>
      <c r="J3566" t="inlineStr">
        <is>
          <t>0.01</t>
        </is>
      </c>
      <c r="K3566" t="inlineStr">
        <is>
          <t>🔥低粉爆款</t>
        </is>
      </c>
      <c r="L3566" t="inlineStr">
        <is>
          <t>I77 HOME（乾誉）的店</t>
        </is>
      </c>
      <c r="M3566">
        <v>779</v>
      </c>
      <c r="N3566">
        <v>4.48</v>
      </c>
      <c r="O3566">
        <v>16000</v>
      </c>
      <c r="P3566" t="inlineStr">
        <is>
          <t>68f201ca7d3b3f00012ee761</t>
        </is>
      </c>
      <c r="Q3566" t="inlineStr">
        <is>
          <t>🚫重复</t>
        </is>
      </c>
      <c r="R3566" t="inlineStr">
        <is>
          <t>14周</t>
        </is>
      </c>
      <c r="S3566" t="inlineStr">
        <is>
          <t>15.40</t>
        </is>
      </c>
      <c r="T3566" t="inlineStr">
        <is>
          <t>家居生活</t>
        </is>
      </c>
      <c r="U3566" t="inlineStr">
        <is>
          <t>厨房餐饮</t>
        </is>
      </c>
      <c r="V3566" s="3">
        <v>46113.55826388889</v>
      </c>
      <c r="W3566" t="inlineStr">
        <is>
          <t>2026-Q2</t>
        </is>
      </c>
    </row>
    <row r="3567" ht="25.5" customHeight="1">
      <c r="A3567" t="inlineStr">
        <is>
          <t>向日葵云南鲜花直发</t>
        </is>
      </c>
      <c r="B3567" t="inlineStr">
        <is>
          <t>recvfvVmDwVoBM.jpg</t>
        </is>
      </c>
      <c r="C3567" s="2" t="str">
        <f>=HYPERLINK("https://xhslink.com/m/9uRERUCXEbV", "https://xhslink.com/m/9uRERUCXEbV")</f>
        <v>https://xhslink.com/m/9uRERUCXEbV</v>
      </c>
      <c r="D3567"/>
      <c r="E3567">
        <v>96000</v>
      </c>
      <c r="F3567">
        <v>29.9</v>
      </c>
      <c r="G3567">
        <v>19.9</v>
      </c>
      <c r="H3567">
        <v>100</v>
      </c>
      <c r="I3567" t="inlineStr">
        <is>
          <t>鲜花</t>
        </is>
      </c>
      <c r="J3567" t="inlineStr">
        <is>
          <t>0.00</t>
        </is>
      </c>
      <c r="K3567"/>
      <c r="L3567" t="inlineStr">
        <is>
          <t>云觅鲜花的店</t>
        </is>
      </c>
      <c r="M3567">
        <v>476000</v>
      </c>
      <c r="N3567">
        <v>4.4</v>
      </c>
      <c r="O3567">
        <v>1640000</v>
      </c>
      <c r="P3567" t="inlineStr">
        <is>
          <t>64f03f059a5b0200014f3969</t>
        </is>
      </c>
      <c r="Q3567" t="inlineStr">
        <is>
          <t>🚫重复</t>
        </is>
      </c>
      <c r="R3567" t="inlineStr">
        <is>
          <t>14周</t>
        </is>
      </c>
      <c r="S3567" t="inlineStr">
        <is>
          <t>0.20</t>
        </is>
      </c>
      <c r="T3567" t="inlineStr">
        <is>
          <t>家居生活</t>
        </is>
      </c>
      <c r="U3567" t="inlineStr">
        <is>
          <t>家具家装</t>
        </is>
      </c>
      <c r="V3567" s="3">
        <v>46113.55826388889</v>
      </c>
      <c r="W3567" t="inlineStr">
        <is>
          <t>2026-Q2</t>
        </is>
      </c>
    </row>
    <row r="3568" ht="25.5" customHeight="1">
      <c r="A3568" t="inlineStr">
        <is>
          <t>海蒂的花园 · 大花绣球小苗多品种单花卉境阳台重庭院瓣种植观赏盆栽植物无尽夏</t>
        </is>
      </c>
      <c r="B3568" t="inlineStr">
        <is>
          <t>recvfvVmDw4fvd.jpg</t>
        </is>
      </c>
      <c r="C3568" s="2" t="str">
        <f>=HYPERLINK("https://xhslink.com/m/66PMwn5IWyo", "https://xhslink.com/m/66PMwn5IWyo")</f>
        <v>https://xhslink.com/m/66PMwn5IWyo</v>
      </c>
      <c r="D3568"/>
      <c r="E3568">
        <v>39000</v>
      </c>
      <c r="F3568">
        <v>19.8</v>
      </c>
      <c r="G3568">
        <v>15.84</v>
      </c>
      <c r="H3568">
        <v>100</v>
      </c>
      <c r="I3568" t="inlineStr">
        <is>
          <t>鲜花</t>
        </is>
      </c>
      <c r="J3568" t="inlineStr">
        <is>
          <t>0.00</t>
        </is>
      </c>
      <c r="K3568"/>
      <c r="L3568" t="inlineStr">
        <is>
          <t>海蒂的花园的店</t>
        </is>
      </c>
      <c r="M3568">
        <v>1592000</v>
      </c>
      <c r="N3568">
        <v>4.58</v>
      </c>
      <c r="O3568">
        <v>1902000</v>
      </c>
      <c r="P3568" t="inlineStr">
        <is>
          <t>643e57ae5868b400017395cb</t>
        </is>
      </c>
      <c r="Q3568" t="inlineStr">
        <is>
          <t>🚫重复</t>
        </is>
      </c>
      <c r="R3568" t="inlineStr">
        <is>
          <t>14周</t>
        </is>
      </c>
      <c r="S3568" t="inlineStr">
        <is>
          <t>0.02</t>
        </is>
      </c>
      <c r="T3568" t="inlineStr">
        <is>
          <t>家居生活</t>
        </is>
      </c>
      <c r="U3568" t="inlineStr">
        <is>
          <t>家具家装</t>
        </is>
      </c>
      <c r="V3568" s="3">
        <v>46113.55826388889</v>
      </c>
      <c r="W3568" t="inlineStr">
        <is>
          <t>2026-Q2</t>
        </is>
      </c>
    </row>
    <row r="3569" ht="25.5" customHeight="1">
      <c r="A3569" t="inlineStr">
        <is>
          <t>佛手 佛手柑-超长花期 越大越香 天然香薰 懒人必备 多为绿果</t>
        </is>
      </c>
      <c r="B3569" t="inlineStr">
        <is>
          <t>recvfvVmDwZ5Oq.jpg</t>
        </is>
      </c>
      <c r="C3569" s="2" t="str">
        <f>=HYPERLINK("https://xhslink.com/m/3WVLPjbufRc", "https://xhslink.com/m/3WVLPjbufRc")</f>
        <v>https://xhslink.com/m/3WVLPjbufRc</v>
      </c>
      <c r="D3569"/>
      <c r="E3569">
        <v>22000</v>
      </c>
      <c r="F3569">
        <v>59.9</v>
      </c>
      <c r="G3569">
        <v>54.9</v>
      </c>
      <c r="H3569">
        <v>100</v>
      </c>
      <c r="I3569" t="inlineStr">
        <is>
          <t>鲜花</t>
        </is>
      </c>
      <c r="J3569" t="inlineStr">
        <is>
          <t>0.00</t>
        </is>
      </c>
      <c r="K3569" t="inlineStr">
        <is>
          <t>🔥低粉爆款</t>
        </is>
      </c>
      <c r="L3569" t="inlineStr">
        <is>
          <t>云梦花语的店</t>
        </is>
      </c>
      <c r="M3569">
        <v>3247</v>
      </c>
      <c r="N3569">
        <v>4.53</v>
      </c>
      <c r="O3569">
        <v>32000</v>
      </c>
      <c r="P3569" t="inlineStr">
        <is>
          <t>69242445f2c0f50001ab584a</t>
        </is>
      </c>
      <c r="Q3569" t="inlineStr">
        <is>
          <t>🚫重复</t>
        </is>
      </c>
      <c r="R3569" t="inlineStr">
        <is>
          <t>14周</t>
        </is>
      </c>
      <c r="S3569" t="inlineStr">
        <is>
          <t>6.78</t>
        </is>
      </c>
      <c r="T3569" t="inlineStr">
        <is>
          <t>家居生活</t>
        </is>
      </c>
      <c r="U3569" t="inlineStr">
        <is>
          <t>家居日用</t>
        </is>
      </c>
      <c r="V3569" s="3">
        <v>46113.55826388889</v>
      </c>
      <c r="W3569" t="inlineStr">
        <is>
          <t>2026-Q2</t>
        </is>
      </c>
    </row>
    <row r="3570" ht="25.5" customHeight="1">
      <c r="A3570" t="inlineStr">
        <is>
          <t>有寻植物 国产朱顶红种球 阿弗雷 花孔雀 双王 舞后重瓣球根花卉</t>
        </is>
      </c>
      <c r="B3570" t="inlineStr">
        <is>
          <t>recvfvVmDw0lyB.jpg</t>
        </is>
      </c>
      <c r="C3570" s="2" t="str">
        <f>=HYPERLINK("https://xhslink.com/m/n3ffgEXxJ4", "https://xhslink.com/m/n3ffgEXxJ4")</f>
        <v>https://xhslink.com/m/n3ffgEXxJ4</v>
      </c>
      <c r="D3570"/>
      <c r="E3570">
        <v>4148</v>
      </c>
      <c r="F3570">
        <v>9.8</v>
      </c>
      <c r="G3570"/>
      <c r="H3570">
        <v>100</v>
      </c>
      <c r="I3570" t="inlineStr">
        <is>
          <t>鲜花</t>
        </is>
      </c>
      <c r="J3570" t="inlineStr">
        <is>
          <t>0.02</t>
        </is>
      </c>
      <c r="K3570"/>
      <c r="L3570" t="inlineStr">
        <is>
          <t>有寻植物的店</t>
        </is>
      </c>
      <c r="M3570">
        <v>63000</v>
      </c>
      <c r="N3570">
        <v>4.34</v>
      </c>
      <c r="O3570">
        <v>129000</v>
      </c>
      <c r="P3570" t="inlineStr">
        <is>
          <t>699f9ed700e7430001968c99</t>
        </is>
      </c>
      <c r="Q3570" t="inlineStr">
        <is>
          <t>🚫重复</t>
        </is>
      </c>
      <c r="R3570" t="inlineStr">
        <is>
          <t>14周</t>
        </is>
      </c>
      <c r="S3570" t="inlineStr">
        <is>
          <t>0.07</t>
        </is>
      </c>
      <c r="T3570" t="inlineStr">
        <is>
          <t>家居生活</t>
        </is>
      </c>
      <c r="U3570" t="inlineStr">
        <is>
          <t>家具家装</t>
        </is>
      </c>
      <c r="V3570" s="3">
        <v>46113.55826388889</v>
      </c>
      <c r="W3570" t="inlineStr">
        <is>
          <t>2026-Q2</t>
        </is>
      </c>
    </row>
    <row r="3571" ht="25.5" customHeight="1">
      <c r="A3571" t="inlineStr">
        <is>
          <t>青苹果竹芋盆栽室内吸甲醛观叶植物四季常青好养绿植客厅装饰</t>
        </is>
      </c>
      <c r="B3571" t="inlineStr">
        <is>
          <t>recvfvVmDwQXY3.jpg</t>
        </is>
      </c>
      <c r="C3571" s="2" t="str">
        <f>=HYPERLINK("https://xhslink.com/m/7UFPzCMt0ZY", "https://xhslink.com/m/7UFPzCMt0ZY")</f>
        <v>https://xhslink.com/m/7UFPzCMt0ZY</v>
      </c>
      <c r="D3571"/>
      <c r="E3571">
        <v>5317</v>
      </c>
      <c r="F3571">
        <v>52.88</v>
      </c>
      <c r="G3571"/>
      <c r="H3571">
        <v>100</v>
      </c>
      <c r="I3571" t="inlineStr">
        <is>
          <t>盆栽</t>
        </is>
      </c>
      <c r="J3571" t="inlineStr">
        <is>
          <t>0.02</t>
        </is>
      </c>
      <c r="K3571"/>
      <c r="L3571" t="inlineStr">
        <is>
          <t>扶风植物园艺的店</t>
        </is>
      </c>
      <c r="M3571">
        <v>9605</v>
      </c>
      <c r="N3571">
        <v>4.47</v>
      </c>
      <c r="O3571">
        <v>19000</v>
      </c>
      <c r="P3571" t="inlineStr">
        <is>
          <t>68b7051985ba1f00151f142b</t>
        </is>
      </c>
      <c r="Q3571"/>
      <c r="R3571" t="inlineStr">
        <is>
          <t>14周</t>
        </is>
      </c>
      <c r="S3571" t="inlineStr">
        <is>
          <t>0.55</t>
        </is>
      </c>
      <c r="T3571" t="inlineStr">
        <is>
          <t>家居生活</t>
        </is>
      </c>
      <c r="U3571" t="inlineStr">
        <is>
          <t>家具家装</t>
        </is>
      </c>
      <c r="V3571" s="3">
        <v>46113.55826388889</v>
      </c>
      <c r="W3571" t="inlineStr">
        <is>
          <t>2026-Q2</t>
        </is>
      </c>
    </row>
    <row r="3572" ht="25.5" customHeight="1">
      <c r="A3572" t="inlineStr">
        <is>
          <t>彩虹糖长寿花 • 桌面花卉绿植开花多肉植物办公室（带花苞发）</t>
        </is>
      </c>
      <c r="B3572" t="inlineStr">
        <is>
          <t>recvfvVmDwSTDn.jpg</t>
        </is>
      </c>
      <c r="C3572" s="2" t="str">
        <f>=HYPERLINK("https://xhslink.com/m/8nWOyP40qt8", "https://xhslink.com/m/8nWOyP40qt8")</f>
        <v>https://xhslink.com/m/8nWOyP40qt8</v>
      </c>
      <c r="D3572"/>
      <c r="E3572">
        <v>47000</v>
      </c>
      <c r="F3572">
        <v>25.8</v>
      </c>
      <c r="G3572"/>
      <c r="H3572">
        <v>100</v>
      </c>
      <c r="I3572" t="inlineStr">
        <is>
          <t>盆栽</t>
        </is>
      </c>
      <c r="J3572" t="inlineStr">
        <is>
          <t>0.00</t>
        </is>
      </c>
      <c r="K3572"/>
      <c r="L3572" t="inlineStr">
        <is>
          <t>小雅花集的店</t>
        </is>
      </c>
      <c r="M3572">
        <v>580000</v>
      </c>
      <c r="N3572">
        <v>4.47</v>
      </c>
      <c r="O3572">
        <v>348000</v>
      </c>
      <c r="P3572" t="inlineStr">
        <is>
          <t>68ebbc104daabe0001af4de6</t>
        </is>
      </c>
      <c r="Q3572"/>
      <c r="R3572" t="inlineStr">
        <is>
          <t>14周</t>
        </is>
      </c>
      <c r="S3572" t="inlineStr">
        <is>
          <t>0.08</t>
        </is>
      </c>
      <c r="T3572" t="inlineStr">
        <is>
          <t>家居生活</t>
        </is>
      </c>
      <c r="U3572" t="inlineStr">
        <is>
          <t>家具家装</t>
        </is>
      </c>
      <c r="V3572" s="3">
        <v>46113.55826388889</v>
      </c>
      <c r="W3572" t="inlineStr">
        <is>
          <t>2026-Q2</t>
        </is>
      </c>
    </row>
    <row r="3573" ht="25.5" customHeight="1">
      <c r="A3573" t="inlineStr">
        <is>
          <t>海蒂的花园 · 茉莉花浓香花卉开花不断好养活阳台室内植物办公室桌面常绿盆栽苗</t>
        </is>
      </c>
      <c r="B3573" t="inlineStr">
        <is>
          <t>recvfvVmDwyNtE.jpg</t>
        </is>
      </c>
      <c r="C3573" s="2" t="str">
        <f>=HYPERLINK("https://xhslink.com/m/2iSTfyr6j2F", "https://xhslink.com/m/2iSTfyr6j2F")</f>
        <v>https://xhslink.com/m/2iSTfyr6j2F</v>
      </c>
      <c r="D3573"/>
      <c r="E3573">
        <v>9237</v>
      </c>
      <c r="F3573">
        <v>29.6</v>
      </c>
      <c r="G3573">
        <v>26.64</v>
      </c>
      <c r="H3573">
        <v>100</v>
      </c>
      <c r="I3573" t="inlineStr">
        <is>
          <t>盆栽</t>
        </is>
      </c>
      <c r="J3573" t="inlineStr">
        <is>
          <t>0.01</t>
        </is>
      </c>
      <c r="K3573"/>
      <c r="L3573" t="inlineStr">
        <is>
          <t>海蒂的花园的店</t>
        </is>
      </c>
      <c r="M3573">
        <v>1592000</v>
      </c>
      <c r="N3573">
        <v>4.58</v>
      </c>
      <c r="O3573">
        <v>1902000</v>
      </c>
      <c r="P3573" t="inlineStr">
        <is>
          <t>666948235f1a0a000142d3e5</t>
        </is>
      </c>
      <c r="Q3573" t="inlineStr">
        <is>
          <t>🚫重复</t>
        </is>
      </c>
      <c r="R3573" t="inlineStr">
        <is>
          <t>14周</t>
        </is>
      </c>
      <c r="S3573" t="inlineStr">
        <is>
          <t>0.01</t>
        </is>
      </c>
      <c r="T3573" t="inlineStr">
        <is>
          <t>家居生活</t>
        </is>
      </c>
      <c r="U3573" t="inlineStr">
        <is>
          <t>家具家装</t>
        </is>
      </c>
      <c r="V3573" s="3">
        <v>46113.55826388889</v>
      </c>
      <c r="W3573" t="inlineStr">
        <is>
          <t>2026-Q2</t>
        </is>
      </c>
    </row>
    <row r="3574" ht="25.5" customHeight="1">
      <c r="A3574" t="inlineStr">
        <is>
          <t>自然引力-氧气瓶 植物盆栽桌面绿植净化空气迷你盆栽礼物</t>
        </is>
      </c>
      <c r="B3574" t="inlineStr">
        <is>
          <t>recvfvVmDw2cxH.jpg</t>
        </is>
      </c>
      <c r="C3574" s="2" t="str">
        <f>=HYPERLINK("https://xhslink.com/m/1ooweNlHcxZ", "https://xhslink.com/m/1ooweNlHcxZ")</f>
        <v>https://xhslink.com/m/1ooweNlHcxZ</v>
      </c>
      <c r="D3574"/>
      <c r="E3574">
        <v>3405</v>
      </c>
      <c r="F3574">
        <v>28.6</v>
      </c>
      <c r="G3574">
        <v>18.6</v>
      </c>
      <c r="H3574">
        <v>100</v>
      </c>
      <c r="I3574" t="inlineStr">
        <is>
          <t>盆栽</t>
        </is>
      </c>
      <c r="J3574" t="inlineStr">
        <is>
          <t>0.03</t>
        </is>
      </c>
      <c r="K3574"/>
      <c r="L3574" t="inlineStr">
        <is>
          <t>自然引力NATURALGRAVITY的店</t>
        </is>
      </c>
      <c r="M3574">
        <v>110000</v>
      </c>
      <c r="N3574">
        <v>4.66</v>
      </c>
      <c r="O3574">
        <v>148000</v>
      </c>
      <c r="P3574" t="inlineStr">
        <is>
          <t>68fb7bd1b8a4f60001dcbd3e</t>
        </is>
      </c>
      <c r="Q3574" t="inlineStr">
        <is>
          <t>🚫重复</t>
        </is>
      </c>
      <c r="R3574" t="inlineStr">
        <is>
          <t>14周</t>
        </is>
      </c>
      <c r="S3574" t="inlineStr">
        <is>
          <t>0.03</t>
        </is>
      </c>
      <c r="T3574" t="inlineStr">
        <is>
          <t>家居生活</t>
        </is>
      </c>
      <c r="U3574" t="inlineStr">
        <is>
          <t>家具家装</t>
        </is>
      </c>
      <c r="V3574" s="3">
        <v>46113.55826388889</v>
      </c>
      <c r="W3574" t="inlineStr">
        <is>
          <t>2026-Q2</t>
        </is>
      </c>
    </row>
    <row r="3575" ht="25.5" customHeight="1">
      <c r="A3575" t="inlineStr">
        <is>
          <t>塔莎的花园 · 【福禄考】阳台盆栽室外好养新手情书花卉仙气清新</t>
        </is>
      </c>
      <c r="B3575" t="inlineStr">
        <is>
          <t>recvfvVmDw6Kiy.jpg</t>
        </is>
      </c>
      <c r="C3575" s="2" t="str">
        <f>=HYPERLINK("https://xhslink.com/m/6Frr5dhDv83", "https://xhslink.com/m/6Frr5dhDv83")</f>
        <v>https://xhslink.com/m/6Frr5dhDv83</v>
      </c>
      <c r="D3575"/>
      <c r="E3575">
        <v>734</v>
      </c>
      <c r="F3575">
        <v>29.8</v>
      </c>
      <c r="G3575"/>
      <c r="H3575">
        <v>100</v>
      </c>
      <c r="I3575" t="inlineStr">
        <is>
          <t>盆栽</t>
        </is>
      </c>
      <c r="J3575" t="inlineStr">
        <is>
          <t>0.14</t>
        </is>
      </c>
      <c r="K3575"/>
      <c r="L3575" t="inlineStr">
        <is>
          <t>塔莎的花园旗舰店</t>
        </is>
      </c>
      <c r="M3575">
        <v>1256000</v>
      </c>
      <c r="N3575">
        <v>4.52</v>
      </c>
      <c r="O3575">
        <v>328000</v>
      </c>
      <c r="P3575" t="inlineStr">
        <is>
          <t>692ba6d695624300017919e0</t>
        </is>
      </c>
      <c r="Q3575"/>
      <c r="R3575" t="inlineStr">
        <is>
          <t>14周</t>
        </is>
      </c>
      <c r="S3575" t="inlineStr">
        <is>
          <t>0.00</t>
        </is>
      </c>
      <c r="T3575" t="inlineStr">
        <is>
          <t>家居生活</t>
        </is>
      </c>
      <c r="U3575" t="inlineStr">
        <is>
          <t>家具家装</t>
        </is>
      </c>
      <c r="V3575" s="3">
        <v>46113.55826388889</v>
      </c>
      <c r="W3575" t="inlineStr">
        <is>
          <t>2026-Q2</t>
        </is>
      </c>
    </row>
    <row r="3576" ht="25.5" customHeight="1">
      <c r="A3576" t="inlineStr">
        <is>
          <t>原盆进口铃兰球根花卉阳台耐寒花苗带芽多年生网红开花植物盆栽</t>
        </is>
      </c>
      <c r="B3576" t="inlineStr">
        <is>
          <t>recvfvVmDwL5nn.jpg</t>
        </is>
      </c>
      <c r="C3576" s="2" t="str">
        <f>=HYPERLINK("https://xhslink.com/m/4JPo1FbxPZS", "https://xhslink.com/m/4JPo1FbxPZS")</f>
        <v>https://xhslink.com/m/4JPo1FbxPZS</v>
      </c>
      <c r="D3576"/>
      <c r="E3576">
        <v>7345</v>
      </c>
      <c r="F3576">
        <v>498</v>
      </c>
      <c r="G3576"/>
      <c r="H3576">
        <v>100</v>
      </c>
      <c r="I3576" t="inlineStr">
        <is>
          <t>盆栽</t>
        </is>
      </c>
      <c r="J3576" t="inlineStr">
        <is>
          <t>0.01</t>
        </is>
      </c>
      <c r="K3576"/>
      <c r="L3576" t="inlineStr">
        <is>
          <t>邹邹的园艺生活的店</t>
        </is>
      </c>
      <c r="M3576">
        <v>110000</v>
      </c>
      <c r="N3576">
        <v>4.55</v>
      </c>
      <c r="O3576">
        <v>41000</v>
      </c>
      <c r="P3576" t="inlineStr">
        <is>
          <t>695a2bf2caf67500018d6562</t>
        </is>
      </c>
      <c r="Q3576"/>
      <c r="R3576" t="inlineStr">
        <is>
          <t>14周</t>
        </is>
      </c>
      <c r="S3576" t="inlineStr">
        <is>
          <t>0.07</t>
        </is>
      </c>
      <c r="T3576" t="inlineStr">
        <is>
          <t>家居生活</t>
        </is>
      </c>
      <c r="U3576" t="inlineStr">
        <is>
          <t>家具家装</t>
        </is>
      </c>
      <c r="V3576" s="3">
        <v>46113.55826388889</v>
      </c>
      <c r="W3576" t="inlineStr">
        <is>
          <t>2026-Q2</t>
        </is>
      </c>
    </row>
    <row r="3577" ht="25.5" customHeight="1">
      <c r="A3577" t="inlineStr">
        <is>
          <t>吸盘厨房纸巾架免打孔橱柜保鲜膜挂抹布架纸巾卷纸架</t>
        </is>
      </c>
      <c r="B3577" t="inlineStr">
        <is>
          <t>recvfvVmDw76Na.jpg</t>
        </is>
      </c>
      <c r="C3577" s="2" t="str">
        <f>=HYPERLINK("https://xhslink.com/m/7EnkP7Oebmi", "https://xhslink.com/m/7EnkP7Oebmi")</f>
        <v>https://xhslink.com/m/7EnkP7Oebmi</v>
      </c>
      <c r="D3577"/>
      <c r="E3577">
        <v>16000</v>
      </c>
      <c r="F3577">
        <v>29.9</v>
      </c>
      <c r="G3577">
        <v>25.9</v>
      </c>
      <c r="H3577">
        <v>100</v>
      </c>
      <c r="I3577" t="inlineStr">
        <is>
          <t>厨房用品</t>
        </is>
      </c>
      <c r="J3577" t="inlineStr">
        <is>
          <t>0.01</t>
        </is>
      </c>
      <c r="K3577"/>
      <c r="L3577" t="inlineStr">
        <is>
          <t>半岛良品 让生活上镜的店</t>
        </is>
      </c>
      <c r="M3577">
        <v>10000</v>
      </c>
      <c r="N3577">
        <v>4.51</v>
      </c>
      <c r="O3577">
        <v>80000</v>
      </c>
      <c r="P3577" t="inlineStr">
        <is>
          <t>6760dbf4d684d70015faec76</t>
        </is>
      </c>
      <c r="Q3577"/>
      <c r="R3577" t="inlineStr">
        <is>
          <t>14周</t>
        </is>
      </c>
      <c r="S3577" t="inlineStr">
        <is>
          <t>1.60</t>
        </is>
      </c>
      <c r="T3577" t="inlineStr">
        <is>
          <t>家居生活</t>
        </is>
      </c>
      <c r="U3577" t="inlineStr">
        <is>
          <t>厨房餐饮</t>
        </is>
      </c>
      <c r="V3577" s="3">
        <v>46113.55826388889</v>
      </c>
      <c r="W3577" t="inlineStr">
        <is>
          <t>2026-Q2</t>
        </is>
      </c>
    </row>
    <row r="3578" ht="25.5" customHeight="1">
      <c r="A3578" t="inlineStr">
        <is>
          <t>304不锈钢沥水架厨房置物架附导水托盘台面碗筷收纳架家用沥水架</t>
        </is>
      </c>
      <c r="B3578" t="inlineStr">
        <is>
          <t>recvfvVmDwXHcy.jpg</t>
        </is>
      </c>
      <c r="C3578" s="2" t="str">
        <f>=HYPERLINK("https://xhslink.com/m/6pYBld2vkTN", "https://xhslink.com/m/6pYBld2vkTN")</f>
        <v>https://xhslink.com/m/6pYBld2vkTN</v>
      </c>
      <c r="D3578"/>
      <c r="E3578">
        <v>5045</v>
      </c>
      <c r="F3578">
        <v>99.9</v>
      </c>
      <c r="G3578">
        <v>84.91</v>
      </c>
      <c r="H3578">
        <v>100</v>
      </c>
      <c r="I3578" t="inlineStr">
        <is>
          <t>厨房用品</t>
        </is>
      </c>
      <c r="J3578" t="inlineStr">
        <is>
          <t>0.02</t>
        </is>
      </c>
      <c r="K3578" t="inlineStr">
        <is>
          <t>🔥低粉爆款</t>
        </is>
      </c>
      <c r="L3578" t="inlineStr">
        <is>
          <t>希以安轩的店</t>
        </is>
      </c>
      <c r="M3578">
        <v>672</v>
      </c>
      <c r="N3578">
        <v>4.61</v>
      </c>
      <c r="O3578">
        <v>6197</v>
      </c>
      <c r="P3578" t="inlineStr">
        <is>
          <t>680db474ba99fa0001ee76d4</t>
        </is>
      </c>
      <c r="Q3578" t="inlineStr">
        <is>
          <t>🚫重复</t>
        </is>
      </c>
      <c r="R3578" t="inlineStr">
        <is>
          <t>14周</t>
        </is>
      </c>
      <c r="S3578" t="inlineStr">
        <is>
          <t>7.51</t>
        </is>
      </c>
      <c r="T3578" t="inlineStr">
        <is>
          <t>家居生活</t>
        </is>
      </c>
      <c r="U3578" t="inlineStr">
        <is>
          <t>厨房餐饮</t>
        </is>
      </c>
      <c r="V3578" s="3">
        <v>46113.55826388889</v>
      </c>
      <c r="W3578" t="inlineStr">
        <is>
          <t>2026-Q2</t>
        </is>
      </c>
    </row>
    <row r="3579" ht="25.5" customHeight="1">
      <c r="A3579" t="inlineStr">
        <is>
          <t>喵仙儿 · 红伞伞红蘑菇麻绳猫抓柱猫玩具百搭可爱高颜值</t>
        </is>
      </c>
      <c r="B3579" t="inlineStr">
        <is>
          <t>recvfvVmDwiJa9.jpg</t>
        </is>
      </c>
      <c r="C3579" s="2" t="str">
        <f>=HYPERLINK("https://xhslink.com/m/7yewY6VgbE2", "https://xhslink.com/m/7yewY6VgbE2")</f>
        <v>https://xhslink.com/m/7yewY6VgbE2</v>
      </c>
      <c r="D3579"/>
      <c r="E3579">
        <v>60000</v>
      </c>
      <c r="F3579">
        <v>62.5</v>
      </c>
      <c r="G3579">
        <v>40.5</v>
      </c>
      <c r="H3579">
        <v>100</v>
      </c>
      <c r="I3579" t="inlineStr">
        <is>
          <t>小猫玩具</t>
        </is>
      </c>
      <c r="J3579" t="inlineStr">
        <is>
          <t>0.00</t>
        </is>
      </c>
      <c r="K3579"/>
      <c r="L3579" t="inlineStr">
        <is>
          <t>喵仙儿宠物的店</t>
        </is>
      </c>
      <c r="M3579">
        <v>46000</v>
      </c>
      <c r="N3579">
        <v>4.49</v>
      </c>
      <c r="O3579">
        <v>482000</v>
      </c>
      <c r="P3579" t="inlineStr">
        <is>
          <t>62f5c1f55eb4b10001da747d</t>
        </is>
      </c>
      <c r="Q3579" t="inlineStr">
        <is>
          <t>🚫重复</t>
        </is>
      </c>
      <c r="R3579" t="inlineStr">
        <is>
          <t>14周</t>
        </is>
      </c>
      <c r="S3579" t="inlineStr">
        <is>
          <t>1.30</t>
        </is>
      </c>
      <c r="T3579" t="inlineStr">
        <is>
          <t>家居生活</t>
        </is>
      </c>
      <c r="U3579" t="inlineStr">
        <is>
          <t>家居日用</t>
        </is>
      </c>
      <c r="V3579" s="3">
        <v>46113.55826388889</v>
      </c>
      <c r="W3579" t="inlineStr">
        <is>
          <t>2026-Q2</t>
        </is>
      </c>
    </row>
    <row r="3580" ht="25.5" customHeight="1">
      <c r="A3580" t="inlineStr">
        <is>
          <t>邹三和 · 【店长推荐】500g去骨鸭掌贡菜脆爽 椒麻/香辣/酸辣 追剧露营零食</t>
        </is>
      </c>
      <c r="B3580" t="inlineStr">
        <is>
          <t>recvfvVmDwcoKW.jpg</t>
        </is>
      </c>
      <c r="C3580" s="2" t="str">
        <f>=HYPERLINK("https://xhslink.com/m/5QoSqWxcdrY", "https://xhslink.com/m/5QoSqWxcdrY")</f>
        <v>https://xhslink.com/m/5QoSqWxcdrY</v>
      </c>
      <c r="D3580"/>
      <c r="E3580">
        <v>333000</v>
      </c>
      <c r="F3580">
        <v>87.8</v>
      </c>
      <c r="G3580">
        <v>64.8</v>
      </c>
      <c r="H3580">
        <v>100</v>
      </c>
      <c r="I3580" t="inlineStr">
        <is>
          <t>卤味肉干</t>
        </is>
      </c>
      <c r="J3580" t="inlineStr">
        <is>
          <t>0.00</t>
        </is>
      </c>
      <c r="K3580"/>
      <c r="L3580" t="inlineStr">
        <is>
          <t>邹三和旗舰店</t>
        </is>
      </c>
      <c r="M3580">
        <v>269000</v>
      </c>
      <c r="N3580">
        <v>4.58</v>
      </c>
      <c r="O3580">
        <v>1759000</v>
      </c>
      <c r="P3580" t="inlineStr">
        <is>
          <t>669a150376267a00010bc072</t>
        </is>
      </c>
      <c r="Q3580" t="inlineStr">
        <is>
          <t>🚫重复</t>
        </is>
      </c>
      <c r="R3580" t="inlineStr">
        <is>
          <t>14周</t>
        </is>
      </c>
      <c r="S3580" t="inlineStr">
        <is>
          <t>1.24</t>
        </is>
      </c>
      <c r="T3580" t="inlineStr">
        <is>
          <t>美食滋补</t>
        </is>
      </c>
      <c r="U3580" t="inlineStr">
        <is>
          <t>休闲零食</t>
        </is>
      </c>
      <c r="V3580" s="3">
        <v>46113.55826388889</v>
      </c>
      <c r="W3580" t="inlineStr">
        <is>
          <t>2026-Q2</t>
        </is>
      </c>
    </row>
    <row r="3581" ht="25.5" customHeight="1">
      <c r="A3581" t="inlineStr">
        <is>
          <t>必吃榜!0防腐鲜吊龙原切猪肉脯潮汕办公室追剧零食吃肉的陈肉肉</t>
        </is>
      </c>
      <c r="B3581" t="inlineStr">
        <is>
          <t>recvfvVmDwluGC.jpg</t>
        </is>
      </c>
      <c r="C3581" s="2" t="str">
        <f>=HYPERLINK("https://xhslink.com/m/1UqEVoAjHsL", "https://xhslink.com/m/1UqEVoAjHsL")</f>
        <v>https://xhslink.com/m/1UqEVoAjHsL</v>
      </c>
      <c r="D3581"/>
      <c r="E3581">
        <v>146000</v>
      </c>
      <c r="F3581">
        <v>70</v>
      </c>
      <c r="G3581">
        <v>35.8</v>
      </c>
      <c r="H3581">
        <v>100</v>
      </c>
      <c r="I3581" t="inlineStr">
        <is>
          <t>卤味肉干</t>
        </is>
      </c>
      <c r="J3581" t="inlineStr">
        <is>
          <t>0.00</t>
        </is>
      </c>
      <c r="K3581" t="inlineStr">
        <is>
          <t>🔥低粉爆款</t>
        </is>
      </c>
      <c r="L3581" t="inlineStr">
        <is>
          <t>吃肉的陈肉肉食品的店</t>
        </is>
      </c>
      <c r="M3581">
        <v>5379</v>
      </c>
      <c r="N3581">
        <v>4.49</v>
      </c>
      <c r="O3581">
        <v>229000</v>
      </c>
      <c r="P3581" t="inlineStr">
        <is>
          <t>66623d980f78be0001beffe1</t>
        </is>
      </c>
      <c r="Q3581" t="inlineStr">
        <is>
          <t>🚫重复</t>
        </is>
      </c>
      <c r="R3581" t="inlineStr">
        <is>
          <t>14周</t>
        </is>
      </c>
      <c r="S3581" t="inlineStr">
        <is>
          <t>27.14</t>
        </is>
      </c>
      <c r="T3581" t="inlineStr">
        <is>
          <t>美食滋补</t>
        </is>
      </c>
      <c r="U3581" t="inlineStr">
        <is>
          <t>休闲零食</t>
        </is>
      </c>
      <c r="V3581" s="3">
        <v>46113.55826388889</v>
      </c>
      <c r="W3581" t="inlineStr">
        <is>
          <t>2026-Q2</t>
        </is>
      </c>
    </row>
    <row r="3582" ht="25.5" customHeight="1">
      <c r="A3582" t="inlineStr">
        <is>
          <t>王大爪 · 柠檬无骨鸡爪 顺丰包邮 现做现发 无添加纯手工制作</t>
        </is>
      </c>
      <c r="B3582" t="inlineStr">
        <is>
          <t>recvfvVmDwdgbA.jpg</t>
        </is>
      </c>
      <c r="C3582" s="2" t="str">
        <f>=HYPERLINK("https://xhslink.com/m/1ivGKMTZpp8", "https://xhslink.com/m/1ivGKMTZpp8")</f>
        <v>https://xhslink.com/m/1ivGKMTZpp8</v>
      </c>
      <c r="D3582"/>
      <c r="E3582">
        <v>41000</v>
      </c>
      <c r="F3582">
        <v>38</v>
      </c>
      <c r="G3582">
        <v>33.44</v>
      </c>
      <c r="H3582">
        <v>100</v>
      </c>
      <c r="I3582" t="inlineStr">
        <is>
          <t>卤味肉干</t>
        </is>
      </c>
      <c r="J3582" t="inlineStr">
        <is>
          <t>0.00</t>
        </is>
      </c>
      <c r="K3582" t="inlineStr">
        <is>
          <t>🔥低粉爆款</t>
        </is>
      </c>
      <c r="L3582" t="inlineStr">
        <is>
          <t>强哥美食的店</t>
        </is>
      </c>
      <c r="M3582">
        <v>3718</v>
      </c>
      <c r="N3582">
        <v>4.66</v>
      </c>
      <c r="O3582">
        <v>41000</v>
      </c>
      <c r="P3582" t="inlineStr">
        <is>
          <t>68148c87f8bbf80001ed66b0</t>
        </is>
      </c>
      <c r="Q3582" t="inlineStr">
        <is>
          <t>🚫重复</t>
        </is>
      </c>
      <c r="R3582" t="inlineStr">
        <is>
          <t>14周</t>
        </is>
      </c>
      <c r="S3582" t="inlineStr">
        <is>
          <t>11.03</t>
        </is>
      </c>
      <c r="T3582" t="inlineStr">
        <is>
          <t>美食滋补</t>
        </is>
      </c>
      <c r="U3582" t="inlineStr">
        <is>
          <t>休闲零食</t>
        </is>
      </c>
      <c r="V3582" s="3">
        <v>46113.55826388889</v>
      </c>
      <c r="W3582" t="inlineStr">
        <is>
          <t>2026-Q2</t>
        </is>
      </c>
    </row>
    <row r="3583" ht="25.5" customHeight="1">
      <c r="A3583" t="inlineStr">
        <is>
          <t>storyway · 高档净齿软毛牙刷抗菌护龈抗敏感宽头牙刷深层清洁男女家用礼盒装</t>
        </is>
      </c>
      <c r="B3583" t="inlineStr">
        <is>
          <t>recvfvVmDwXrtq.jpg</t>
        </is>
      </c>
      <c r="C3583" s="2" t="str">
        <f>=HYPERLINK("https://xhslink.com/m/988ERtuFHQM", "https://xhslink.com/m/988ERtuFHQM")</f>
        <v>https://xhslink.com/m/988ERtuFHQM</v>
      </c>
      <c r="D3583"/>
      <c r="E3583">
        <v>65000</v>
      </c>
      <c r="F3583">
        <v>109</v>
      </c>
      <c r="G3583">
        <v>29.8</v>
      </c>
      <c r="H3583">
        <v>100</v>
      </c>
      <c r="I3583" t="inlineStr">
        <is>
          <t>口腔护理</t>
        </is>
      </c>
      <c r="J3583" t="inlineStr">
        <is>
          <t>0.00</t>
        </is>
      </c>
      <c r="K3583" t="inlineStr">
        <is>
          <t>🔥低粉爆款</t>
        </is>
      </c>
      <c r="L3583" t="inlineStr">
        <is>
          <t>storyway旗舰店</t>
        </is>
      </c>
      <c r="M3583">
        <v>3286</v>
      </c>
      <c r="N3583">
        <v>4.55</v>
      </c>
      <c r="O3583">
        <v>76000</v>
      </c>
      <c r="P3583" t="inlineStr">
        <is>
          <t>66b098a65ef6bc000135b3c0</t>
        </is>
      </c>
      <c r="Q3583"/>
      <c r="R3583" t="inlineStr">
        <is>
          <t>14周</t>
        </is>
      </c>
      <c r="S3583" t="inlineStr">
        <is>
          <t>19.78</t>
        </is>
      </c>
      <c r="T3583" t="inlineStr">
        <is>
          <t>美妆个护</t>
        </is>
      </c>
      <c r="U3583" t="inlineStr">
        <is>
          <t>个人护理</t>
        </is>
      </c>
      <c r="V3583" s="3">
        <v>46113.55826388889</v>
      </c>
      <c r="W3583" t="inlineStr">
        <is>
          <t>2026-Q2</t>
        </is>
      </c>
    </row>
    <row r="3584" ht="25.5" customHeight="1">
      <c r="A3584" t="inlineStr">
        <is>
          <t>EHD · 净白健齿洁牙粉净白牙齿约会不尴尬</t>
        </is>
      </c>
      <c r="B3584" t="inlineStr">
        <is>
          <t>recvfvVmDwoE7J.jpg</t>
        </is>
      </c>
      <c r="C3584" s="2" t="str">
        <f>=HYPERLINK("https://xhslink.com/m/4hvUxfOP7Uw", "https://xhslink.com/m/4hvUxfOP7Uw")</f>
        <v>https://xhslink.com/m/4hvUxfOP7Uw</v>
      </c>
      <c r="D3584"/>
      <c r="E3584">
        <v>178000</v>
      </c>
      <c r="F3584">
        <v>109.9</v>
      </c>
      <c r="G3584"/>
      <c r="H3584">
        <v>100</v>
      </c>
      <c r="I3584" t="inlineStr">
        <is>
          <t>口腔护理</t>
        </is>
      </c>
      <c r="J3584" t="inlineStr">
        <is>
          <t>0.00</t>
        </is>
      </c>
      <c r="K3584"/>
      <c r="L3584" t="inlineStr">
        <is>
          <t>EHD旗舰店</t>
        </is>
      </c>
      <c r="M3584">
        <v>402000</v>
      </c>
      <c r="N3584">
        <v>4.65</v>
      </c>
      <c r="O3584">
        <v>6483000</v>
      </c>
      <c r="P3584" t="inlineStr">
        <is>
          <t>64379d8f9e642d00014496d9</t>
        </is>
      </c>
      <c r="Q3584" t="inlineStr">
        <is>
          <t>🚫重复</t>
        </is>
      </c>
      <c r="R3584" t="inlineStr">
        <is>
          <t>14周</t>
        </is>
      </c>
      <c r="S3584" t="inlineStr">
        <is>
          <t>0.44</t>
        </is>
      </c>
      <c r="T3584" t="inlineStr">
        <is>
          <t>美妆个护</t>
        </is>
      </c>
      <c r="U3584" t="inlineStr">
        <is>
          <t>个人护理</t>
        </is>
      </c>
      <c r="V3584" s="3">
        <v>46113.55826388889</v>
      </c>
      <c r="W3584" t="inlineStr">
        <is>
          <t>2026-Q2</t>
        </is>
      </c>
    </row>
    <row r="3585" ht="25.5" customHeight="1">
      <c r="A3585" t="inlineStr">
        <is>
          <t>SmileKit · 炫白牙贴去渍洁白提亮清洁牙渍清新口气亮白美牙贴</t>
        </is>
      </c>
      <c r="B3585" t="inlineStr">
        <is>
          <t>recvfvVmDw5bLd.jpg</t>
        </is>
      </c>
      <c r="C3585" s="2" t="str">
        <f>=HYPERLINK("https://xhslink.com/m/6eUMNAjK4h1", "https://xhslink.com/m/6eUMNAjK4h1")</f>
        <v>https://xhslink.com/m/6eUMNAjK4h1</v>
      </c>
      <c r="D3585"/>
      <c r="E3585">
        <v>29000</v>
      </c>
      <c r="F3585">
        <v>34.9</v>
      </c>
      <c r="G3585">
        <v>24.9</v>
      </c>
      <c r="H3585">
        <v>100</v>
      </c>
      <c r="I3585" t="inlineStr">
        <is>
          <t>口腔护理</t>
        </is>
      </c>
      <c r="J3585" t="inlineStr">
        <is>
          <t>0.00</t>
        </is>
      </c>
      <c r="K3585" t="inlineStr">
        <is>
          <t>🔥低粉爆款</t>
        </is>
      </c>
      <c r="L3585" t="inlineStr">
        <is>
          <t>鲸落优选的店</t>
        </is>
      </c>
      <c r="M3585">
        <v>28</v>
      </c>
      <c r="N3585">
        <v>4.63</v>
      </c>
      <c r="O3585">
        <v>29000</v>
      </c>
      <c r="P3585" t="inlineStr">
        <is>
          <t>6785c81c509bdf0001f54f66</t>
        </is>
      </c>
      <c r="Q3585"/>
      <c r="R3585" t="inlineStr">
        <is>
          <t>14周</t>
        </is>
      </c>
      <c r="S3585" t="inlineStr">
        <is>
          <t>1035.71</t>
        </is>
      </c>
      <c r="T3585" t="inlineStr">
        <is>
          <t>美妆个护</t>
        </is>
      </c>
      <c r="U3585" t="inlineStr">
        <is>
          <t>护肤彩妆</t>
        </is>
      </c>
      <c r="V3585" s="3">
        <v>46113.55826388889</v>
      </c>
      <c r="W3585" t="inlineStr">
        <is>
          <t>2026-Q2</t>
        </is>
      </c>
    </row>
    <row r="3586" ht="25.5" customHeight="1">
      <c r="A3586" t="inlineStr">
        <is>
          <t>KCGC · 碘络酮漱口水持久留香口臭清新口腔清爽大容量男女通用正品-</t>
        </is>
      </c>
      <c r="B3586" t="inlineStr">
        <is>
          <t>recvfvVmDwafhS.jpg</t>
        </is>
      </c>
      <c r="C3586" s="2" t="str">
        <f>=HYPERLINK("https://xhslink.com/m/4a8C1QLjsYW", "https://xhslink.com/m/4a8C1QLjsYW")</f>
        <v>https://xhslink.com/m/4a8C1QLjsYW</v>
      </c>
      <c r="D3586"/>
      <c r="E3586">
        <v>6166</v>
      </c>
      <c r="F3586">
        <v>39.9</v>
      </c>
      <c r="G3586">
        <v>36.9</v>
      </c>
      <c r="H3586">
        <v>100</v>
      </c>
      <c r="I3586" t="inlineStr">
        <is>
          <t>口腔护理</t>
        </is>
      </c>
      <c r="J3586" t="inlineStr">
        <is>
          <t>0.02</t>
        </is>
      </c>
      <c r="K3586" t="inlineStr">
        <is>
          <t>🔥低粉爆款</t>
        </is>
      </c>
      <c r="L3586" t="inlineStr">
        <is>
          <t>彼维恩个人护理的店</t>
        </is>
      </c>
      <c r="M3586">
        <v>2041</v>
      </c>
      <c r="N3586">
        <v>4.48</v>
      </c>
      <c r="O3586">
        <v>6234</v>
      </c>
      <c r="P3586" t="inlineStr">
        <is>
          <t>694f7b958ff5d400015926b2</t>
        </is>
      </c>
      <c r="Q3586"/>
      <c r="R3586" t="inlineStr">
        <is>
          <t>14周</t>
        </is>
      </c>
      <c r="S3586" t="inlineStr">
        <is>
          <t>3.02</t>
        </is>
      </c>
      <c r="T3586" t="inlineStr">
        <is>
          <t>美妆个护</t>
        </is>
      </c>
      <c r="U3586" t="inlineStr">
        <is>
          <t>个人护理</t>
        </is>
      </c>
      <c r="V3586" s="3">
        <v>46113.55826388889</v>
      </c>
      <c r="W3586" t="inlineStr">
        <is>
          <t>2026-Q2</t>
        </is>
      </c>
    </row>
    <row r="3587" ht="25.5" customHeight="1">
      <c r="A3587" t="inlineStr">
        <is>
          <t>SOSK · 口腔抑菌液清新喷雾剂清洁口臭口气口喷男女便携官方旗舰店</t>
        </is>
      </c>
      <c r="B3587" t="inlineStr">
        <is>
          <t>recvfvVmDwnVNB.jpg</t>
        </is>
      </c>
      <c r="C3587" s="2" t="str">
        <f>=HYPERLINK("https://xhslink.com/m/6xVbz0YhGbo", "https://xhslink.com/m/6xVbz0YhGbo")</f>
        <v>https://xhslink.com/m/6xVbz0YhGbo</v>
      </c>
      <c r="D3587"/>
      <c r="E3587">
        <v>30000</v>
      </c>
      <c r="F3587">
        <v>240</v>
      </c>
      <c r="G3587">
        <v>191.2</v>
      </c>
      <c r="H3587">
        <v>100</v>
      </c>
      <c r="I3587" t="inlineStr">
        <is>
          <t>口腔护理</t>
        </is>
      </c>
      <c r="J3587" t="inlineStr">
        <is>
          <t>0.00</t>
        </is>
      </c>
      <c r="K3587" t="inlineStr">
        <is>
          <t>🔥低粉爆款</t>
        </is>
      </c>
      <c r="L3587" t="inlineStr">
        <is>
          <t>SOSK旗舰店</t>
        </is>
      </c>
      <c r="M3587">
        <v>2059</v>
      </c>
      <c r="N3587">
        <v>4.73</v>
      </c>
      <c r="O3587">
        <v>31000</v>
      </c>
      <c r="P3587" t="inlineStr">
        <is>
          <t>6800cd9c0bb027000180cbee</t>
        </is>
      </c>
      <c r="Q3587"/>
      <c r="R3587" t="inlineStr">
        <is>
          <t>14周</t>
        </is>
      </c>
      <c r="S3587" t="inlineStr">
        <is>
          <t>14.57</t>
        </is>
      </c>
      <c r="T3587" t="inlineStr">
        <is>
          <t>美妆个护</t>
        </is>
      </c>
      <c r="U3587" t="inlineStr">
        <is>
          <t>个人护理</t>
        </is>
      </c>
      <c r="V3587" s="3">
        <v>46113.55826388889</v>
      </c>
      <c r="W3587" t="inlineStr">
        <is>
          <t>2026-Q2</t>
        </is>
      </c>
    </row>
    <row r="3588" ht="25.5" customHeight="1">
      <c r="A3588" t="inlineStr">
        <is>
          <t>PULJIM²宝玑米 · 【福利价】身体冷霜100g艺术版三周年保湿留香依兰香身体乳</t>
        </is>
      </c>
      <c r="B3588" t="inlineStr">
        <is>
          <t>recvfvVmDwav8k.jpg</t>
        </is>
      </c>
      <c r="C3588" s="2" t="str">
        <f>=HYPERLINK("https://xhslink.com/m/AlMB0i29EQM", "https://xhslink.com/m/AlMB0i29EQM")</f>
        <v>https://xhslink.com/m/AlMB0i29EQM</v>
      </c>
      <c r="D3588"/>
      <c r="E3588">
        <v>127000</v>
      </c>
      <c r="F3588">
        <v>79</v>
      </c>
      <c r="G3588">
        <v>25.9</v>
      </c>
      <c r="H3588">
        <v>100</v>
      </c>
      <c r="I3588" t="inlineStr">
        <is>
          <t>身体护理</t>
        </is>
      </c>
      <c r="J3588" t="inlineStr">
        <is>
          <t>0.00</t>
        </is>
      </c>
      <c r="K3588"/>
      <c r="L3588" t="inlineStr">
        <is>
          <t>PULJIM² 宝玑米旗舰店</t>
        </is>
      </c>
      <c r="M3588">
        <v>77000</v>
      </c>
      <c r="N3588">
        <v>4.67</v>
      </c>
      <c r="O3588">
        <v>439000</v>
      </c>
      <c r="P3588" t="inlineStr">
        <is>
          <t>675141f0bdb59000019d6ef6</t>
        </is>
      </c>
      <c r="Q3588" t="inlineStr">
        <is>
          <t>🚫重复</t>
        </is>
      </c>
      <c r="R3588" t="inlineStr">
        <is>
          <t>14周</t>
        </is>
      </c>
      <c r="S3588" t="inlineStr">
        <is>
          <t>1.65</t>
        </is>
      </c>
      <c r="T3588" t="inlineStr">
        <is>
          <t>美妆个护</t>
        </is>
      </c>
      <c r="U3588" t="inlineStr">
        <is>
          <t>个人护理</t>
        </is>
      </c>
      <c r="V3588" s="3">
        <v>46113.55826388889</v>
      </c>
      <c r="W3588" t="inlineStr">
        <is>
          <t>2026-Q2</t>
        </is>
      </c>
    </row>
    <row r="3589" ht="25.5" customHeight="1">
      <c r="A3589" t="inlineStr">
        <is>
          <t>Van Reed · 法式香氛止汗露【正品授权】香膏高级木质香滚珠30ml去异味</t>
        </is>
      </c>
      <c r="B3589" t="inlineStr">
        <is>
          <t>recvfvVmDwI535.jpg</t>
        </is>
      </c>
      <c r="C3589" s="2" t="str">
        <f>=HYPERLINK("https://xhslink.com/m/5n0eDlA3Kl", "https://xhslink.com/m/5n0eDlA3Kl")</f>
        <v>https://xhslink.com/m/5n0eDlA3Kl</v>
      </c>
      <c r="D3589"/>
      <c r="E3589">
        <v>30000</v>
      </c>
      <c r="F3589">
        <v>49</v>
      </c>
      <c r="G3589">
        <v>39</v>
      </c>
      <c r="H3589">
        <v>100</v>
      </c>
      <c r="I3589" t="inlineStr">
        <is>
          <t>身体护理</t>
        </is>
      </c>
      <c r="J3589" t="inlineStr">
        <is>
          <t>0.00</t>
        </is>
      </c>
      <c r="K3589" t="inlineStr">
        <is>
          <t>🔥低粉爆款</t>
        </is>
      </c>
      <c r="L3589" t="inlineStr">
        <is>
          <t>芒果黏黏酱的店</t>
        </is>
      </c>
      <c r="M3589">
        <v>6494</v>
      </c>
      <c r="N3589">
        <v>4.61</v>
      </c>
      <c r="O3589">
        <v>277000</v>
      </c>
      <c r="P3589" t="inlineStr">
        <is>
          <t>680f9805c9e7490001f00da1</t>
        </is>
      </c>
      <c r="Q3589" t="inlineStr">
        <is>
          <t>🚫重复</t>
        </is>
      </c>
      <c r="R3589" t="inlineStr">
        <is>
          <t>14周</t>
        </is>
      </c>
      <c r="S3589" t="inlineStr">
        <is>
          <t>4.62</t>
        </is>
      </c>
      <c r="T3589" t="inlineStr">
        <is>
          <t>美妆个护</t>
        </is>
      </c>
      <c r="U3589" t="inlineStr">
        <is>
          <t>个人护理</t>
        </is>
      </c>
      <c r="V3589" s="3">
        <v>46113.55826388889</v>
      </c>
      <c r="W3589" t="inlineStr">
        <is>
          <t>2026-Q2</t>
        </is>
      </c>
    </row>
    <row r="3590" ht="25.5" customHeight="1">
      <c r="A3590" t="inlineStr">
        <is>
          <t>菁纯秘密 · 美白身体乳推荐去黄提亮保湿滋润抗氧化男女通用美白正品推荐学生</t>
        </is>
      </c>
      <c r="B3590" t="inlineStr">
        <is>
          <t>recvfvVmDwZKnL.jpg</t>
        </is>
      </c>
      <c r="C3590" s="2" t="str">
        <f>=HYPERLINK("https://xhslink.com/m/3eGNHKtIDN5", "https://xhslink.com/m/3eGNHKtIDN5")</f>
        <v>https://xhslink.com/m/3eGNHKtIDN5</v>
      </c>
      <c r="D3590"/>
      <c r="E3590">
        <v>14000</v>
      </c>
      <c r="F3590">
        <v>59.8</v>
      </c>
      <c r="G3590">
        <v>29.9</v>
      </c>
      <c r="H3590">
        <v>100</v>
      </c>
      <c r="I3590" t="inlineStr">
        <is>
          <t>身体护理</t>
        </is>
      </c>
      <c r="J3590" t="inlineStr">
        <is>
          <t>0.01</t>
        </is>
      </c>
      <c r="K3590"/>
      <c r="L3590" t="inlineStr">
        <is>
          <t>Loofy魔法洗护屋的店</t>
        </is>
      </c>
      <c r="M3590">
        <v>5351</v>
      </c>
      <c r="N3590">
        <v>4.39</v>
      </c>
      <c r="O3590">
        <v>83000</v>
      </c>
      <c r="P3590" t="inlineStr">
        <is>
          <t>68930198b1b9df000176bc93</t>
        </is>
      </c>
      <c r="Q3590" t="inlineStr">
        <is>
          <t>🚫重复</t>
        </is>
      </c>
      <c r="R3590" t="inlineStr">
        <is>
          <t>14周</t>
        </is>
      </c>
      <c r="S3590" t="inlineStr">
        <is>
          <t>2.62</t>
        </is>
      </c>
      <c r="T3590" t="inlineStr">
        <is>
          <t>美妆个护</t>
        </is>
      </c>
      <c r="U3590" t="inlineStr">
        <is>
          <t>个人护理</t>
        </is>
      </c>
      <c r="V3590" s="3">
        <v>46113.55826388889</v>
      </c>
      <c r="W3590" t="inlineStr">
        <is>
          <t>2026-Q2</t>
        </is>
      </c>
    </row>
    <row r="3591" ht="25.5" customHeight="1">
      <c r="A3591" t="inlineStr">
        <is>
          <t>御宛博艾 · 【限时特惠】去除背上长痘痘后背祛痘背粒消背部除螨前胸美背喷雾</t>
        </is>
      </c>
      <c r="B3591" t="inlineStr">
        <is>
          <t>recvfvVmDwaQJQ_fix.jpg</t>
        </is>
      </c>
      <c r="C3591" s="2" t="str">
        <f>=HYPERLINK("https://xhslink.com/m/AX5uGArmbfY", "https://xhslink.com/m/AX5uGArmbfY")</f>
        <v>https://xhslink.com/m/AX5uGArmbfY</v>
      </c>
      <c r="D3591"/>
      <c r="E3591">
        <v>13000</v>
      </c>
      <c r="F3591">
        <v>48.5</v>
      </c>
      <c r="G3591">
        <v>36.5</v>
      </c>
      <c r="H3591">
        <v>100</v>
      </c>
      <c r="I3591" t="inlineStr">
        <is>
          <t>身体护理</t>
        </is>
      </c>
      <c r="J3591" t="inlineStr">
        <is>
          <t>0.01</t>
        </is>
      </c>
      <c r="K3591" t="inlineStr">
        <is>
          <t>🔥低粉爆款</t>
        </is>
      </c>
      <c r="L3591" t="inlineStr">
        <is>
          <t>优选美护的店</t>
        </is>
      </c>
      <c r="M3591">
        <v>77</v>
      </c>
      <c r="N3591">
        <v>4.69</v>
      </c>
      <c r="O3591">
        <v>17000</v>
      </c>
      <c r="P3591" t="inlineStr">
        <is>
          <t>6819f8297ccb230001c257b1</t>
        </is>
      </c>
      <c r="Q3591" t="inlineStr">
        <is>
          <t>🚫重复</t>
        </is>
      </c>
      <c r="R3591" t="inlineStr">
        <is>
          <t>14周</t>
        </is>
      </c>
      <c r="S3591" t="inlineStr">
        <is>
          <t>168.83</t>
        </is>
      </c>
      <c r="T3591" t="inlineStr">
        <is>
          <t>美妆个护</t>
        </is>
      </c>
      <c r="U3591" t="inlineStr">
        <is>
          <t>个人护理</t>
        </is>
      </c>
      <c r="V3591" s="3">
        <v>46113.55826388889</v>
      </c>
      <c r="W3591" t="inlineStr">
        <is>
          <t>2026-Q2</t>
        </is>
      </c>
    </row>
    <row r="3592" ht="25.5" customHeight="1">
      <c r="A3592" t="inlineStr">
        <is>
          <t>青涩色彩 · 液体遮瑕 高光 修容 都是15克·拆封不退不换</t>
        </is>
      </c>
      <c r="B3592" t="inlineStr">
        <is>
          <t>recvfvVmDwZcgH_fix.jpg</t>
        </is>
      </c>
      <c r="C3592" s="2" t="str">
        <f>=HYPERLINK("https://xhslink.com/m/3Nh7zeZxnLN", "https://xhslink.com/m/3Nh7zeZxnLN")</f>
        <v>https://xhslink.com/m/3Nh7zeZxnLN</v>
      </c>
      <c r="D3592"/>
      <c r="E3592">
        <v>38000</v>
      </c>
      <c r="F3592">
        <v>29</v>
      </c>
      <c r="G3592"/>
      <c r="H3592">
        <v>100</v>
      </c>
      <c r="I3592" t="inlineStr">
        <is>
          <t>美妆</t>
        </is>
      </c>
      <c r="J3592" t="inlineStr">
        <is>
          <t>0.00</t>
        </is>
      </c>
      <c r="K3592"/>
      <c r="L3592" t="inlineStr">
        <is>
          <t>青涩色彩的店</t>
        </is>
      </c>
      <c r="M3592">
        <v>124000</v>
      </c>
      <c r="N3592">
        <v>4.6</v>
      </c>
      <c r="O3592">
        <v>456000</v>
      </c>
      <c r="P3592" t="inlineStr">
        <is>
          <t>66efbe9d86a6ff00015fcc2e</t>
        </is>
      </c>
      <c r="Q3592" t="inlineStr">
        <is>
          <t>🚫重复</t>
        </is>
      </c>
      <c r="R3592" t="inlineStr">
        <is>
          <t>14周</t>
        </is>
      </c>
      <c r="S3592" t="inlineStr">
        <is>
          <t>0.31</t>
        </is>
      </c>
      <c r="T3592" t="inlineStr">
        <is>
          <t>美妆个护</t>
        </is>
      </c>
      <c r="U3592" t="inlineStr">
        <is>
          <t>护肤彩妆</t>
        </is>
      </c>
      <c r="V3592" s="3">
        <v>46113.55826388889</v>
      </c>
      <c r="W3592" t="inlineStr">
        <is>
          <t>2026-Q2</t>
        </is>
      </c>
    </row>
    <row r="3593" ht="25.5" customHeight="1">
      <c r="A3593" t="inlineStr">
        <is>
          <t>青涩色彩 · 会融妆融妆不是质量问题新手慎拍水光膏10克 无色透明拆封不退换</t>
        </is>
      </c>
      <c r="B3593" t="inlineStr">
        <is>
          <t>recvfvVmDwP0Za_fix.jpg</t>
        </is>
      </c>
      <c r="C3593" s="2" t="str">
        <f>=HYPERLINK("https://xhslink.com/m/18iNWkxmLNH", "https://xhslink.com/m/18iNWkxmLNH")</f>
        <v>https://xhslink.com/m/18iNWkxmLNH</v>
      </c>
      <c r="D3593"/>
      <c r="E3593">
        <v>31000</v>
      </c>
      <c r="F3593">
        <v>19.9</v>
      </c>
      <c r="G3593"/>
      <c r="H3593">
        <v>100</v>
      </c>
      <c r="I3593" t="inlineStr">
        <is>
          <t>美妆</t>
        </is>
      </c>
      <c r="J3593" t="inlineStr">
        <is>
          <t>0.00</t>
        </is>
      </c>
      <c r="K3593"/>
      <c r="L3593" t="inlineStr">
        <is>
          <t>青涩色彩的店</t>
        </is>
      </c>
      <c r="M3593">
        <v>124000</v>
      </c>
      <c r="N3593">
        <v>4.6</v>
      </c>
      <c r="O3593">
        <v>456000</v>
      </c>
      <c r="P3593" t="inlineStr">
        <is>
          <t>69b8ec0f11534f00015702a6</t>
        </is>
      </c>
      <c r="Q3593" t="inlineStr">
        <is>
          <t>🚫重复</t>
        </is>
      </c>
      <c r="R3593" t="inlineStr">
        <is>
          <t>14周</t>
        </is>
      </c>
      <c r="S3593" t="inlineStr">
        <is>
          <t>0.25</t>
        </is>
      </c>
      <c r="T3593" t="inlineStr">
        <is>
          <t>美妆个护</t>
        </is>
      </c>
      <c r="U3593" t="inlineStr">
        <is>
          <t>护肤彩妆</t>
        </is>
      </c>
      <c r="V3593" s="3">
        <v>46113.55826388889</v>
      </c>
      <c r="W3593" t="inlineStr">
        <is>
          <t>2026-Q2</t>
        </is>
      </c>
    </row>
    <row r="3594" ht="25.5" customHeight="1">
      <c r="A3594" t="inlineStr">
        <is>
          <t>温丽慈 · 【品牌授权带官方防伪】韩国ongredients肌肤屏障舒缓保湿妆前乳</t>
        </is>
      </c>
      <c r="B3594" t="inlineStr">
        <is>
          <t>recvfvVmDwTbJl.jpg</t>
        </is>
      </c>
      <c r="C3594" s="2" t="str">
        <f>=HYPERLINK("https://xhslink.com/m/7HSQkZHp14s", "https://xhslink.com/m/7HSQkZHp14s")</f>
        <v>https://xhslink.com/m/7HSQkZHp14s</v>
      </c>
      <c r="D3594"/>
      <c r="E3594">
        <v>18000</v>
      </c>
      <c r="F3594">
        <v>89</v>
      </c>
      <c r="G3594"/>
      <c r="H3594">
        <v>100</v>
      </c>
      <c r="I3594" t="inlineStr">
        <is>
          <t>美妆</t>
        </is>
      </c>
      <c r="J3594" t="inlineStr">
        <is>
          <t>0.01</t>
        </is>
      </c>
      <c r="K3594"/>
      <c r="L3594" t="inlineStr">
        <is>
          <t>小依星球的店</t>
        </is>
      </c>
      <c r="M3594">
        <v>15000</v>
      </c>
      <c r="N3594">
        <v>4.46</v>
      </c>
      <c r="O3594">
        <v>118000</v>
      </c>
      <c r="P3594" t="inlineStr">
        <is>
          <t>67581e95dda058000131ca5b</t>
        </is>
      </c>
      <c r="Q3594" t="inlineStr">
        <is>
          <t>🚫重复</t>
        </is>
      </c>
      <c r="R3594" t="inlineStr">
        <is>
          <t>14周</t>
        </is>
      </c>
      <c r="S3594" t="inlineStr">
        <is>
          <t>1.20</t>
        </is>
      </c>
      <c r="T3594" t="inlineStr">
        <is>
          <t>美妆个护</t>
        </is>
      </c>
      <c r="U3594" t="inlineStr">
        <is>
          <t>护肤彩妆</t>
        </is>
      </c>
      <c r="V3594" s="3">
        <v>46113.55826388889</v>
      </c>
      <c r="W3594" t="inlineStr">
        <is>
          <t>2026-Q2</t>
        </is>
      </c>
    </row>
    <row r="3595" ht="25.5" customHeight="1">
      <c r="A3595" t="inlineStr">
        <is>
          <t>漫野 · 黄油遮瑕膏·单色遮瑕·三文鱼橘色遮黑眼圈·泪沟提亮</t>
        </is>
      </c>
      <c r="B3595" t="inlineStr">
        <is>
          <t>recvfvVmDwWr0N.jpg</t>
        </is>
      </c>
      <c r="C3595" s="2" t="str">
        <f>=HYPERLINK("https://xhslink.com/m/DBabedfjCG", "https://xhslink.com/m/DBabedfjCG")</f>
        <v>https://xhslink.com/m/DBabedfjCG</v>
      </c>
      <c r="D3595"/>
      <c r="E3595">
        <v>35000</v>
      </c>
      <c r="F3595">
        <v>49.9</v>
      </c>
      <c r="G3595"/>
      <c r="H3595">
        <v>100</v>
      </c>
      <c r="I3595" t="inlineStr">
        <is>
          <t>美妆</t>
        </is>
      </c>
      <c r="J3595" t="inlineStr">
        <is>
          <t>0.00</t>
        </is>
      </c>
      <c r="K3595"/>
      <c r="L3595" t="inlineStr">
        <is>
          <t>漫野旗舰店</t>
        </is>
      </c>
      <c r="M3595">
        <v>36000</v>
      </c>
      <c r="N3595">
        <v>4.68</v>
      </c>
      <c r="O3595">
        <v>201000</v>
      </c>
      <c r="P3595" t="inlineStr">
        <is>
          <t>682beb91c3bab900015564a6</t>
        </is>
      </c>
      <c r="Q3595" t="inlineStr">
        <is>
          <t>🚫重复</t>
        </is>
      </c>
      <c r="R3595" t="inlineStr">
        <is>
          <t>14周</t>
        </is>
      </c>
      <c r="S3595" t="inlineStr">
        <is>
          <t>0.97</t>
        </is>
      </c>
      <c r="T3595" t="inlineStr">
        <is>
          <t>美妆个护</t>
        </is>
      </c>
      <c r="U3595" t="inlineStr">
        <is>
          <t>护肤彩妆</t>
        </is>
      </c>
      <c r="V3595" s="3">
        <v>46113.55826388889</v>
      </c>
      <c r="W3595" t="inlineStr">
        <is>
          <t>2026-Q2</t>
        </is>
      </c>
    </row>
    <row r="3596" ht="25.5" customHeight="1">
      <c r="A3596" t="inlineStr">
        <is>
          <t>Cappuvini · 凝润清透粉底液补水保湿滋润细腻融肤自然遮痘印韩系服帖粉底液</t>
        </is>
      </c>
      <c r="B3596" t="inlineStr">
        <is>
          <t>recvfvVmDw0rsg.jpg</t>
        </is>
      </c>
      <c r="C3596" s="2" t="str">
        <f>=HYPERLINK("https://xhslink.com/m/3du23V4JZAT", "https://xhslink.com/m/3du23V4JZAT")</f>
        <v>https://xhslink.com/m/3du23V4JZAT</v>
      </c>
      <c r="D3596"/>
      <c r="E3596">
        <v>2770</v>
      </c>
      <c r="F3596">
        <v>28.9</v>
      </c>
      <c r="G3596">
        <v>6.9</v>
      </c>
      <c r="H3596">
        <v>100</v>
      </c>
      <c r="I3596" t="inlineStr">
        <is>
          <t>美妆</t>
        </is>
      </c>
      <c r="J3596" t="inlineStr">
        <is>
          <t>0.04</t>
        </is>
      </c>
      <c r="K3596" t="inlineStr">
        <is>
          <t>🔥低粉爆款</t>
        </is>
      </c>
      <c r="L3596" t="inlineStr">
        <is>
          <t>Sody欧尼的店</t>
        </is>
      </c>
      <c r="M3596">
        <v>348</v>
      </c>
      <c r="N3596">
        <v>4.24</v>
      </c>
      <c r="O3596">
        <v>4041</v>
      </c>
      <c r="P3596" t="inlineStr">
        <is>
          <t>69a24603fe4ff500159ac17e</t>
        </is>
      </c>
      <c r="Q3596"/>
      <c r="R3596" t="inlineStr">
        <is>
          <t>14周</t>
        </is>
      </c>
      <c r="S3596" t="inlineStr">
        <is>
          <t>7.96</t>
        </is>
      </c>
      <c r="T3596" t="inlineStr">
        <is>
          <t>美妆个护</t>
        </is>
      </c>
      <c r="U3596" t="inlineStr">
        <is>
          <t>护肤彩妆</t>
        </is>
      </c>
      <c r="V3596" s="3">
        <v>46113.55826388889</v>
      </c>
      <c r="W3596" t="inlineStr">
        <is>
          <t>2026-Q2</t>
        </is>
      </c>
    </row>
    <row r="3597" ht="25.5" customHeight="1">
      <c r="A3597" t="inlineStr">
        <is>
          <t>sonatural for your skin · 现货！【品牌授权带防伪】清新持妆~韩国水光哑光定妆喷雾</t>
        </is>
      </c>
      <c r="B3597" t="inlineStr">
        <is>
          <t>recvfvVmDw8vWe.jpg</t>
        </is>
      </c>
      <c r="C3597" s="2" t="str">
        <f>=HYPERLINK("https://xhslink.com/m/7seZNcEurLM", "https://xhslink.com/m/7seZNcEurLM")</f>
        <v>https://xhslink.com/m/7seZNcEurLM</v>
      </c>
      <c r="D3597"/>
      <c r="E3597">
        <v>14000</v>
      </c>
      <c r="F3597">
        <v>62</v>
      </c>
      <c r="G3597"/>
      <c r="H3597">
        <v>100</v>
      </c>
      <c r="I3597" t="inlineStr">
        <is>
          <t>美妆</t>
        </is>
      </c>
      <c r="J3597" t="inlineStr">
        <is>
          <t>0.01</t>
        </is>
      </c>
      <c r="K3597"/>
      <c r="L3597" t="inlineStr">
        <is>
          <t>小依星球的店</t>
        </is>
      </c>
      <c r="M3597">
        <v>15000</v>
      </c>
      <c r="N3597">
        <v>4.46</v>
      </c>
      <c r="O3597">
        <v>118000</v>
      </c>
      <c r="P3597" t="inlineStr">
        <is>
          <t>6640d854308cb70001a56551</t>
        </is>
      </c>
      <c r="Q3597" t="inlineStr">
        <is>
          <t>🚫重复</t>
        </is>
      </c>
      <c r="R3597" t="inlineStr">
        <is>
          <t>14周</t>
        </is>
      </c>
      <c r="S3597" t="inlineStr">
        <is>
          <t>0.93</t>
        </is>
      </c>
      <c r="T3597" t="inlineStr">
        <is>
          <t>美妆个护</t>
        </is>
      </c>
      <c r="U3597" t="inlineStr">
        <is>
          <t>护肤彩妆</t>
        </is>
      </c>
      <c r="V3597" s="3">
        <v>46113.55826388889</v>
      </c>
      <c r="W3597" t="inlineStr">
        <is>
          <t>2026-Q2</t>
        </is>
      </c>
    </row>
    <row r="3598" ht="25.5" customHeight="1">
      <c r="A3598" t="inlineStr">
        <is>
          <t>AZTK · 【官方旗舰】雪吻唇冻镜面夏日彩妆显白固体口红滋润保湿唇蜜</t>
        </is>
      </c>
      <c r="B3598" t="inlineStr">
        <is>
          <t>recvfvVmDweNwK.jpg</t>
        </is>
      </c>
      <c r="C3598" s="2" t="str">
        <f>=HYPERLINK("https://xhslink.com/m/3GAsqusfDzw", "https://xhslink.com/m/3GAsqusfDzw")</f>
        <v>https://xhslink.com/m/3GAsqusfDzw</v>
      </c>
      <c r="D3598"/>
      <c r="E3598">
        <v>87000</v>
      </c>
      <c r="F3598">
        <v>29.9</v>
      </c>
      <c r="G3598"/>
      <c r="H3598">
        <v>100</v>
      </c>
      <c r="I3598" t="inlineStr">
        <is>
          <t>美护</t>
        </is>
      </c>
      <c r="J3598" t="inlineStr">
        <is>
          <t>0.00</t>
        </is>
      </c>
      <c r="K3598"/>
      <c r="L3598" t="inlineStr">
        <is>
          <t>AZTK心冻指南旗舰店</t>
        </is>
      </c>
      <c r="M3598">
        <v>101000</v>
      </c>
      <c r="N3598">
        <v>4.6</v>
      </c>
      <c r="O3598">
        <v>282000</v>
      </c>
      <c r="P3598" t="inlineStr">
        <is>
          <t>671afef6a7061200016ccd48</t>
        </is>
      </c>
      <c r="Q3598"/>
      <c r="R3598" t="inlineStr">
        <is>
          <t>14周</t>
        </is>
      </c>
      <c r="S3598" t="inlineStr">
        <is>
          <t>0.86</t>
        </is>
      </c>
      <c r="T3598" t="inlineStr">
        <is>
          <t>美妆个护</t>
        </is>
      </c>
      <c r="U3598" t="inlineStr">
        <is>
          <t>护肤彩妆</t>
        </is>
      </c>
      <c r="V3598" s="3">
        <v>46113.55826388889</v>
      </c>
      <c r="W3598" t="inlineStr">
        <is>
          <t>2026-Q2</t>
        </is>
      </c>
    </row>
    <row r="3599" ht="25.5" customHeight="1">
      <c r="A3599" t="inlineStr">
        <is>
          <t>Girlcult构奇 · 情话口红 哑光浓郁不拔干</t>
        </is>
      </c>
      <c r="B3599" t="inlineStr">
        <is>
          <t>recvfvVmDw8JqE.jpg</t>
        </is>
      </c>
      <c r="C3599" s="2" t="str">
        <f>=HYPERLINK("https://xhslink.com/m/AcSzjptGOMy", "https://xhslink.com/m/AcSzjptGOMy")</f>
        <v>https://xhslink.com/m/AcSzjptGOMy</v>
      </c>
      <c r="D3599"/>
      <c r="E3599">
        <v>49000</v>
      </c>
      <c r="F3599">
        <v>99</v>
      </c>
      <c r="G3599">
        <v>79</v>
      </c>
      <c r="H3599">
        <v>100</v>
      </c>
      <c r="I3599" t="inlineStr">
        <is>
          <t>美护</t>
        </is>
      </c>
      <c r="J3599" t="inlineStr">
        <is>
          <t>0.00</t>
        </is>
      </c>
      <c r="K3599"/>
      <c r="L3599" t="inlineStr">
        <is>
          <t>Girlcult构奇旗舰店</t>
        </is>
      </c>
      <c r="M3599">
        <v>193000</v>
      </c>
      <c r="N3599">
        <v>4.76</v>
      </c>
      <c r="O3599">
        <v>817000</v>
      </c>
      <c r="P3599" t="inlineStr">
        <is>
          <t>69253671dd329c0001c12654</t>
        </is>
      </c>
      <c r="Q3599" t="inlineStr">
        <is>
          <t>🚫重复</t>
        </is>
      </c>
      <c r="R3599" t="inlineStr">
        <is>
          <t>14周</t>
        </is>
      </c>
      <c r="S3599" t="inlineStr">
        <is>
          <t>0.25</t>
        </is>
      </c>
      <c r="T3599" t="inlineStr">
        <is>
          <t>美妆个护</t>
        </is>
      </c>
      <c r="U3599" t="inlineStr">
        <is>
          <t>护肤彩妆</t>
        </is>
      </c>
      <c r="V3599" s="3">
        <v>46113.55826388889</v>
      </c>
      <c r="W3599" t="inlineStr">
        <is>
          <t>2026-Q2</t>
        </is>
      </c>
    </row>
    <row r="3600" ht="25.5" customHeight="1">
      <c r="A3600" t="inlineStr">
        <is>
          <t>HERORANGE · 泰式灰粉...这才是橄榄皮的白月光!粉落日低饱和杏桃色液体腮红</t>
        </is>
      </c>
      <c r="B3600" t="inlineStr">
        <is>
          <t>recvfvVmDwD1sA.jpg</t>
        </is>
      </c>
      <c r="C3600" s="2" t="str">
        <f>=HYPERLINK("https://xhslink.com/m/yNvTO5g8ma", "https://xhslink.com/m/yNvTO5g8ma")</f>
        <v>https://xhslink.com/m/yNvTO5g8ma</v>
      </c>
      <c r="D3600"/>
      <c r="E3600">
        <v>15000</v>
      </c>
      <c r="F3600">
        <v>62</v>
      </c>
      <c r="G3600">
        <v>13.9</v>
      </c>
      <c r="H3600">
        <v>100</v>
      </c>
      <c r="I3600" t="inlineStr">
        <is>
          <t>美护</t>
        </is>
      </c>
      <c r="J3600" t="inlineStr">
        <is>
          <t>0.01</t>
        </is>
      </c>
      <c r="K3600"/>
      <c r="L3600" t="inlineStr">
        <is>
          <t>日不落小姐彩妆的店</t>
        </is>
      </c>
      <c r="M3600">
        <v>8510</v>
      </c>
      <c r="N3600">
        <v>4.71</v>
      </c>
      <c r="O3600">
        <v>119000</v>
      </c>
      <c r="P3600" t="inlineStr">
        <is>
          <t>678bba535ed7270001fae23f</t>
        </is>
      </c>
      <c r="Q3600"/>
      <c r="R3600" t="inlineStr">
        <is>
          <t>14周</t>
        </is>
      </c>
      <c r="S3600" t="inlineStr">
        <is>
          <t>1.76</t>
        </is>
      </c>
      <c r="T3600" t="inlineStr">
        <is>
          <t>美妆个护</t>
        </is>
      </c>
      <c r="U3600" t="inlineStr">
        <is>
          <t>护肤彩妆</t>
        </is>
      </c>
      <c r="V3600" s="3">
        <v>46113.55826388889</v>
      </c>
      <c r="W3600" t="inlineStr">
        <is>
          <t>2026-Q2</t>
        </is>
      </c>
    </row>
    <row r="3601" ht="25.5" customHeight="1">
      <c r="A3601" t="inlineStr">
        <is>
          <t>蜜丝婷MISTINE · 【达人专属】泰式奶咖丝绒腮红液修容提亮液高光女</t>
        </is>
      </c>
      <c r="B3601" t="inlineStr">
        <is>
          <t>recvfvVmDwus9T.jpg</t>
        </is>
      </c>
      <c r="C3601" s="2" t="str">
        <f>=HYPERLINK("https://xhslink.com/m/2tbplOs0KAw", "https://xhslink.com/m/2tbplOs0KAw")</f>
        <v>https://xhslink.com/m/2tbplOs0KAw</v>
      </c>
      <c r="D3601"/>
      <c r="E3601">
        <v>37000</v>
      </c>
      <c r="F3601">
        <v>109</v>
      </c>
      <c r="G3601">
        <v>79</v>
      </c>
      <c r="H3601">
        <v>100</v>
      </c>
      <c r="I3601" t="inlineStr">
        <is>
          <t>美护</t>
        </is>
      </c>
      <c r="J3601" t="inlineStr">
        <is>
          <t>0.00</t>
        </is>
      </c>
      <c r="K3601"/>
      <c r="L3601" t="inlineStr">
        <is>
          <t>MISTINE蜜丝婷旗舰店</t>
        </is>
      </c>
      <c r="M3601">
        <v>211000</v>
      </c>
      <c r="N3601">
        <v>4.61</v>
      </c>
      <c r="O3601">
        <v>357000</v>
      </c>
      <c r="P3601" t="inlineStr">
        <is>
          <t>6846af54e874f200013a931e</t>
        </is>
      </c>
      <c r="Q3601"/>
      <c r="R3601" t="inlineStr">
        <is>
          <t>14周</t>
        </is>
      </c>
      <c r="S3601" t="inlineStr">
        <is>
          <t>0.18</t>
        </is>
      </c>
      <c r="T3601" t="inlineStr">
        <is>
          <t>美妆个护</t>
        </is>
      </c>
      <c r="U3601" t="inlineStr">
        <is>
          <t>护肤彩妆</t>
        </is>
      </c>
      <c r="V3601" s="3">
        <v>46113.55826388889</v>
      </c>
      <c r="W3601" t="inlineStr">
        <is>
          <t>2026-Q2</t>
        </is>
      </c>
    </row>
    <row r="3602" ht="25.5" customHeight="1">
      <c r="A3602" t="inlineStr">
        <is>
          <t>卡比郎kobeleen · 立体绒绒染眉膏ins韩系时髦感轻盈自然显色不结块染眉膏平价</t>
        </is>
      </c>
      <c r="B3602" t="inlineStr">
        <is>
          <t>recvfvVmDw9h68.jpg</t>
        </is>
      </c>
      <c r="C3602" s="2" t="str">
        <f>=HYPERLINK("https://xhslink.com/m/8dNnSlnMXxs", "https://xhslink.com/m/8dNnSlnMXxs")</f>
        <v>https://xhslink.com/m/8dNnSlnMXxs</v>
      </c>
      <c r="D3602"/>
      <c r="E3602">
        <v>52000</v>
      </c>
      <c r="F3602">
        <v>25.9</v>
      </c>
      <c r="G3602">
        <v>4.9</v>
      </c>
      <c r="H3602">
        <v>100</v>
      </c>
      <c r="I3602" t="inlineStr">
        <is>
          <t>美护</t>
        </is>
      </c>
      <c r="J3602" t="inlineStr">
        <is>
          <t>0.00</t>
        </is>
      </c>
      <c r="K3602" t="inlineStr">
        <is>
          <t>🔥低粉爆款</t>
        </is>
      </c>
      <c r="L3602" t="inlineStr">
        <is>
          <t>梨小荔的店</t>
        </is>
      </c>
      <c r="M3602">
        <v>1534</v>
      </c>
      <c r="N3602">
        <v>4.41</v>
      </c>
      <c r="O3602">
        <v>80000</v>
      </c>
      <c r="P3602" t="inlineStr">
        <is>
          <t>6881a05fbc668f0015362cf1</t>
        </is>
      </c>
      <c r="Q3602"/>
      <c r="R3602" t="inlineStr">
        <is>
          <t>14周</t>
        </is>
      </c>
      <c r="S3602" t="inlineStr">
        <is>
          <t>33.90</t>
        </is>
      </c>
      <c r="T3602" t="inlineStr">
        <is>
          <t>美妆个护</t>
        </is>
      </c>
      <c r="U3602" t="inlineStr">
        <is>
          <t>个人护理</t>
        </is>
      </c>
      <c r="V3602" s="3">
        <v>46113.55826388889</v>
      </c>
      <c r="W3602" t="inlineStr">
        <is>
          <t>2026-Q2</t>
        </is>
      </c>
    </row>
    <row r="3603" ht="25.5" customHeight="1">
      <c r="A3603" t="inlineStr">
        <is>
          <t>MAC · 魅可水漾润泽新子弹头口红543/544/549/508/602/314/316/</t>
        </is>
      </c>
      <c r="B3603" t="inlineStr">
        <is>
          <t>recvfvVmDwO7VX.jpg</t>
        </is>
      </c>
      <c r="C3603" s="2" t="str">
        <f>=HYPERLINK("https://xhslink.com/m/9KMHNNxR7Mn", "https://xhslink.com/m/9KMHNNxR7Mn")</f>
        <v>https://xhslink.com/m/9KMHNNxR7Mn</v>
      </c>
      <c r="D3603"/>
      <c r="E3603">
        <v>18000</v>
      </c>
      <c r="F3603">
        <v>158</v>
      </c>
      <c r="G3603">
        <v>118</v>
      </c>
      <c r="H3603">
        <v>100</v>
      </c>
      <c r="I3603" t="inlineStr">
        <is>
          <t>美护</t>
        </is>
      </c>
      <c r="J3603" t="inlineStr">
        <is>
          <t>0.01</t>
        </is>
      </c>
      <c r="K3603" t="inlineStr">
        <is>
          <t>🔥低粉爆款</t>
        </is>
      </c>
      <c r="L3603" t="inlineStr">
        <is>
          <t>千寻彩妆的店</t>
        </is>
      </c>
      <c r="M3603">
        <v>494</v>
      </c>
      <c r="N3603">
        <v>4.53</v>
      </c>
      <c r="O3603">
        <v>22000</v>
      </c>
      <c r="P3603" t="inlineStr">
        <is>
          <t>68a094c3fe39ac0015f2d5bf</t>
        </is>
      </c>
      <c r="Q3603"/>
      <c r="R3603" t="inlineStr">
        <is>
          <t>14周</t>
        </is>
      </c>
      <c r="S3603" t="inlineStr">
        <is>
          <t>36.44</t>
        </is>
      </c>
      <c r="T3603" t="inlineStr">
        <is>
          <t>美妆个护</t>
        </is>
      </c>
      <c r="U3603" t="inlineStr">
        <is>
          <t>护肤彩妆</t>
        </is>
      </c>
      <c r="V3603" s="3">
        <v>46113.55826388889</v>
      </c>
      <c r="W3603" t="inlineStr">
        <is>
          <t>2026-Q2</t>
        </is>
      </c>
    </row>
    <row r="3604" ht="25.5" customHeight="1">
      <c r="A3604" t="inlineStr">
        <is>
          <t>出口品质~卡通动物平衡叠叠乐益智早教大颗粒积木亲子互动玩具</t>
        </is>
      </c>
      <c r="B3604" t="inlineStr">
        <is>
          <t>recvfvVmDwZ0uC.jpg</t>
        </is>
      </c>
      <c r="C3604" s="2" t="str">
        <f>=HYPERLINK("https://xhslink.com/m/3uOIv5SJ02U", "https://xhslink.com/m/3uOIv5SJ02U")</f>
        <v>https://xhslink.com/m/3uOIv5SJ02U</v>
      </c>
      <c r="D3604"/>
      <c r="E3604">
        <v>6113</v>
      </c>
      <c r="F3604">
        <v>38</v>
      </c>
      <c r="G3604">
        <v>28</v>
      </c>
      <c r="H3604">
        <v>100</v>
      </c>
      <c r="I3604" t="inlineStr">
        <is>
          <t>亲子玩具</t>
        </is>
      </c>
      <c r="J3604" t="inlineStr">
        <is>
          <t>0.02</t>
        </is>
      </c>
      <c r="K3604" t="inlineStr">
        <is>
          <t>🔥低粉爆款</t>
        </is>
      </c>
      <c r="L3604" t="inlineStr">
        <is>
          <t>啪啪啦的店</t>
        </is>
      </c>
      <c r="M3604">
        <v>1456</v>
      </c>
      <c r="N3604">
        <v>4.72</v>
      </c>
      <c r="O3604">
        <v>21000</v>
      </c>
      <c r="P3604" t="inlineStr">
        <is>
          <t>66c7ef88c545360001b1cac7</t>
        </is>
      </c>
      <c r="Q3604" t="inlineStr">
        <is>
          <t>🚫重复</t>
        </is>
      </c>
      <c r="R3604" t="inlineStr">
        <is>
          <t>14周</t>
        </is>
      </c>
      <c r="S3604" t="inlineStr">
        <is>
          <t>4.20</t>
        </is>
      </c>
      <c r="T3604" t="inlineStr">
        <is>
          <t>母婴亲子</t>
        </is>
      </c>
      <c r="U3604" t="inlineStr">
        <is>
          <t>玩具早教</t>
        </is>
      </c>
      <c r="V3604" s="3">
        <v>46113.55826388889</v>
      </c>
      <c r="W3604" t="inlineStr">
        <is>
          <t>2026-Q2</t>
        </is>
      </c>
    </row>
    <row r="3605" ht="25.5" customHeight="1">
      <c r="A3605" t="inlineStr">
        <is>
          <t>巧克力芝士条颜色备注缺货随机发解压玩具 介意气孔粘坏勿拍！！</t>
        </is>
      </c>
      <c r="B3605" t="inlineStr">
        <is>
          <t>recvfvVmDwmcSa.jpg</t>
        </is>
      </c>
      <c r="C3605" s="2" t="str">
        <f>=HYPERLINK("https://xhslink.com/m/A1w3BkLahZG", "https://xhslink.com/m/A1w3BkLahZG")</f>
        <v>https://xhslink.com/m/A1w3BkLahZG</v>
      </c>
      <c r="D3605"/>
      <c r="E3605">
        <v>4166</v>
      </c>
      <c r="F3605">
        <v>9.9</v>
      </c>
      <c r="G3605"/>
      <c r="H3605">
        <v>100</v>
      </c>
      <c r="I3605" t="inlineStr">
        <is>
          <t>玩具</t>
        </is>
      </c>
      <c r="J3605" t="inlineStr">
        <is>
          <t>0.02</t>
        </is>
      </c>
      <c r="K3605"/>
      <c r="L3605" t="inlineStr">
        <is>
          <t>嘻嘻爱玩慢回弹的店</t>
        </is>
      </c>
      <c r="M3605">
        <v>109000</v>
      </c>
      <c r="N3605">
        <v>4.3</v>
      </c>
      <c r="O3605">
        <v>417000</v>
      </c>
      <c r="P3605" t="inlineStr">
        <is>
          <t>66969d926c3a7c0001a46657</t>
        </is>
      </c>
      <c r="Q3605"/>
      <c r="R3605" t="inlineStr">
        <is>
          <t>14周</t>
        </is>
      </c>
      <c r="S3605" t="inlineStr">
        <is>
          <t>0.04</t>
        </is>
      </c>
      <c r="T3605" t="inlineStr">
        <is>
          <t>美食滋补</t>
        </is>
      </c>
      <c r="U3605" t="inlineStr">
        <is>
          <t>休闲零食</t>
        </is>
      </c>
      <c r="V3605" s="3">
        <v>46113.55826388889</v>
      </c>
      <c r="W3605" t="inlineStr">
        <is>
          <t>2026-Q2</t>
        </is>
      </c>
    </row>
    <row r="3606" ht="25.5" customHeight="1">
      <c r="A3606" t="inlineStr">
        <is>
          <t>NETST · 大牌春夏护手霜推荐干燥粗糙去手纹美白滋润保湿不油腻护手霜男女</t>
        </is>
      </c>
      <c r="B3606" t="inlineStr">
        <is>
          <t>recvfvVmDwRudd.jpg</t>
        </is>
      </c>
      <c r="C3606" s="2" t="str">
        <f>=HYPERLINK("https://xhslink.com/m/5NTQ3Na5VDZ", "https://xhslink.com/m/5NTQ3Na5VDZ")</f>
        <v>https://xhslink.com/m/5NTQ3Na5VDZ</v>
      </c>
      <c r="D3606"/>
      <c r="E3606">
        <v>35000</v>
      </c>
      <c r="F3606">
        <v>119</v>
      </c>
      <c r="G3606">
        <v>99.9</v>
      </c>
      <c r="H3606">
        <v>100</v>
      </c>
      <c r="I3606" t="inlineStr">
        <is>
          <t>美白</t>
        </is>
      </c>
      <c r="J3606" t="inlineStr">
        <is>
          <t>0.00</t>
        </is>
      </c>
      <c r="K3606" t="inlineStr">
        <is>
          <t>🔥低粉爆款</t>
        </is>
      </c>
      <c r="L3606" t="inlineStr">
        <is>
          <t>叶夜洗护屋的店</t>
        </is>
      </c>
      <c r="M3606">
        <v>1295</v>
      </c>
      <c r="N3606">
        <v>4.81</v>
      </c>
      <c r="O3606">
        <v>56000</v>
      </c>
      <c r="P3606" t="inlineStr">
        <is>
          <t>68b6b1706f3f720001d0dfa4</t>
        </is>
      </c>
      <c r="Q3606"/>
      <c r="R3606" t="inlineStr">
        <is>
          <t>14周</t>
        </is>
      </c>
      <c r="S3606" t="inlineStr">
        <is>
          <t>27.03</t>
        </is>
      </c>
      <c r="T3606" t="inlineStr">
        <is>
          <t>美妆个护</t>
        </is>
      </c>
      <c r="U3606" t="inlineStr">
        <is>
          <t>个人护理</t>
        </is>
      </c>
      <c r="V3606" s="3">
        <v>46113.55826388889</v>
      </c>
      <c r="W3606" t="inlineStr">
        <is>
          <t>2026-Q2</t>
        </is>
      </c>
    </row>
    <row r="3607" ht="25.5" customHeight="1">
      <c r="A3607" t="inlineStr">
        <is>
          <t>优碧丝 · 盈润透亮补水莹润保湿弹润保湿面膜</t>
        </is>
      </c>
      <c r="B3607" t="inlineStr">
        <is>
          <t>recvfvVmDwnk55.jpg</t>
        </is>
      </c>
      <c r="C3607" s="2" t="str">
        <f>=HYPERLINK("https://xhslink.com/m/2uss7hcByev", "https://xhslink.com/m/2uss7hcByev")</f>
        <v>https://xhslink.com/m/2uss7hcByev</v>
      </c>
      <c r="D3607"/>
      <c r="E3607">
        <v>20000</v>
      </c>
      <c r="F3607">
        <v>65</v>
      </c>
      <c r="G3607">
        <v>29.8</v>
      </c>
      <c r="H3607">
        <v>100</v>
      </c>
      <c r="I3607" t="inlineStr">
        <is>
          <t>美白</t>
        </is>
      </c>
      <c r="J3607" t="inlineStr">
        <is>
          <t>0.01</t>
        </is>
      </c>
      <c r="K3607"/>
      <c r="L3607" t="inlineStr">
        <is>
          <t>优碧丝旗舰店</t>
        </is>
      </c>
      <c r="M3607">
        <v>26000</v>
      </c>
      <c r="N3607">
        <v>4.43</v>
      </c>
      <c r="O3607">
        <v>136000</v>
      </c>
      <c r="P3607" t="inlineStr">
        <is>
          <t>682827a4ded4b10001a117f5</t>
        </is>
      </c>
      <c r="Q3607" t="inlineStr">
        <is>
          <t>🚫重复</t>
        </is>
      </c>
      <c r="R3607" t="inlineStr">
        <is>
          <t>14周</t>
        </is>
      </c>
      <c r="S3607" t="inlineStr">
        <is>
          <t>0.77</t>
        </is>
      </c>
      <c r="T3607" t="inlineStr">
        <is>
          <t>美妆个护</t>
        </is>
      </c>
      <c r="U3607" t="inlineStr">
        <is>
          <t>护肤彩妆</t>
        </is>
      </c>
      <c r="V3607" s="3">
        <v>46113.55826388889</v>
      </c>
      <c r="W3607" t="inlineStr">
        <is>
          <t>2026-Q2</t>
        </is>
      </c>
    </row>
    <row r="3608" ht="25.5" customHeight="1">
      <c r="A3608" t="inlineStr">
        <is>
          <t>菁纯秘密 · 美白身体乳推荐去黄提亮保湿滋润抗氧化男女通用美白正品推荐学生</t>
        </is>
      </c>
      <c r="B3608" t="inlineStr">
        <is>
          <t>recvfvVmDwXsda.jpg</t>
        </is>
      </c>
      <c r="C3608" s="2" t="str">
        <f>=HYPERLINK("https://xhslink.com/m/8xFYilpBQOS", "https://xhslink.com/m/8xFYilpBQOS")</f>
        <v>https://xhslink.com/m/8xFYilpBQOS</v>
      </c>
      <c r="D3608"/>
      <c r="E3608">
        <v>14000</v>
      </c>
      <c r="F3608">
        <v>79.8</v>
      </c>
      <c r="G3608">
        <v>39.9</v>
      </c>
      <c r="H3608">
        <v>100</v>
      </c>
      <c r="I3608" t="inlineStr">
        <is>
          <t>美白</t>
        </is>
      </c>
      <c r="J3608" t="inlineStr">
        <is>
          <t>0.01</t>
        </is>
      </c>
      <c r="K3608"/>
      <c r="L3608" t="inlineStr">
        <is>
          <t>Loofy魔法洗护屋的店</t>
        </is>
      </c>
      <c r="M3608">
        <v>5351</v>
      </c>
      <c r="N3608">
        <v>4.39</v>
      </c>
      <c r="O3608">
        <v>83000</v>
      </c>
      <c r="P3608" t="inlineStr">
        <is>
          <t>68930198b1b9df000176bc96</t>
        </is>
      </c>
      <c r="Q3608" t="inlineStr">
        <is>
          <t>🚫重复</t>
        </is>
      </c>
      <c r="R3608" t="inlineStr">
        <is>
          <t>14周</t>
        </is>
      </c>
      <c r="S3608" t="inlineStr">
        <is>
          <t>2.62</t>
        </is>
      </c>
      <c r="T3608" t="inlineStr">
        <is>
          <t>美妆个护</t>
        </is>
      </c>
      <c r="U3608" t="inlineStr">
        <is>
          <t>个人护理</t>
        </is>
      </c>
      <c r="V3608" s="3">
        <v>46113.55826388889</v>
      </c>
      <c r="W3608" t="inlineStr">
        <is>
          <t>2026-Q2</t>
        </is>
      </c>
    </row>
    <row r="3609" ht="25.5" customHeight="1">
      <c r="A3609" t="inlineStr">
        <is>
          <t>璐米 · 【无月桂醇无硅油】氨基酸洗发水控油蓬松柔顺男女士无硅油洗发液</t>
        </is>
      </c>
      <c r="B3609" t="inlineStr">
        <is>
          <t>recvfvVmDwv1ox.jpg</t>
        </is>
      </c>
      <c r="C3609" s="2" t="str">
        <f>=HYPERLINK("https://xhslink.com/m/39A8q72Kz00", "https://xhslink.com/m/39A8q72Kz00")</f>
        <v>https://xhslink.com/m/39A8q72Kz00</v>
      </c>
      <c r="D3609"/>
      <c r="E3609">
        <v>187000</v>
      </c>
      <c r="F3609">
        <v>109.9</v>
      </c>
      <c r="G3609">
        <v>49.9</v>
      </c>
      <c r="H3609">
        <v>100</v>
      </c>
      <c r="I3609" t="inlineStr">
        <is>
          <t>睫毛生长液</t>
        </is>
      </c>
      <c r="J3609" t="inlineStr">
        <is>
          <t>0.00</t>
        </is>
      </c>
      <c r="K3609"/>
      <c r="L3609" t="inlineStr">
        <is>
          <t>璐米旗舰店</t>
        </is>
      </c>
      <c r="M3609">
        <v>66000</v>
      </c>
      <c r="N3609">
        <v>4.53</v>
      </c>
      <c r="O3609">
        <v>384000</v>
      </c>
      <c r="P3609" t="inlineStr">
        <is>
          <t>69a4f79e1b52bf00016645a9</t>
        </is>
      </c>
      <c r="Q3609" t="inlineStr">
        <is>
          <t>🚫重复</t>
        </is>
      </c>
      <c r="R3609" t="inlineStr">
        <is>
          <t>14周</t>
        </is>
      </c>
      <c r="S3609" t="inlineStr">
        <is>
          <t>2.83</t>
        </is>
      </c>
      <c r="T3609" t="inlineStr">
        <is>
          <t>美妆个护</t>
        </is>
      </c>
      <c r="U3609" t="inlineStr">
        <is>
          <t>个人护理</t>
        </is>
      </c>
      <c r="V3609" s="3">
        <v>46113.55826388889</v>
      </c>
      <c r="W3609" t="inlineStr">
        <is>
          <t>2026-Q2</t>
        </is>
      </c>
    </row>
    <row r="3610" ht="25.5" customHeight="1">
      <c r="A3610" t="inlineStr">
        <is>
          <t>Kacahair · Kaca小分子冷基发膜！美发店同款</t>
        </is>
      </c>
      <c r="B3610" t="inlineStr">
        <is>
          <t>recvfvVmDwSnkB.jpg</t>
        </is>
      </c>
      <c r="C3610" s="2" t="str">
        <f>=HYPERLINK("https://xhslink.com/m/4tlhrgnNDMs", "https://xhslink.com/m/4tlhrgnNDMs")</f>
        <v>https://xhslink.com/m/4tlhrgnNDMs</v>
      </c>
      <c r="D3610"/>
      <c r="E3610">
        <v>168000</v>
      </c>
      <c r="F3610">
        <v>89.9</v>
      </c>
      <c r="G3610"/>
      <c r="H3610">
        <v>100</v>
      </c>
      <c r="I3610" t="inlineStr">
        <is>
          <t>睫毛生长液</t>
        </is>
      </c>
      <c r="J3610" t="inlineStr">
        <is>
          <t>0.00</t>
        </is>
      </c>
      <c r="K3610"/>
      <c r="L3610" t="inlineStr">
        <is>
          <t>周托尼发型设计的店</t>
        </is>
      </c>
      <c r="M3610">
        <v>103000</v>
      </c>
      <c r="N3610">
        <v>4.49</v>
      </c>
      <c r="O3610">
        <v>174000</v>
      </c>
      <c r="P3610" t="inlineStr">
        <is>
          <t>664ed926d5d5a100019dcdeb</t>
        </is>
      </c>
      <c r="Q3610" t="inlineStr">
        <is>
          <t>🚫重复</t>
        </is>
      </c>
      <c r="R3610" t="inlineStr">
        <is>
          <t>14周</t>
        </is>
      </c>
      <c r="S3610" t="inlineStr">
        <is>
          <t>1.63</t>
        </is>
      </c>
      <c r="T3610" t="inlineStr">
        <is>
          <t>美妆个护</t>
        </is>
      </c>
      <c r="U3610" t="inlineStr">
        <is>
          <t>个人护理</t>
        </is>
      </c>
      <c r="V3610" s="3">
        <v>46113.55826388889</v>
      </c>
      <c r="W3610" t="inlineStr">
        <is>
          <t>2026-Q2</t>
        </is>
      </c>
    </row>
    <row r="3611" ht="25.5" customHeight="1">
      <c r="A3611" t="inlineStr">
        <is>
          <t>健乐康 · 植物调理型果染膏自己在家染发剂膏健康配方泡泡染不沾头皮盖白发</t>
        </is>
      </c>
      <c r="B3611" t="inlineStr">
        <is>
          <t>recvfvVmDwaJM7.jpg</t>
        </is>
      </c>
      <c r="C3611" s="2" t="str">
        <f>=HYPERLINK("https://xhslink.com/m/4NzS01dmNax", "https://xhslink.com/m/4NzS01dmNax")</f>
        <v>https://xhslink.com/m/4NzS01dmNax</v>
      </c>
      <c r="D3611"/>
      <c r="E3611">
        <v>51000</v>
      </c>
      <c r="F3611">
        <v>98.8</v>
      </c>
      <c r="G3611">
        <v>46.8</v>
      </c>
      <c r="H3611">
        <v>100</v>
      </c>
      <c r="I3611" t="inlineStr">
        <is>
          <t>睫毛生长液</t>
        </is>
      </c>
      <c r="J3611" t="inlineStr">
        <is>
          <t>0.00</t>
        </is>
      </c>
      <c r="K3611" t="inlineStr">
        <is>
          <t>🔥低粉爆款</t>
        </is>
      </c>
      <c r="L3611" t="inlineStr">
        <is>
          <t>健乐康旗舰店</t>
        </is>
      </c>
      <c r="M3611">
        <v>2803</v>
      </c>
      <c r="N3611">
        <v>4.58</v>
      </c>
      <c r="O3611">
        <v>211000</v>
      </c>
      <c r="P3611" t="inlineStr">
        <is>
          <t>65e6e3c725b19a0001b036d4</t>
        </is>
      </c>
      <c r="Q3611"/>
      <c r="R3611" t="inlineStr">
        <is>
          <t>14周</t>
        </is>
      </c>
      <c r="S3611" t="inlineStr">
        <is>
          <t>18.19</t>
        </is>
      </c>
      <c r="T3611" t="inlineStr">
        <is>
          <t>家居生活</t>
        </is>
      </c>
      <c r="U3611" t="inlineStr">
        <is>
          <t>家具家装</t>
        </is>
      </c>
      <c r="V3611" s="3">
        <v>46113.55826388889</v>
      </c>
      <c r="W3611" t="inlineStr">
        <is>
          <t>2026-Q2</t>
        </is>
      </c>
    </row>
    <row r="3612" ht="25.5" customHeight="1">
      <c r="A3612" t="inlineStr">
        <is>
          <t>Schauma · 俄罗斯苹果草莓洗发水清爽持久控油蓬松三天不洗头400ml</t>
        </is>
      </c>
      <c r="B3612" t="inlineStr">
        <is>
          <t>recvfvVmDwf9t2.jpg</t>
        </is>
      </c>
      <c r="C3612" s="2" t="str">
        <f>=HYPERLINK("https://xhslink.com/m/5RxT8gRx95Q", "https://xhslink.com/m/5RxT8gRx95Q")</f>
        <v>https://xhslink.com/m/5RxT8gRx95Q</v>
      </c>
      <c r="D3612"/>
      <c r="E3612">
        <v>39000</v>
      </c>
      <c r="F3612">
        <v>78</v>
      </c>
      <c r="G3612">
        <v>54.9</v>
      </c>
      <c r="H3612">
        <v>100</v>
      </c>
      <c r="I3612" t="inlineStr">
        <is>
          <t>睫毛生长液</t>
        </is>
      </c>
      <c r="J3612" t="inlineStr">
        <is>
          <t>0.00</t>
        </is>
      </c>
      <c r="K3612"/>
      <c r="L3612" t="inlineStr">
        <is>
          <t>俄罗斯毛毛小姐姐的店</t>
        </is>
      </c>
      <c r="M3612">
        <v>18000</v>
      </c>
      <c r="N3612">
        <v>4.46</v>
      </c>
      <c r="O3612">
        <v>208000</v>
      </c>
      <c r="P3612" t="inlineStr">
        <is>
          <t>6848efb8e874f20001490c8a</t>
        </is>
      </c>
      <c r="Q3612"/>
      <c r="R3612" t="inlineStr">
        <is>
          <t>14周</t>
        </is>
      </c>
      <c r="S3612" t="inlineStr">
        <is>
          <t>2.17</t>
        </is>
      </c>
      <c r="T3612" t="inlineStr">
        <is>
          <t>美妆个护</t>
        </is>
      </c>
      <c r="U3612" t="inlineStr">
        <is>
          <t>个人护理</t>
        </is>
      </c>
      <c r="V3612" s="3">
        <v>46113.55826388889</v>
      </c>
      <c r="W3612" t="inlineStr">
        <is>
          <t>2026-Q2</t>
        </is>
      </c>
    </row>
    <row r="3613" ht="25.5" customHeight="1">
      <c r="A3613" t="inlineStr">
        <is>
          <t>罗梵 · 高浓度野生马齿苋纯露大瓶装维稳肌肤 泛红头道饱和补水润泽 喷雾</t>
        </is>
      </c>
      <c r="B3613" t="inlineStr">
        <is>
          <t>recvfvVmDwKPuY.jpg</t>
        </is>
      </c>
      <c r="C3613" s="2" t="str">
        <f>=HYPERLINK("https://xhslink.com/m/98NYjjwkfkM", "https://xhslink.com/m/98NYjjwkfkM")</f>
        <v>https://xhslink.com/m/98NYjjwkfkM</v>
      </c>
      <c r="D3613"/>
      <c r="E3613">
        <v>12000</v>
      </c>
      <c r="F3613">
        <v>23</v>
      </c>
      <c r="G3613"/>
      <c r="H3613">
        <v>100</v>
      </c>
      <c r="I3613" t="inlineStr">
        <is>
          <t>护肤</t>
        </is>
      </c>
      <c r="J3613" t="inlineStr">
        <is>
          <t>0.01</t>
        </is>
      </c>
      <c r="K3613"/>
      <c r="L3613" t="inlineStr">
        <is>
          <t>罗梵的店</t>
        </is>
      </c>
      <c r="M3613">
        <v>6095</v>
      </c>
      <c r="N3613">
        <v>4.76</v>
      </c>
      <c r="O3613">
        <v>23000</v>
      </c>
      <c r="P3613" t="inlineStr">
        <is>
          <t>6859f3b42835930001dadb2d</t>
        </is>
      </c>
      <c r="Q3613"/>
      <c r="R3613" t="inlineStr">
        <is>
          <t>14周</t>
        </is>
      </c>
      <c r="S3613" t="inlineStr">
        <is>
          <t>1.97</t>
        </is>
      </c>
      <c r="T3613" t="inlineStr">
        <is>
          <t>美妆个护</t>
        </is>
      </c>
      <c r="U3613" t="inlineStr">
        <is>
          <t>护肤彩妆</t>
        </is>
      </c>
      <c r="V3613" s="3">
        <v>46113.55826388889</v>
      </c>
      <c r="W3613" t="inlineStr">
        <is>
          <t>2026-Q2</t>
        </is>
      </c>
    </row>
    <row r="3614" ht="25.5" customHeight="1">
      <c r="A3614" t="inlineStr">
        <is>
          <t>【小白t】圆领正肩短袖夏季轻薄百搭简约显瘦柔软打底</t>
        </is>
      </c>
      <c r="B3614" t="inlineStr">
        <is>
          <t>recvfD7quwbsB1.jpg</t>
        </is>
      </c>
      <c r="C3614" s="2" t="str">
        <f>=HYPERLINK("https://xhslink.com/m/1uPu2iDYMTr", "https://xhslink.com/m/1uPu2iDYMTr")</f>
        <v>https://xhslink.com/m/1uPu2iDYMTr</v>
      </c>
      <c r="D3614"/>
      <c r="E3614">
        <v>2945</v>
      </c>
      <c r="F3614">
        <v>119</v>
      </c>
      <c r="G3614">
        <v>99</v>
      </c>
      <c r="H3614">
        <v>100</v>
      </c>
      <c r="I3614" t="inlineStr">
        <is>
          <t>短袖</t>
        </is>
      </c>
      <c r="J3614" t="inlineStr">
        <is>
          <t>0.03</t>
        </is>
      </c>
      <c r="K3614"/>
      <c r="L3614" t="inlineStr">
        <is>
          <t>爱马橙的店</t>
        </is>
      </c>
      <c r="M3614">
        <v>23000</v>
      </c>
      <c r="N3614">
        <v>4.75</v>
      </c>
      <c r="O3614">
        <v>165000</v>
      </c>
      <c r="P3614" t="inlineStr">
        <is>
          <t>685f894ae47da7000134dcf8</t>
        </is>
      </c>
      <c r="Q3614" t="inlineStr">
        <is>
          <t>🚫重复</t>
        </is>
      </c>
      <c r="R3614" t="inlineStr">
        <is>
          <t>14周</t>
        </is>
      </c>
      <c r="S3614" t="inlineStr">
        <is>
          <t>0.13</t>
        </is>
      </c>
      <c r="T3614" t="inlineStr">
        <is>
          <t>服饰穿搭</t>
        </is>
      </c>
      <c r="U3614" t="inlineStr">
        <is>
          <t>女装</t>
        </is>
      </c>
      <c r="V3614" s="3">
        <v>46114.78872685185</v>
      </c>
      <c r="W3614" t="inlineStr">
        <is>
          <t>2026-Q2</t>
        </is>
      </c>
    </row>
    <row r="3615" ht="25.5" customHeight="1">
      <c r="A3615" t="inlineStr">
        <is>
          <t>BM新款深棕色V领绑带短袖针织开衫女bm围裹式百搭罩衫外搭上衣</t>
        </is>
      </c>
      <c r="B3615" t="inlineStr">
        <is>
          <t>recvfD7quw1Gvg.jpg</t>
        </is>
      </c>
      <c r="C3615" s="2" t="str">
        <f>=HYPERLINK("https://xhslink.com/m/3gYPShVLqtf", "https://xhslink.com/m/3gYPShVLqtf")</f>
        <v>https://xhslink.com/m/3gYPShVLqtf</v>
      </c>
      <c r="D3615"/>
      <c r="E3615">
        <v>1252</v>
      </c>
      <c r="F3615">
        <v>69</v>
      </c>
      <c r="G3615"/>
      <c r="H3615">
        <v>100</v>
      </c>
      <c r="I3615" t="inlineStr">
        <is>
          <t>短袖</t>
        </is>
      </c>
      <c r="J3615" t="inlineStr">
        <is>
          <t>0.08</t>
        </is>
      </c>
      <c r="K3615"/>
      <c r="L3615" t="inlineStr">
        <is>
          <t>浅浅家的BM的店</t>
        </is>
      </c>
      <c r="M3615">
        <v>46000</v>
      </c>
      <c r="N3615">
        <v>4.69</v>
      </c>
      <c r="O3615">
        <v>162000</v>
      </c>
      <c r="P3615" t="inlineStr">
        <is>
          <t>6942250e4d53380001bbf6cc</t>
        </is>
      </c>
      <c r="Q3615" t="inlineStr">
        <is>
          <t>🚫重复</t>
        </is>
      </c>
      <c r="R3615" t="inlineStr">
        <is>
          <t>14周</t>
        </is>
      </c>
      <c r="S3615" t="inlineStr">
        <is>
          <t>0.03</t>
        </is>
      </c>
      <c r="T3615" t="inlineStr">
        <is>
          <t>服饰穿搭</t>
        </is>
      </c>
      <c r="U3615" t="inlineStr">
        <is>
          <t>女装</t>
        </is>
      </c>
      <c r="V3615" s="3">
        <v>46114.78872685185</v>
      </c>
      <c r="W3615" t="inlineStr">
        <is>
          <t>2026-Q2</t>
        </is>
      </c>
    </row>
    <row r="3616" ht="25.5" customHeight="1">
      <c r="A3616" t="inlineStr">
        <is>
          <t>正肩短袖t恤女式春夏季修身显瘦气质小圆领上衣</t>
        </is>
      </c>
      <c r="B3616" t="inlineStr">
        <is>
          <t>recvfD7quwSxAR.jpg</t>
        </is>
      </c>
      <c r="C3616" s="2" t="str">
        <f>=HYPERLINK("https://xhslink.com/m/5neyY0iKzH8", "https://xhslink.com/m/5neyY0iKzH8")</f>
        <v>https://xhslink.com/m/5neyY0iKzH8</v>
      </c>
      <c r="D3616"/>
      <c r="E3616">
        <v>3693</v>
      </c>
      <c r="F3616">
        <v>49.9</v>
      </c>
      <c r="G3616"/>
      <c r="H3616">
        <v>100</v>
      </c>
      <c r="I3616" t="inlineStr">
        <is>
          <t>短袖</t>
        </is>
      </c>
      <c r="J3616" t="inlineStr">
        <is>
          <t>0.03</t>
        </is>
      </c>
      <c r="K3616"/>
      <c r="L3616" t="inlineStr">
        <is>
          <t>ZHELI羊绒的店</t>
        </is>
      </c>
      <c r="M3616">
        <v>5260</v>
      </c>
      <c r="N3616">
        <v>4.26</v>
      </c>
      <c r="O3616">
        <v>16000</v>
      </c>
      <c r="P3616" t="inlineStr">
        <is>
          <t>67fb1f5804afe30001ef2930</t>
        </is>
      </c>
      <c r="Q3616"/>
      <c r="R3616" t="inlineStr">
        <is>
          <t>14周</t>
        </is>
      </c>
      <c r="S3616" t="inlineStr">
        <is>
          <t>0.70</t>
        </is>
      </c>
      <c r="T3616" t="inlineStr">
        <is>
          <t>服饰穿搭</t>
        </is>
      </c>
      <c r="U3616" t="inlineStr">
        <is>
          <t>女装</t>
        </is>
      </c>
      <c r="V3616" s="3">
        <v>46114.78872685185</v>
      </c>
      <c r="W3616" t="inlineStr">
        <is>
          <t>2026-Q2</t>
        </is>
      </c>
    </row>
    <row r="3617" ht="25.5" customHeight="1">
      <c r="A3617" t="inlineStr">
        <is>
          <t>紫梵汐 · 小甜橘·韩系ins胖mm辣妹不规则V领正肩上衣夏季纯欲显瘦短袖T恤女</t>
        </is>
      </c>
      <c r="B3617" t="inlineStr">
        <is>
          <t>recvfD7quwRDLc.jpg</t>
        </is>
      </c>
      <c r="C3617" s="2" t="str">
        <f>=HYPERLINK("https://xhslink.com/m/3ftl3Jm0xx", "https://xhslink.com/m/3ftl3Jm0xx")</f>
        <v>https://xhslink.com/m/3ftl3Jm0xx</v>
      </c>
      <c r="D3617"/>
      <c r="E3617">
        <v>532</v>
      </c>
      <c r="F3617">
        <v>49.8</v>
      </c>
      <c r="G3617"/>
      <c r="H3617">
        <v>100</v>
      </c>
      <c r="I3617" t="inlineStr">
        <is>
          <t>短袖</t>
        </is>
      </c>
      <c r="J3617" t="inlineStr">
        <is>
          <t>0.19</t>
        </is>
      </c>
      <c r="K3617"/>
      <c r="L3617" t="inlineStr">
        <is>
          <t>小甜橘穿搭日记的店</t>
        </is>
      </c>
      <c r="M3617">
        <v>8787</v>
      </c>
      <c r="N3617">
        <v>4.69</v>
      </c>
      <c r="O3617">
        <v>86000</v>
      </c>
      <c r="P3617" t="inlineStr">
        <is>
          <t>67c71c27915f7500153857dc</t>
        </is>
      </c>
      <c r="Q3617" t="inlineStr">
        <is>
          <t>🚫重复</t>
        </is>
      </c>
      <c r="R3617" t="inlineStr">
        <is>
          <t>14周</t>
        </is>
      </c>
      <c r="S3617" t="inlineStr">
        <is>
          <t>0.06</t>
        </is>
      </c>
      <c r="T3617" t="inlineStr">
        <is>
          <t>服饰穿搭</t>
        </is>
      </c>
      <c r="U3617" t="inlineStr">
        <is>
          <t>女装</t>
        </is>
      </c>
      <c r="V3617" s="3">
        <v>46114.78872685185</v>
      </c>
      <c r="W3617" t="inlineStr">
        <is>
          <t>2026-Q2</t>
        </is>
      </c>
    </row>
    <row r="3618" ht="25.5" customHeight="1">
      <c r="A3618" t="inlineStr">
        <is>
          <t>韩系芋泥紫色短袖t恤女夏季2026年新款u领修身收腰短款正肩上衣</t>
        </is>
      </c>
      <c r="B3618" t="inlineStr">
        <is>
          <t>recvfD7quwcUzn.jpg</t>
        </is>
      </c>
      <c r="C3618" s="2" t="str">
        <f>=HYPERLINK("https://xhslink.com/m/8eFs46m04Pn", "https://xhslink.com/m/8eFs46m04Pn")</f>
        <v>https://xhslink.com/m/8eFs46m04Pn</v>
      </c>
      <c r="D3618"/>
      <c r="E3618">
        <v>1057</v>
      </c>
      <c r="F3618">
        <v>59</v>
      </c>
      <c r="G3618">
        <v>39</v>
      </c>
      <c r="H3618">
        <v>100</v>
      </c>
      <c r="I3618" t="inlineStr">
        <is>
          <t>短袖</t>
        </is>
      </c>
      <c r="J3618" t="inlineStr">
        <is>
          <t>0.09</t>
        </is>
      </c>
      <c r="K3618"/>
      <c r="L3618" t="inlineStr">
        <is>
          <t>小鹿穿搭分享的店</t>
        </is>
      </c>
      <c r="M3618">
        <v>7017</v>
      </c>
      <c r="N3618">
        <v>4.65</v>
      </c>
      <c r="O3618">
        <v>32000</v>
      </c>
      <c r="P3618" t="inlineStr">
        <is>
          <t>68413900f0787800010e8574</t>
        </is>
      </c>
      <c r="Q3618" t="inlineStr">
        <is>
          <t>🚫重复</t>
        </is>
      </c>
      <c r="R3618" t="inlineStr">
        <is>
          <t>14周</t>
        </is>
      </c>
      <c r="S3618" t="inlineStr">
        <is>
          <t>0.15</t>
        </is>
      </c>
      <c r="T3618" t="inlineStr">
        <is>
          <t>服饰穿搭</t>
        </is>
      </c>
      <c r="U3618" t="inlineStr">
        <is>
          <t>女装</t>
        </is>
      </c>
      <c r="V3618" s="3">
        <v>46114.78872685185</v>
      </c>
      <c r="W3618" t="inlineStr">
        <is>
          <t>2026-Q2</t>
        </is>
      </c>
    </row>
    <row r="3619" ht="25.5" customHeight="1">
      <c r="A3619" t="inlineStr">
        <is>
          <t>【珍珍】胖mm大码2026春夏新款设计感斜下摆显瘦遮肉T恤短袖上衣</t>
        </is>
      </c>
      <c r="B3619" t="inlineStr">
        <is>
          <t>recvfD7quwfD6B.jpg</t>
        </is>
      </c>
      <c r="C3619" s="2" t="str">
        <f>=HYPERLINK("https://xhslink.com/m/2JAGR7pP5tn", "https://xhslink.com/m/2JAGR7pP5tn")</f>
        <v>https://xhslink.com/m/2JAGR7pP5tn</v>
      </c>
      <c r="D3619"/>
      <c r="E3619">
        <v>406</v>
      </c>
      <c r="F3619">
        <v>39.99</v>
      </c>
      <c r="G3619"/>
      <c r="H3619">
        <v>100</v>
      </c>
      <c r="I3619" t="inlineStr">
        <is>
          <t>短袖</t>
        </is>
      </c>
      <c r="J3619" t="inlineStr">
        <is>
          <t>0.25</t>
        </is>
      </c>
      <c r="K3619" t="inlineStr">
        <is>
          <t>🔥低粉爆款</t>
        </is>
      </c>
      <c r="L3619" t="inlineStr">
        <is>
          <t>杭Z微胖显瘦的店</t>
        </is>
      </c>
      <c r="M3619">
        <v>66</v>
      </c>
      <c r="N3619">
        <v>4.5</v>
      </c>
      <c r="O3619">
        <v>4455</v>
      </c>
      <c r="P3619" t="inlineStr">
        <is>
          <t>69bfefe21b42610015a075bb</t>
        </is>
      </c>
      <c r="Q3619" t="inlineStr">
        <is>
          <t>🚫重复</t>
        </is>
      </c>
      <c r="R3619" t="inlineStr">
        <is>
          <t>14周</t>
        </is>
      </c>
      <c r="S3619" t="inlineStr">
        <is>
          <t>6.15</t>
        </is>
      </c>
      <c r="T3619" t="inlineStr">
        <is>
          <t>服饰穿搭</t>
        </is>
      </c>
      <c r="U3619" t="inlineStr">
        <is>
          <t>女装</t>
        </is>
      </c>
      <c r="V3619" s="3">
        <v>46114.78872685185</v>
      </c>
      <c r="W3619" t="inlineStr">
        <is>
          <t>2026-Q2</t>
        </is>
      </c>
    </row>
    <row r="3620" ht="25.5" customHeight="1">
      <c r="A3620" t="inlineStr">
        <is>
          <t>Melissa · 赵露丝同款梅丽莎包头罗马凉鞋果冻鞋镂空圆头时尚百搭沙滩鞋夏季</t>
        </is>
      </c>
      <c r="B3620" t="inlineStr">
        <is>
          <t>recvfD7quwTkI4.jpg</t>
        </is>
      </c>
      <c r="C3620" s="2" t="str">
        <f>=HYPERLINK("https://xhslink.com/m/Ruv91FX1Tb", "https://xhslink.com/m/Ruv91FX1Tb")</f>
        <v>https://xhslink.com/m/Ruv91FX1Tb</v>
      </c>
      <c r="D3620"/>
      <c r="E3620">
        <v>7206</v>
      </c>
      <c r="F3620">
        <v>228</v>
      </c>
      <c r="G3620">
        <v>198</v>
      </c>
      <c r="H3620">
        <v>100</v>
      </c>
      <c r="I3620" t="inlineStr">
        <is>
          <t>百搭鞋子</t>
        </is>
      </c>
      <c r="J3620" t="inlineStr">
        <is>
          <t>0.01</t>
        </is>
      </c>
      <c r="K3620"/>
      <c r="L3620" t="inlineStr">
        <is>
          <t>Angel巴西梅丽莎的店</t>
        </is>
      </c>
      <c r="M3620">
        <v>15000</v>
      </c>
      <c r="N3620">
        <v>4.8</v>
      </c>
      <c r="O3620">
        <v>27000</v>
      </c>
      <c r="P3620" t="inlineStr">
        <is>
          <t>6645c114fa6f2900018824f2</t>
        </is>
      </c>
      <c r="Q3620" t="inlineStr">
        <is>
          <t>🚫重复</t>
        </is>
      </c>
      <c r="R3620" t="inlineStr">
        <is>
          <t>14周</t>
        </is>
      </c>
      <c r="S3620" t="inlineStr">
        <is>
          <t>0.48</t>
        </is>
      </c>
      <c r="T3620" t="inlineStr">
        <is>
          <t>服饰穿搭</t>
        </is>
      </c>
      <c r="U3620" t="inlineStr">
        <is>
          <t>鞋靴箱包</t>
        </is>
      </c>
      <c r="V3620" s="3">
        <v>46114.78872685185</v>
      </c>
      <c r="W3620" t="inlineStr">
        <is>
          <t>2026-Q2</t>
        </is>
      </c>
    </row>
    <row r="3621" ht="25.5" customHeight="1">
      <c r="A3621" t="inlineStr">
        <is>
          <t>7CM麻花厚底EVA6厘米凉鞋两穿小众鞋子女士鞋子增高百搭凉拖女鞋</t>
        </is>
      </c>
      <c r="B3621" t="inlineStr">
        <is>
          <t>recvfD7quwFshY.jpg</t>
        </is>
      </c>
      <c r="C3621" s="2" t="str">
        <f>=HYPERLINK("https://xhslink.com/m/143u5nTty2M", "https://xhslink.com/m/143u5nTty2M")</f>
        <v>https://xhslink.com/m/143u5nTty2M</v>
      </c>
      <c r="D3621"/>
      <c r="E3621">
        <v>12000</v>
      </c>
      <c r="F3621">
        <v>49.9</v>
      </c>
      <c r="G3621">
        <v>19.9</v>
      </c>
      <c r="H3621">
        <v>100</v>
      </c>
      <c r="I3621" t="inlineStr">
        <is>
          <t>百搭鞋子</t>
        </is>
      </c>
      <c r="J3621" t="inlineStr">
        <is>
          <t>0.01</t>
        </is>
      </c>
      <c r="K3621"/>
      <c r="L3621" t="inlineStr">
        <is>
          <t>宇宝鞋服的店</t>
        </is>
      </c>
      <c r="M3621">
        <v>4290</v>
      </c>
      <c r="N3621">
        <v>4.53</v>
      </c>
      <c r="O3621">
        <v>193000</v>
      </c>
      <c r="P3621" t="inlineStr">
        <is>
          <t>67e7c99552646c0015328531</t>
        </is>
      </c>
      <c r="Q3621"/>
      <c r="R3621" t="inlineStr">
        <is>
          <t>14周</t>
        </is>
      </c>
      <c r="S3621" t="inlineStr">
        <is>
          <t>2.80</t>
        </is>
      </c>
      <c r="T3621" t="inlineStr">
        <is>
          <t>服饰穿搭</t>
        </is>
      </c>
      <c r="U3621" t="inlineStr">
        <is>
          <t>鞋靴箱包</t>
        </is>
      </c>
      <c r="V3621" s="3">
        <v>46114.78872685185</v>
      </c>
      <c r="W3621" t="inlineStr">
        <is>
          <t>2026-Q2</t>
        </is>
      </c>
    </row>
    <row r="3622" ht="25.5" customHeight="1">
      <c r="A3622" t="inlineStr">
        <is>
          <t>【小椰家】法式包头粗跟单鞋2025夏季新款蝴蝶结露趾凉鞋女LX177</t>
        </is>
      </c>
      <c r="B3622" t="inlineStr">
        <is>
          <t>recvfD7quw7iXZ.jpg</t>
        </is>
      </c>
      <c r="C3622" s="2" t="str">
        <f>=HYPERLINK("https://xhslink.com/m/8Y98yP5mo4F", "https://xhslink.com/m/8Y98yP5mo4F")</f>
        <v>https://xhslink.com/m/8Y98yP5mo4F</v>
      </c>
      <c r="D3622"/>
      <c r="E3622">
        <v>4786</v>
      </c>
      <c r="F3622">
        <v>109.8</v>
      </c>
      <c r="G3622">
        <v>89.8</v>
      </c>
      <c r="H3622">
        <v>100</v>
      </c>
      <c r="I3622" t="inlineStr">
        <is>
          <t>百搭鞋子</t>
        </is>
      </c>
      <c r="J3622" t="inlineStr">
        <is>
          <t>0.02</t>
        </is>
      </c>
      <c r="K3622"/>
      <c r="L3622" t="inlineStr">
        <is>
          <t>小椰没烦恼的店</t>
        </is>
      </c>
      <c r="M3622">
        <v>969000</v>
      </c>
      <c r="N3622">
        <v>3.77</v>
      </c>
      <c r="O3622">
        <v>254000</v>
      </c>
      <c r="P3622" t="inlineStr">
        <is>
          <t>67f215ec5d35ce00019fe760</t>
        </is>
      </c>
      <c r="Q3622" t="inlineStr">
        <is>
          <t>🚫重复</t>
        </is>
      </c>
      <c r="R3622" t="inlineStr">
        <is>
          <t>14周</t>
        </is>
      </c>
      <c r="S3622" t="inlineStr">
        <is>
          <t>0.00</t>
        </is>
      </c>
      <c r="T3622" t="inlineStr">
        <is>
          <t>服饰穿搭</t>
        </is>
      </c>
      <c r="U3622" t="inlineStr">
        <is>
          <t>鞋靴箱包</t>
        </is>
      </c>
      <c r="V3622" s="3">
        <v>46114.78872685185</v>
      </c>
      <c r="W3622" t="inlineStr">
        <is>
          <t>2026-Q2</t>
        </is>
      </c>
    </row>
    <row r="3623" ht="25.5" customHeight="1">
      <c r="A3623" t="inlineStr">
        <is>
          <t>eva一体式同款云朵洞洞鞋～不臭不响～5cm增高</t>
        </is>
      </c>
      <c r="B3623" t="inlineStr">
        <is>
          <t>recvfD7quwcWfa.jpg</t>
        </is>
      </c>
      <c r="C3623" s="2" t="str">
        <f>=HYPERLINK("https://xhslink.com/m/2AxOgreBROm", "https://xhslink.com/m/2AxOgreBROm")</f>
        <v>https://xhslink.com/m/2AxOgreBROm</v>
      </c>
      <c r="D3623"/>
      <c r="E3623">
        <v>14000</v>
      </c>
      <c r="F3623">
        <v>59.9</v>
      </c>
      <c r="G3623">
        <v>39.9</v>
      </c>
      <c r="H3623">
        <v>100</v>
      </c>
      <c r="I3623" t="inlineStr">
        <is>
          <t>百搭鞋子</t>
        </is>
      </c>
      <c r="J3623" t="inlineStr">
        <is>
          <t>0.01</t>
        </is>
      </c>
      <c r="K3623"/>
      <c r="L3623" t="inlineStr">
        <is>
          <t>小牛的鞋柜的店</t>
        </is>
      </c>
      <c r="M3623">
        <v>6029</v>
      </c>
      <c r="N3623">
        <v>4.66</v>
      </c>
      <c r="O3623">
        <v>48000</v>
      </c>
      <c r="P3623" t="inlineStr">
        <is>
          <t>67ed163f52646c00154a584c</t>
        </is>
      </c>
      <c r="Q3623" t="inlineStr">
        <is>
          <t>🚫重复</t>
        </is>
      </c>
      <c r="R3623" t="inlineStr">
        <is>
          <t>14周</t>
        </is>
      </c>
      <c r="S3623" t="inlineStr">
        <is>
          <t>2.32</t>
        </is>
      </c>
      <c r="T3623" t="inlineStr">
        <is>
          <t>服饰穿搭</t>
        </is>
      </c>
      <c r="U3623" t="inlineStr">
        <is>
          <t>鞋靴箱包</t>
        </is>
      </c>
      <c r="V3623" s="3">
        <v>46114.78872685185</v>
      </c>
      <c r="W3623" t="inlineStr">
        <is>
          <t>2026-Q2</t>
        </is>
      </c>
    </row>
    <row r="3624" ht="25.5" customHeight="1">
      <c r="A3624" t="inlineStr">
        <is>
          <t>HUALEYY · 5.5CM/34-39/头层羊皮/巨软编织坡跟拖鞋女外穿方头一字带凉鞋</t>
        </is>
      </c>
      <c r="B3624" t="inlineStr">
        <is>
          <t>recvfD7quwxB1j.jpg</t>
        </is>
      </c>
      <c r="C3624" s="2" t="str">
        <f>=HYPERLINK("https://xhslink.com/m/8LvLkDE19nd", "https://xhslink.com/m/8LvLkDE19nd")</f>
        <v>https://xhslink.com/m/8LvLkDE19nd</v>
      </c>
      <c r="D3624"/>
      <c r="E3624">
        <v>1240</v>
      </c>
      <c r="F3624">
        <v>468</v>
      </c>
      <c r="G3624">
        <v>418</v>
      </c>
      <c r="H3624">
        <v>100</v>
      </c>
      <c r="I3624" t="inlineStr">
        <is>
          <t>百搭鞋子</t>
        </is>
      </c>
      <c r="J3624" t="inlineStr">
        <is>
          <t>0.08</t>
        </is>
      </c>
      <c r="K3624"/>
      <c r="L3624" t="inlineStr">
        <is>
          <t>HUALEYY轻奢手工女鞋的店</t>
        </is>
      </c>
      <c r="M3624">
        <v>1945</v>
      </c>
      <c r="N3624">
        <v>4.46</v>
      </c>
      <c r="O3624">
        <v>18000</v>
      </c>
      <c r="P3624" t="inlineStr">
        <is>
          <t>666a6d40cd6d1400016a6c06</t>
        </is>
      </c>
      <c r="Q3624"/>
      <c r="R3624" t="inlineStr">
        <is>
          <t>14周</t>
        </is>
      </c>
      <c r="S3624" t="inlineStr">
        <is>
          <t>0.64</t>
        </is>
      </c>
      <c r="T3624" t="inlineStr">
        <is>
          <t>服饰穿搭</t>
        </is>
      </c>
      <c r="U3624" t="inlineStr">
        <is>
          <t>鞋靴箱包</t>
        </is>
      </c>
      <c r="V3624" s="3">
        <v>46114.78872685185</v>
      </c>
      <c r="W3624" t="inlineStr">
        <is>
          <t>2026-Q2</t>
        </is>
      </c>
    </row>
    <row r="3625" ht="25.5" customHeight="1">
      <c r="A3625" t="inlineStr">
        <is>
          <t>增高7cm可爱洞洞鞋eva夏季外穿防滑软底沙滩凉拖女带足弓</t>
        </is>
      </c>
      <c r="B3625" t="inlineStr">
        <is>
          <t>recvfD7quwcaBu.jpg</t>
        </is>
      </c>
      <c r="C3625" s="2" t="str">
        <f>=HYPERLINK("https://xhslink.com/m/8nmuFV8NWJx", "https://xhslink.com/m/8nmuFV8NWJx")</f>
        <v>https://xhslink.com/m/8nmuFV8NWJx</v>
      </c>
      <c r="D3625"/>
      <c r="E3625">
        <v>1864</v>
      </c>
      <c r="F3625">
        <v>62.99</v>
      </c>
      <c r="G3625">
        <v>42.99</v>
      </c>
      <c r="H3625">
        <v>100</v>
      </c>
      <c r="I3625" t="inlineStr">
        <is>
          <t>百搭鞋子</t>
        </is>
      </c>
      <c r="J3625" t="inlineStr">
        <is>
          <t>0.05</t>
        </is>
      </c>
      <c r="K3625" t="inlineStr">
        <is>
          <t>🔥低粉爆款</t>
        </is>
      </c>
      <c r="L3625" t="inlineStr">
        <is>
          <t>小羊有好柿的店</t>
        </is>
      </c>
      <c r="M3625">
        <v>196</v>
      </c>
      <c r="N3625">
        <v>4.6</v>
      </c>
      <c r="O3625">
        <v>1965</v>
      </c>
      <c r="P3625" t="inlineStr">
        <is>
          <t>69ae992b1166fe0001e23b48</t>
        </is>
      </c>
      <c r="Q3625" t="inlineStr">
        <is>
          <t>🚫重复</t>
        </is>
      </c>
      <c r="R3625" t="inlineStr">
        <is>
          <t>14周</t>
        </is>
      </c>
      <c r="S3625" t="inlineStr">
        <is>
          <t>9.51</t>
        </is>
      </c>
      <c r="T3625" t="inlineStr">
        <is>
          <t>服饰穿搭</t>
        </is>
      </c>
      <c r="U3625" t="inlineStr">
        <is>
          <t>鞋靴箱包</t>
        </is>
      </c>
      <c r="V3625" s="3">
        <v>46114.78872685185</v>
      </c>
      <c r="W3625" t="inlineStr">
        <is>
          <t>2026-Q2</t>
        </is>
      </c>
    </row>
    <row r="3626" ht="25.5" customHeight="1">
      <c r="A3626" t="inlineStr">
        <is>
          <t>City walk复古小众板鞋女款2026新款春夏厚底小白鞋休闲鞋潮3205</t>
        </is>
      </c>
      <c r="B3626" t="inlineStr">
        <is>
          <t>recvfD7quwLyTX.jpg</t>
        </is>
      </c>
      <c r="C3626" s="2" t="str">
        <f>=HYPERLINK("https://xhslink.com/m/8lQNDr351wQ", "https://xhslink.com/m/8lQNDr351wQ")</f>
        <v>https://xhslink.com/m/8lQNDr351wQ</v>
      </c>
      <c r="D3626"/>
      <c r="E3626">
        <v>8657</v>
      </c>
      <c r="F3626">
        <v>88.6</v>
      </c>
      <c r="G3626">
        <v>68.6</v>
      </c>
      <c r="H3626">
        <v>100</v>
      </c>
      <c r="I3626" t="inlineStr">
        <is>
          <t>百搭鞋子</t>
        </is>
      </c>
      <c r="J3626" t="inlineStr">
        <is>
          <t>0.01</t>
        </is>
      </c>
      <c r="K3626"/>
      <c r="L3626" t="inlineStr">
        <is>
          <t>City walk的店</t>
        </is>
      </c>
      <c r="M3626">
        <v>2986</v>
      </c>
      <c r="N3626">
        <v>4.42</v>
      </c>
      <c r="O3626">
        <v>28000</v>
      </c>
      <c r="P3626" t="inlineStr">
        <is>
          <t>68d1027541f0610001a577ce</t>
        </is>
      </c>
      <c r="Q3626" t="inlineStr">
        <is>
          <t>🚫重复</t>
        </is>
      </c>
      <c r="R3626" t="inlineStr">
        <is>
          <t>14周</t>
        </is>
      </c>
      <c r="S3626" t="inlineStr">
        <is>
          <t>2.90</t>
        </is>
      </c>
      <c r="T3626" t="inlineStr">
        <is>
          <t>服饰穿搭</t>
        </is>
      </c>
      <c r="U3626" t="inlineStr">
        <is>
          <t>鞋靴箱包</t>
        </is>
      </c>
      <c r="V3626" s="3">
        <v>46114.78872685185</v>
      </c>
      <c r="W3626" t="inlineStr">
        <is>
          <t>2026-Q2</t>
        </is>
      </c>
    </row>
    <row r="3627" ht="25.5" customHeight="1">
      <c r="A3627" t="inlineStr">
        <is>
          <t>[增高5cm]春夏新款复古老钱风百搭薄底德训鞋透气防滑时尚休闲鞋</t>
        </is>
      </c>
      <c r="B3627" t="inlineStr">
        <is>
          <t>recvfD7quwfA0Z.jpg</t>
        </is>
      </c>
      <c r="C3627" s="2" t="str">
        <f>=HYPERLINK("https://xhslink.com/m/AraGCjGHb2y", "https://xhslink.com/m/AraGCjGHb2y")</f>
        <v>https://xhslink.com/m/AraGCjGHb2y</v>
      </c>
      <c r="D3627"/>
      <c r="E3627">
        <v>474</v>
      </c>
      <c r="F3627">
        <v>199</v>
      </c>
      <c r="G3627">
        <v>159</v>
      </c>
      <c r="H3627">
        <v>100</v>
      </c>
      <c r="I3627" t="inlineStr">
        <is>
          <t>百搭鞋子</t>
        </is>
      </c>
      <c r="J3627" t="inlineStr">
        <is>
          <t>0.21</t>
        </is>
      </c>
      <c r="K3627"/>
      <c r="L3627" t="inlineStr">
        <is>
          <t>Sangseey三市的店</t>
        </is>
      </c>
      <c r="M3627">
        <v>28000</v>
      </c>
      <c r="N3627">
        <v>4.67</v>
      </c>
      <c r="O3627">
        <v>126000</v>
      </c>
      <c r="P3627" t="inlineStr">
        <is>
          <t>699e60c183f25d00010bcf52</t>
        </is>
      </c>
      <c r="Q3627" t="inlineStr">
        <is>
          <t>🚫重复</t>
        </is>
      </c>
      <c r="R3627" t="inlineStr">
        <is>
          <t>14周</t>
        </is>
      </c>
      <c r="S3627" t="inlineStr">
        <is>
          <t>0.02</t>
        </is>
      </c>
      <c r="T3627" t="inlineStr">
        <is>
          <t>服饰穿搭</t>
        </is>
      </c>
      <c r="U3627" t="inlineStr">
        <is>
          <t>鞋靴箱包</t>
        </is>
      </c>
      <c r="V3627" s="3">
        <v>46114.78872685185</v>
      </c>
      <c r="W3627" t="inlineStr">
        <is>
          <t>2026-Q2</t>
        </is>
      </c>
    </row>
    <row r="3628" ht="25.5" customHeight="1">
      <c r="A3628" t="inlineStr">
        <is>
          <t>Novevane~2026新款方头交叉松紧带玛丽珍女鞋气质百搭内增高单鞋</t>
        </is>
      </c>
      <c r="B3628" t="inlineStr">
        <is>
          <t>recvfD7quw1Tea.jpg</t>
        </is>
      </c>
      <c r="C3628" s="2" t="str">
        <f>=HYPERLINK("https://xhslink.com/m/4mPLM7KvP6n", "https://xhslink.com/m/4mPLM7KvP6n")</f>
        <v>https://xhslink.com/m/4mPLM7KvP6n</v>
      </c>
      <c r="D3628"/>
      <c r="E3628">
        <v>405</v>
      </c>
      <c r="F3628">
        <v>158</v>
      </c>
      <c r="G3628">
        <v>69</v>
      </c>
      <c r="H3628">
        <v>100</v>
      </c>
      <c r="I3628" t="inlineStr">
        <is>
          <t>百搭鞋子</t>
        </is>
      </c>
      <c r="J3628" t="inlineStr">
        <is>
          <t>0.25</t>
        </is>
      </c>
      <c r="K3628"/>
      <c r="L3628" t="inlineStr">
        <is>
          <t>Novevane的店</t>
        </is>
      </c>
      <c r="M3628">
        <v>2055</v>
      </c>
      <c r="N3628">
        <v>4.52</v>
      </c>
      <c r="O3628">
        <v>10000</v>
      </c>
      <c r="P3628" t="inlineStr">
        <is>
          <t>69b0faf3b8f98300010906cf</t>
        </is>
      </c>
      <c r="Q3628"/>
      <c r="R3628" t="inlineStr">
        <is>
          <t>14周</t>
        </is>
      </c>
      <c r="S3628" t="inlineStr">
        <is>
          <t>0.20</t>
        </is>
      </c>
      <c r="T3628" t="inlineStr">
        <is>
          <t>服饰穿搭</t>
        </is>
      </c>
      <c r="U3628" t="inlineStr">
        <is>
          <t>鞋靴箱包</t>
        </is>
      </c>
      <c r="V3628" s="3">
        <v>46114.78872685185</v>
      </c>
      <c r="W3628" t="inlineStr">
        <is>
          <t>2026-Q2</t>
        </is>
      </c>
    </row>
    <row r="3629" ht="25.5" customHeight="1">
      <c r="A3629" t="inlineStr">
        <is>
          <t>snowelf · 覆古厚底德训鞋子女2026新款春季爆款百搭轻便增高透气运动休闲</t>
        </is>
      </c>
      <c r="B3629" t="inlineStr">
        <is>
          <t>recvfD7quw47mO.jpg</t>
        </is>
      </c>
      <c r="C3629" s="2" t="str">
        <f>=HYPERLINK("https://xhslink.com/m/2nnjfl5Kcm9", "https://xhslink.com/m/2nnjfl5Kcm9")</f>
        <v>https://xhslink.com/m/2nnjfl5Kcm9</v>
      </c>
      <c r="D3629"/>
      <c r="E3629">
        <v>5663</v>
      </c>
      <c r="F3629">
        <v>318.99</v>
      </c>
      <c r="G3629">
        <v>268.99</v>
      </c>
      <c r="H3629">
        <v>100</v>
      </c>
      <c r="I3629" t="inlineStr">
        <is>
          <t>百搭鞋子</t>
        </is>
      </c>
      <c r="J3629" t="inlineStr">
        <is>
          <t>0.02</t>
        </is>
      </c>
      <c r="K3629"/>
      <c r="L3629" t="inlineStr">
        <is>
          <t>snowelf定制女鞋的店</t>
        </is>
      </c>
      <c r="M3629">
        <v>14000</v>
      </c>
      <c r="N3629">
        <v>4.48</v>
      </c>
      <c r="O3629">
        <v>26000</v>
      </c>
      <c r="P3629" t="inlineStr">
        <is>
          <t>693f64770ae0090001704315</t>
        </is>
      </c>
      <c r="Q3629" t="inlineStr">
        <is>
          <t>🚫重复</t>
        </is>
      </c>
      <c r="R3629" t="inlineStr">
        <is>
          <t>14周</t>
        </is>
      </c>
      <c r="S3629" t="inlineStr">
        <is>
          <t>0.40</t>
        </is>
      </c>
      <c r="T3629" t="inlineStr">
        <is>
          <t>服饰穿搭</t>
        </is>
      </c>
      <c r="U3629" t="inlineStr">
        <is>
          <t>鞋靴箱包</t>
        </is>
      </c>
      <c r="V3629" s="3">
        <v>46114.78872685185</v>
      </c>
      <c r="W3629" t="inlineStr">
        <is>
          <t>2026-Q2</t>
        </is>
      </c>
    </row>
    <row r="3630" ht="25.5" customHeight="1">
      <c r="A3630" t="inlineStr">
        <is>
          <t>【内增高7cm】小个子新款厚底休闲轻便运动阿甘德训鞋运动鞋百搭</t>
        </is>
      </c>
      <c r="B3630" t="inlineStr">
        <is>
          <t>recvfD7quw9sxQ.jpg</t>
        </is>
      </c>
      <c r="C3630" s="2" t="str">
        <f>=HYPERLINK("https://xhslink.com/m/WxpwLEQEZp", "https://xhslink.com/m/WxpwLEQEZp")</f>
        <v>https://xhslink.com/m/WxpwLEQEZp</v>
      </c>
      <c r="D3630"/>
      <c r="E3630">
        <v>356</v>
      </c>
      <c r="F3630">
        <v>168</v>
      </c>
      <c r="G3630">
        <v>128</v>
      </c>
      <c r="H3630">
        <v>100</v>
      </c>
      <c r="I3630" t="inlineStr">
        <is>
          <t>百搭鞋子</t>
        </is>
      </c>
      <c r="J3630" t="inlineStr">
        <is>
          <t>0.28</t>
        </is>
      </c>
      <c r="K3630" t="inlineStr">
        <is>
          <t>🔥低粉爆款</t>
        </is>
      </c>
      <c r="L3630" t="inlineStr">
        <is>
          <t>纯情小绵羊wux的店</t>
        </is>
      </c>
      <c r="M3630">
        <v>36</v>
      </c>
      <c r="N3630">
        <v>4.56</v>
      </c>
      <c r="O3630">
        <v>767</v>
      </c>
      <c r="P3630" t="inlineStr">
        <is>
          <t>69bf3c9bca64b3000183b392</t>
        </is>
      </c>
      <c r="Q3630"/>
      <c r="R3630" t="inlineStr">
        <is>
          <t>14周</t>
        </is>
      </c>
      <c r="S3630" t="inlineStr">
        <is>
          <t>9.89</t>
        </is>
      </c>
      <c r="T3630" t="inlineStr">
        <is>
          <t>服饰穿搭</t>
        </is>
      </c>
      <c r="U3630" t="inlineStr">
        <is>
          <t>鞋靴箱包</t>
        </is>
      </c>
      <c r="V3630" s="3">
        <v>46114.78872685185</v>
      </c>
      <c r="W3630" t="inlineStr">
        <is>
          <t>2026-Q2</t>
        </is>
      </c>
    </row>
    <row r="3631" ht="25.5" customHeight="1">
      <c r="A3631" t="inlineStr">
        <is>
          <t>ForBorn · 100%棉柔巾全棉洗脸巾干湿两用母婴日常护理卸妆清洁*加大加厚</t>
        </is>
      </c>
      <c r="B3631" t="inlineStr">
        <is>
          <t>recvfD7quwv4G8.jpg</t>
        </is>
      </c>
      <c r="C3631" s="2" t="str">
        <f>=HYPERLINK("https://xhslink.com/m/1vnfp5jYYUp", "https://xhslink.com/m/1vnfp5jYYUp")</f>
        <v>https://xhslink.com/m/1vnfp5jYYUp</v>
      </c>
      <c r="D3631"/>
      <c r="E3631">
        <v>6515</v>
      </c>
      <c r="F3631">
        <v>15.9</v>
      </c>
      <c r="G3631">
        <v>9.9</v>
      </c>
      <c r="H3631">
        <v>100</v>
      </c>
      <c r="I3631" t="inlineStr">
        <is>
          <t>洗脸巾</t>
        </is>
      </c>
      <c r="J3631" t="inlineStr">
        <is>
          <t>0.02</t>
        </is>
      </c>
      <c r="K3631" t="inlineStr">
        <is>
          <t>🔥低粉爆款</t>
        </is>
      </c>
      <c r="L3631" t="inlineStr">
        <is>
          <t>ForBorn旗舰店</t>
        </is>
      </c>
      <c r="M3631">
        <v>1489</v>
      </c>
      <c r="N3631">
        <v>4.65</v>
      </c>
      <c r="O3631">
        <v>7677</v>
      </c>
      <c r="P3631" t="inlineStr">
        <is>
          <t>68946dbb02d7b000015bd325</t>
        </is>
      </c>
      <c r="Q3631"/>
      <c r="R3631" t="inlineStr">
        <is>
          <t>14周</t>
        </is>
      </c>
      <c r="S3631" t="inlineStr">
        <is>
          <t>4.38</t>
        </is>
      </c>
      <c r="T3631" t="inlineStr">
        <is>
          <t>美妆个护</t>
        </is>
      </c>
      <c r="U3631" t="inlineStr">
        <is>
          <t>护肤彩妆</t>
        </is>
      </c>
      <c r="V3631" s="3">
        <v>46114.78872685185</v>
      </c>
      <c r="W3631" t="inlineStr">
        <is>
          <t>2026-Q2</t>
        </is>
      </c>
    </row>
    <row r="3632" ht="25.5" customHeight="1">
      <c r="A3632" t="inlineStr">
        <is>
          <t>老钱风西装弯刀裤抗皱垂感好松弛调调拖地裤536</t>
        </is>
      </c>
      <c r="B3632" t="inlineStr">
        <is>
          <t>recvfD7quwATrH.jpg</t>
        </is>
      </c>
      <c r="C3632" s="2" t="str">
        <f>=HYPERLINK("https://xhslink.com/m/7oi8VAkNL1h", "https://xhslink.com/m/7oi8VAkNL1h")</f>
        <v>https://xhslink.com/m/7oi8VAkNL1h</v>
      </c>
      <c r="D3632"/>
      <c r="E3632">
        <v>9992</v>
      </c>
      <c r="F3632">
        <v>259</v>
      </c>
      <c r="G3632"/>
      <c r="H3632">
        <v>100</v>
      </c>
      <c r="I3632" t="inlineStr">
        <is>
          <t>裤子</t>
        </is>
      </c>
      <c r="J3632" t="inlineStr">
        <is>
          <t>0.01</t>
        </is>
      </c>
      <c r="K3632"/>
      <c r="L3632" t="inlineStr">
        <is>
          <t>卖大衣的阿黄黄的店</t>
        </is>
      </c>
      <c r="M3632">
        <v>38000</v>
      </c>
      <c r="N3632">
        <v>4.76</v>
      </c>
      <c r="O3632">
        <v>158000</v>
      </c>
      <c r="P3632" t="inlineStr">
        <is>
          <t>6881bad3448546000190bf05</t>
        </is>
      </c>
      <c r="Q3632" t="inlineStr">
        <is>
          <t>🚫重复</t>
        </is>
      </c>
      <c r="R3632" t="inlineStr">
        <is>
          <t>14周</t>
        </is>
      </c>
      <c r="S3632" t="inlineStr">
        <is>
          <t>0.26</t>
        </is>
      </c>
      <c r="T3632" t="inlineStr">
        <is>
          <t>服饰穿搭</t>
        </is>
      </c>
      <c r="U3632" t="inlineStr">
        <is>
          <t>女装</t>
        </is>
      </c>
      <c r="V3632" s="3">
        <v>46114.78872685185</v>
      </c>
      <c r="W3632" t="inlineStr">
        <is>
          <t>2026-Q2</t>
        </is>
      </c>
    </row>
    <row r="3633" ht="25.5" customHeight="1">
      <c r="A3633" t="inlineStr">
        <is>
          <t>妮妮NINY/版型无敌！弯刀裤低腰显高显瘦宽松运动爵士舞 裤脚抽绳</t>
        </is>
      </c>
      <c r="B3633" t="inlineStr">
        <is>
          <t>recvfD7quwk7X1.jpg</t>
        </is>
      </c>
      <c r="C3633" s="2" t="str">
        <f>=HYPERLINK("https://xhslink.com/m/9kxSR83C3JW", "https://xhslink.com/m/9kxSR83C3JW")</f>
        <v>https://xhslink.com/m/9kxSR83C3JW</v>
      </c>
      <c r="D3633"/>
      <c r="E3633">
        <v>2902</v>
      </c>
      <c r="F3633">
        <v>129</v>
      </c>
      <c r="G3633">
        <v>126</v>
      </c>
      <c r="H3633">
        <v>100</v>
      </c>
      <c r="I3633" t="inlineStr">
        <is>
          <t>裤子</t>
        </is>
      </c>
      <c r="J3633" t="inlineStr">
        <is>
          <t>0.03</t>
        </is>
      </c>
      <c r="K3633"/>
      <c r="L3633" t="inlineStr">
        <is>
          <t>妮妮NINY妮的店</t>
        </is>
      </c>
      <c r="M3633">
        <v>107000</v>
      </c>
      <c r="N3633">
        <v>4.66</v>
      </c>
      <c r="O3633">
        <v>22000</v>
      </c>
      <c r="P3633" t="inlineStr">
        <is>
          <t>68ee5c3df8d1f00001a7b6fc</t>
        </is>
      </c>
      <c r="Q3633" t="inlineStr">
        <is>
          <t>🚫重复</t>
        </is>
      </c>
      <c r="R3633" t="inlineStr">
        <is>
          <t>14周</t>
        </is>
      </c>
      <c r="S3633" t="inlineStr">
        <is>
          <t>0.03</t>
        </is>
      </c>
      <c r="T3633" t="inlineStr">
        <is>
          <t>服饰穿搭</t>
        </is>
      </c>
      <c r="U3633" t="inlineStr">
        <is>
          <t>女装</t>
        </is>
      </c>
      <c r="V3633" s="3">
        <v>46114.78872685185</v>
      </c>
      <c r="W3633" t="inlineStr">
        <is>
          <t>2026-Q2</t>
        </is>
      </c>
    </row>
    <row r="3634" ht="25.5" customHeight="1">
      <c r="A3634" t="inlineStr">
        <is>
          <t>春夏薄棉高级感垂坠透气不易皱阔腿弯刀裤弧形裁剪宽松显瘦休闲裤</t>
        </is>
      </c>
      <c r="B3634" t="inlineStr">
        <is>
          <t>recvfD7quwiIlM.jpg</t>
        </is>
      </c>
      <c r="C3634" s="2" t="str">
        <f>=HYPERLINK("https://xhslink.com/m/7Ne4fdqxsM8", "https://xhslink.com/m/7Ne4fdqxsM8")</f>
        <v>https://xhslink.com/m/7Ne4fdqxsM8</v>
      </c>
      <c r="D3634"/>
      <c r="E3634">
        <v>546</v>
      </c>
      <c r="F3634">
        <v>259</v>
      </c>
      <c r="G3634">
        <v>249</v>
      </c>
      <c r="H3634">
        <v>100</v>
      </c>
      <c r="I3634" t="inlineStr">
        <is>
          <t>裤子</t>
        </is>
      </c>
      <c r="J3634" t="inlineStr">
        <is>
          <t>0.18</t>
        </is>
      </c>
      <c r="K3634"/>
      <c r="L3634" t="inlineStr">
        <is>
          <t>ITS OK.的店</t>
        </is>
      </c>
      <c r="M3634">
        <v>3461</v>
      </c>
      <c r="N3634">
        <v>4.75</v>
      </c>
      <c r="O3634">
        <v>9426</v>
      </c>
      <c r="P3634" t="inlineStr">
        <is>
          <t>69b7cbeefc3bf90001de005a</t>
        </is>
      </c>
      <c r="Q3634" t="inlineStr">
        <is>
          <t>🚫重复</t>
        </is>
      </c>
      <c r="R3634" t="inlineStr">
        <is>
          <t>14周</t>
        </is>
      </c>
      <c r="S3634" t="inlineStr">
        <is>
          <t>0.16</t>
        </is>
      </c>
      <c r="T3634" t="inlineStr">
        <is>
          <t>服饰穿搭</t>
        </is>
      </c>
      <c r="U3634" t="inlineStr">
        <is>
          <t>女装</t>
        </is>
      </c>
      <c r="V3634" s="3">
        <v>46114.78872685185</v>
      </c>
      <c r="W3634" t="inlineStr">
        <is>
          <t>2026-Q2</t>
        </is>
      </c>
    </row>
    <row r="3635" ht="25.5" customHeight="1">
      <c r="A3635" t="inlineStr">
        <is>
          <t>春夏新款 韩系松弛感弯刀休闲裤女垂感直筒裤高腰遮胯显瘦长裤</t>
        </is>
      </c>
      <c r="B3635" t="inlineStr">
        <is>
          <t>recvfD7quwSJtE.jpg</t>
        </is>
      </c>
      <c r="C3635" s="2" t="str">
        <f>=HYPERLINK("https://xhslink.com/m/7ogfez5LQIE", "https://xhslink.com/m/7ogfez5LQIE")</f>
        <v>https://xhslink.com/m/7ogfez5LQIE</v>
      </c>
      <c r="D3635"/>
      <c r="E3635">
        <v>2846</v>
      </c>
      <c r="F3635">
        <v>139</v>
      </c>
      <c r="G3635">
        <v>99.89</v>
      </c>
      <c r="H3635">
        <v>100</v>
      </c>
      <c r="I3635" t="inlineStr">
        <is>
          <t>裤子</t>
        </is>
      </c>
      <c r="J3635" t="inlineStr">
        <is>
          <t>0.04</t>
        </is>
      </c>
      <c r="K3635"/>
      <c r="L3635" t="inlineStr">
        <is>
          <t>思思酱耶～的店</t>
        </is>
      </c>
      <c r="M3635">
        <v>6834</v>
      </c>
      <c r="N3635">
        <v>4.54</v>
      </c>
      <c r="O3635">
        <v>38000</v>
      </c>
      <c r="P3635" t="inlineStr">
        <is>
          <t>68a2f3275251bf00014c83f6</t>
        </is>
      </c>
      <c r="Q3635" t="inlineStr">
        <is>
          <t>🚫重复</t>
        </is>
      </c>
      <c r="R3635" t="inlineStr">
        <is>
          <t>14周</t>
        </is>
      </c>
      <c r="S3635" t="inlineStr">
        <is>
          <t>0.42</t>
        </is>
      </c>
      <c r="T3635" t="inlineStr">
        <is>
          <t>服饰穿搭</t>
        </is>
      </c>
      <c r="U3635" t="inlineStr">
        <is>
          <t>女装</t>
        </is>
      </c>
      <c r="V3635" s="3">
        <v>46114.78872685185</v>
      </c>
      <c r="W3635" t="inlineStr">
        <is>
          <t>2026-Q2</t>
        </is>
      </c>
    </row>
    <row r="3636" ht="25.5" customHeight="1">
      <c r="A3636" t="inlineStr">
        <is>
          <t>【顺丰包邮】云南蓝莓花香蓝莓抚仙湖蓝莓脆甜带花香</t>
        </is>
      </c>
      <c r="B3636" t="inlineStr">
        <is>
          <t>recvfD7quwsqWj.jpg</t>
        </is>
      </c>
      <c r="C3636" s="2" t="str">
        <f>=HYPERLINK("https://xhslink.com/m/8sLNHyMA2LZ", "https://xhslink.com/m/8sLNHyMA2LZ")</f>
        <v>https://xhslink.com/m/8sLNHyMA2LZ</v>
      </c>
      <c r="D3636"/>
      <c r="E3636">
        <v>187000</v>
      </c>
      <c r="F3636">
        <v>104.8</v>
      </c>
      <c r="G3636">
        <v>80.8</v>
      </c>
      <c r="H3636">
        <v>100</v>
      </c>
      <c r="I3636" t="inlineStr">
        <is>
          <t>水果</t>
        </is>
      </c>
      <c r="J3636" t="inlineStr">
        <is>
          <t>0.00</t>
        </is>
      </c>
      <c r="K3636" t="inlineStr">
        <is>
          <t>🔥低粉爆款</t>
        </is>
      </c>
      <c r="L3636" t="inlineStr">
        <is>
          <t>sweet果记的店</t>
        </is>
      </c>
      <c r="M3636">
        <v>31000</v>
      </c>
      <c r="N3636">
        <v>4.46</v>
      </c>
      <c r="O3636">
        <v>337000</v>
      </c>
      <c r="P3636" t="inlineStr">
        <is>
          <t>63ef98206143370001d431d2</t>
        </is>
      </c>
      <c r="Q3636" t="inlineStr">
        <is>
          <t>🚫重复</t>
        </is>
      </c>
      <c r="R3636" t="inlineStr">
        <is>
          <t>14周</t>
        </is>
      </c>
      <c r="S3636" t="inlineStr">
        <is>
          <t>6.03</t>
        </is>
      </c>
      <c r="T3636" t="inlineStr">
        <is>
          <t>美食滋补</t>
        </is>
      </c>
      <c r="U3636" t="inlineStr">
        <is>
          <t>生鲜特产</t>
        </is>
      </c>
      <c r="V3636" s="3">
        <v>46114.78872685185</v>
      </c>
      <c r="W3636" t="inlineStr">
        <is>
          <t>2026-Q2</t>
        </is>
      </c>
    </row>
    <row r="3637" ht="25.5" customHeight="1">
      <c r="A3637" t="inlineStr">
        <is>
          <t>【樱桃小苹果】云南新鲜现摘脆甜野生小苹果糖心苹果当季孕妇水果</t>
        </is>
      </c>
      <c r="B3637" t="inlineStr">
        <is>
          <t>recvfD7quw6rX0.jpg</t>
        </is>
      </c>
      <c r="C3637" s="2" t="str">
        <f>=HYPERLINK("https://xhslink.com/m/2WjlsC5TaW6", "https://xhslink.com/m/2WjlsC5TaW6")</f>
        <v>https://xhslink.com/m/2WjlsC5TaW6</v>
      </c>
      <c r="D3637"/>
      <c r="E3637">
        <v>148000</v>
      </c>
      <c r="F3637">
        <v>69.9</v>
      </c>
      <c r="G3637">
        <v>49.9</v>
      </c>
      <c r="H3637">
        <v>100</v>
      </c>
      <c r="I3637" t="inlineStr">
        <is>
          <t>水果</t>
        </is>
      </c>
      <c r="J3637" t="inlineStr">
        <is>
          <t>0.00</t>
        </is>
      </c>
      <c r="K3637" t="inlineStr">
        <is>
          <t>🔥低粉爆款</t>
        </is>
      </c>
      <c r="L3637" t="inlineStr">
        <is>
          <t>果壹生鲜的店</t>
        </is>
      </c>
      <c r="M3637">
        <v>814</v>
      </c>
      <c r="N3637">
        <v>4.48</v>
      </c>
      <c r="O3637">
        <v>355000</v>
      </c>
      <c r="P3637" t="inlineStr">
        <is>
          <t>68f840cee0f3b20001c0dc00</t>
        </is>
      </c>
      <c r="Q3637" t="inlineStr">
        <is>
          <t>🚫重复</t>
        </is>
      </c>
      <c r="R3637" t="inlineStr">
        <is>
          <t>14周</t>
        </is>
      </c>
      <c r="S3637" t="inlineStr">
        <is>
          <t>181.82</t>
        </is>
      </c>
      <c r="T3637" t="inlineStr">
        <is>
          <t>美食滋补</t>
        </is>
      </c>
      <c r="U3637" t="inlineStr">
        <is>
          <t>生鲜特产</t>
        </is>
      </c>
      <c r="V3637" s="3">
        <v>46114.78872685185</v>
      </c>
      <c r="W3637" t="inlineStr">
        <is>
          <t>2026-Q2</t>
        </is>
      </c>
    </row>
    <row r="3638" ht="25.5" customHeight="1">
      <c r="A3638" t="inlineStr">
        <is>
          <t>素乾乾 · 顺丰现摘云南新鲜红皮无花果 甜糯盒装应季农家孕妇高原水果</t>
        </is>
      </c>
      <c r="B3638" t="inlineStr">
        <is>
          <t>recvfD7quwpisZ.jpg</t>
        </is>
      </c>
      <c r="C3638" s="2" t="str">
        <f>=HYPERLINK("https://xhslink.com/m/48rMsRaUqfD", "https://xhslink.com/m/48rMsRaUqfD")</f>
        <v>https://xhslink.com/m/48rMsRaUqfD</v>
      </c>
      <c r="D3638"/>
      <c r="E3638">
        <v>69000</v>
      </c>
      <c r="F3638">
        <v>68.9</v>
      </c>
      <c r="G3638"/>
      <c r="H3638">
        <v>100</v>
      </c>
      <c r="I3638" t="inlineStr">
        <is>
          <t>水果</t>
        </is>
      </c>
      <c r="J3638" t="inlineStr">
        <is>
          <t>0.00</t>
        </is>
      </c>
      <c r="K3638" t="inlineStr">
        <is>
          <t>🔥低粉爆款</t>
        </is>
      </c>
      <c r="L3638" t="inlineStr">
        <is>
          <t>素乾乾旗舰店</t>
        </is>
      </c>
      <c r="M3638">
        <v>2775</v>
      </c>
      <c r="N3638">
        <v>4.63</v>
      </c>
      <c r="O3638">
        <v>75000</v>
      </c>
      <c r="P3638" t="inlineStr">
        <is>
          <t>666808925f1a0a00013ada50</t>
        </is>
      </c>
      <c r="Q3638" t="inlineStr">
        <is>
          <t>🚫重复</t>
        </is>
      </c>
      <c r="R3638" t="inlineStr">
        <is>
          <t>14周</t>
        </is>
      </c>
      <c r="S3638" t="inlineStr">
        <is>
          <t>24.86</t>
        </is>
      </c>
      <c r="T3638" t="inlineStr">
        <is>
          <t>美食滋补</t>
        </is>
      </c>
      <c r="U3638" t="inlineStr">
        <is>
          <t>生鲜特产</t>
        </is>
      </c>
      <c r="V3638" s="3">
        <v>46114.78872685185</v>
      </c>
      <c r="W3638" t="inlineStr">
        <is>
          <t>2026-Q2</t>
        </is>
      </c>
    </row>
    <row r="3639" ht="25.5" customHeight="1">
      <c r="A3639" t="inlineStr">
        <is>
          <t>妙味哥 · 东北黏糊麻辣烫388克方便速食懒人夜宵</t>
        </is>
      </c>
      <c r="B3639" t="inlineStr">
        <is>
          <t>recvfD7quwMOiD.jpg</t>
        </is>
      </c>
      <c r="C3639" s="2" t="str">
        <f>=HYPERLINK("https://xhslink.com/m/3obCAtLR5V5", "https://xhslink.com/m/3obCAtLR5V5")</f>
        <v>https://xhslink.com/m/3obCAtLR5V5</v>
      </c>
      <c r="D3639"/>
      <c r="E3639">
        <v>169000</v>
      </c>
      <c r="F3639">
        <v>29.9</v>
      </c>
      <c r="G3639">
        <v>16.9</v>
      </c>
      <c r="H3639">
        <v>100</v>
      </c>
      <c r="I3639" t="inlineStr">
        <is>
          <t>宿舍零食</t>
        </is>
      </c>
      <c r="J3639" t="inlineStr">
        <is>
          <t>0.00</t>
        </is>
      </c>
      <c r="K3639"/>
      <c r="L3639" t="inlineStr">
        <is>
          <t>妙味哥旗舰店</t>
        </is>
      </c>
      <c r="M3639">
        <v>109000</v>
      </c>
      <c r="N3639">
        <v>3.82</v>
      </c>
      <c r="O3639">
        <v>373000</v>
      </c>
      <c r="P3639" t="inlineStr">
        <is>
          <t>665b2fd6fc13120001f1f895</t>
        </is>
      </c>
      <c r="Q3639" t="inlineStr">
        <is>
          <t>🚫重复</t>
        </is>
      </c>
      <c r="R3639" t="inlineStr">
        <is>
          <t>14周</t>
        </is>
      </c>
      <c r="S3639" t="inlineStr">
        <is>
          <t>1.55</t>
        </is>
      </c>
      <c r="T3639" t="inlineStr">
        <is>
          <t>美食滋补</t>
        </is>
      </c>
      <c r="U3639" t="inlineStr">
        <is>
          <t>休闲零食</t>
        </is>
      </c>
      <c r="V3639" s="3">
        <v>46114.78872685185</v>
      </c>
      <c r="W3639" t="inlineStr">
        <is>
          <t>2026-Q2</t>
        </is>
      </c>
    </row>
    <row r="3640" ht="25.5" customHeight="1">
      <c r="A3640" t="inlineStr">
        <is>
          <t>暴肌独角兽 · 【董生活推荐】&lt;鸡胸肉小酥条&gt; 鸡肉干健康办公室解馋零食品代餐</t>
        </is>
      </c>
      <c r="B3640" t="inlineStr">
        <is>
          <t>recvfD7quwn0QX.jpg</t>
        </is>
      </c>
      <c r="C3640" s="2" t="str">
        <f>=HYPERLINK("https://xhslink.com/m/AYBm7eOQ7ae", "https://xhslink.com/m/AYBm7eOQ7ae")</f>
        <v>https://xhslink.com/m/AYBm7eOQ7ae</v>
      </c>
      <c r="D3640"/>
      <c r="E3640">
        <v>62000</v>
      </c>
      <c r="F3640">
        <v>31.9</v>
      </c>
      <c r="G3640">
        <v>26.9</v>
      </c>
      <c r="H3640">
        <v>100</v>
      </c>
      <c r="I3640" t="inlineStr">
        <is>
          <t>低热量零食</t>
        </is>
      </c>
      <c r="J3640" t="inlineStr">
        <is>
          <t>0.00</t>
        </is>
      </c>
      <c r="K3640"/>
      <c r="L3640" t="inlineStr">
        <is>
          <t>暴肌独角兽旗舰店</t>
        </is>
      </c>
      <c r="M3640">
        <v>52000</v>
      </c>
      <c r="N3640">
        <v>4.5</v>
      </c>
      <c r="O3640">
        <v>1133000</v>
      </c>
      <c r="P3640" t="inlineStr">
        <is>
          <t>666809095f1a0a00013adffb</t>
        </is>
      </c>
      <c r="Q3640" t="inlineStr">
        <is>
          <t>🚫重复</t>
        </is>
      </c>
      <c r="R3640" t="inlineStr">
        <is>
          <t>14周</t>
        </is>
      </c>
      <c r="S3640" t="inlineStr">
        <is>
          <t>1.19</t>
        </is>
      </c>
      <c r="T3640" t="inlineStr">
        <is>
          <t>美食滋补</t>
        </is>
      </c>
      <c r="U3640" t="inlineStr">
        <is>
          <t>休闲零食</t>
        </is>
      </c>
      <c r="V3640" s="3">
        <v>46114.78872685185</v>
      </c>
      <c r="W3640" t="inlineStr">
        <is>
          <t>2026-Q2</t>
        </is>
      </c>
    </row>
    <row r="3641" ht="25.5" customHeight="1">
      <c r="A3641" t="inlineStr">
        <is>
          <t>食验室 · A 【热量小于半颗苹果】 纤脆玉米片 非油炸减脂期好吃健康零食</t>
        </is>
      </c>
      <c r="B3641" t="inlineStr">
        <is>
          <t>recvfD7quwCvjT.jpg</t>
        </is>
      </c>
      <c r="C3641" s="2" t="str">
        <f>=HYPERLINK("https://xhslink.com/m/8uRp6FDjLBa", "https://xhslink.com/m/8uRp6FDjLBa")</f>
        <v>https://xhslink.com/m/8uRp6FDjLBa</v>
      </c>
      <c r="D3641"/>
      <c r="E3641">
        <v>21000</v>
      </c>
      <c r="F3641">
        <v>22.9</v>
      </c>
      <c r="G3641"/>
      <c r="H3641">
        <v>100</v>
      </c>
      <c r="I3641" t="inlineStr">
        <is>
          <t>低热量零食</t>
        </is>
      </c>
      <c r="J3641" t="inlineStr">
        <is>
          <t>0.00</t>
        </is>
      </c>
      <c r="K3641"/>
      <c r="L3641" t="inlineStr">
        <is>
          <t>食验室旗舰店</t>
        </is>
      </c>
      <c r="M3641">
        <v>196000</v>
      </c>
      <c r="N3641">
        <v>4.62</v>
      </c>
      <c r="O3641">
        <v>1457000</v>
      </c>
      <c r="P3641" t="inlineStr">
        <is>
          <t>69c24f0e58e9630001157e69</t>
        </is>
      </c>
      <c r="Q3641" t="inlineStr">
        <is>
          <t>🚫重复</t>
        </is>
      </c>
      <c r="R3641" t="inlineStr">
        <is>
          <t>14周</t>
        </is>
      </c>
      <c r="S3641" t="inlineStr">
        <is>
          <t>0.11</t>
        </is>
      </c>
      <c r="T3641" t="inlineStr">
        <is>
          <t>美食滋补</t>
        </is>
      </c>
      <c r="U3641" t="inlineStr">
        <is>
          <t>休闲零食</t>
        </is>
      </c>
      <c r="V3641" s="3">
        <v>46114.78872685185</v>
      </c>
      <c r="W3641" t="inlineStr">
        <is>
          <t>2026-Q2</t>
        </is>
      </c>
    </row>
    <row r="3642" ht="25.5" customHeight="1">
      <c r="A3642" t="inlineStr">
        <is>
          <t>【常温可囤贝果面包】早八大学生早餐推荐代餐全麦无蔗糖夹低心卡</t>
        </is>
      </c>
      <c r="B3642" t="inlineStr">
        <is>
          <t>recvfD7quw9eX8.jpg</t>
        </is>
      </c>
      <c r="C3642" s="2" t="str">
        <f>=HYPERLINK("https://xhslink.com/m/5XbFOEo9w4e", "https://xhslink.com/m/5XbFOEo9w4e")</f>
        <v>https://xhslink.com/m/5XbFOEo9w4e</v>
      </c>
      <c r="D3642"/>
      <c r="E3642">
        <v>156000</v>
      </c>
      <c r="F3642">
        <v>38.8</v>
      </c>
      <c r="G3642">
        <v>18.8</v>
      </c>
      <c r="H3642">
        <v>100</v>
      </c>
      <c r="I3642" t="inlineStr">
        <is>
          <t>低热量零食</t>
        </is>
      </c>
      <c r="J3642" t="inlineStr">
        <is>
          <t>0.00</t>
        </is>
      </c>
      <c r="K3642" t="inlineStr">
        <is>
          <t>🔥低粉爆款</t>
        </is>
      </c>
      <c r="L3642" t="inlineStr">
        <is>
          <t>糖隐烘焙坊的店</t>
        </is>
      </c>
      <c r="M3642">
        <v>17000</v>
      </c>
      <c r="N3642">
        <v>4.59</v>
      </c>
      <c r="O3642">
        <v>189000</v>
      </c>
      <c r="P3642" t="inlineStr">
        <is>
          <t>6713280d758fa40001ae2b07</t>
        </is>
      </c>
      <c r="Q3642" t="inlineStr">
        <is>
          <t>🚫重复</t>
        </is>
      </c>
      <c r="R3642" t="inlineStr">
        <is>
          <t>14周</t>
        </is>
      </c>
      <c r="S3642" t="inlineStr">
        <is>
          <t>9.18</t>
        </is>
      </c>
      <c r="T3642" t="inlineStr">
        <is>
          <t>美食滋补</t>
        </is>
      </c>
      <c r="U3642" t="inlineStr">
        <is>
          <t>休闲零食</t>
        </is>
      </c>
      <c r="V3642" s="3">
        <v>46114.78872685185</v>
      </c>
      <c r="W3642" t="inlineStr">
        <is>
          <t>2026-Q2</t>
        </is>
      </c>
    </row>
    <row r="3643" ht="25.5" customHeight="1">
      <c r="A3643" t="inlineStr">
        <is>
          <t>汐谷轻岚 · 纯黑巧克力无蔗糖饱腹感进口纯可可脂液块烘焙原料健身零食学生</t>
        </is>
      </c>
      <c r="B3643" t="inlineStr">
        <is>
          <t>recvfD7quwLt0X.jpg</t>
        </is>
      </c>
      <c r="C3643" s="2" t="str">
        <f>=HYPERLINK("https://xhslink.com/m/4JAjgEOCN5V", "https://xhslink.com/m/4JAjgEOCN5V")</f>
        <v>https://xhslink.com/m/4JAjgEOCN5V</v>
      </c>
      <c r="D3643"/>
      <c r="E3643">
        <v>86000</v>
      </c>
      <c r="F3643">
        <v>39.9</v>
      </c>
      <c r="G3643"/>
      <c r="H3643">
        <v>100</v>
      </c>
      <c r="I3643" t="inlineStr">
        <is>
          <t>低热量零食</t>
        </is>
      </c>
      <c r="J3643" t="inlineStr">
        <is>
          <t>0.00</t>
        </is>
      </c>
      <c r="K3643" t="inlineStr">
        <is>
          <t>🔥低粉爆款</t>
        </is>
      </c>
      <c r="L3643" t="inlineStr">
        <is>
          <t>铭铭好吃宝的店</t>
        </is>
      </c>
      <c r="M3643">
        <v>10000</v>
      </c>
      <c r="N3643">
        <v>4.66</v>
      </c>
      <c r="O3643">
        <v>91000</v>
      </c>
      <c r="P3643" t="inlineStr">
        <is>
          <t>673be0b8bf5b2400013b6a11</t>
        </is>
      </c>
      <c r="Q3643" t="inlineStr">
        <is>
          <t>🚫重复</t>
        </is>
      </c>
      <c r="R3643" t="inlineStr">
        <is>
          <t>14周</t>
        </is>
      </c>
      <c r="S3643" t="inlineStr">
        <is>
          <t>8.60</t>
        </is>
      </c>
      <c r="T3643" t="inlineStr">
        <is>
          <t>美食滋补</t>
        </is>
      </c>
      <c r="U3643" t="inlineStr">
        <is>
          <t>休闲零食</t>
        </is>
      </c>
      <c r="V3643" s="3">
        <v>46114.78872685185</v>
      </c>
      <c r="W3643" t="inlineStr">
        <is>
          <t>2026-Q2</t>
        </is>
      </c>
    </row>
    <row r="3644" ht="25.5" customHeight="1">
      <c r="A3644" t="inlineStr">
        <is>
          <t>盒界 · 鲜蒸荔浦芋头开袋即食低脂0添加饱腹粗粮清蒸香芋休闲零食</t>
        </is>
      </c>
      <c r="B3644" t="inlineStr">
        <is>
          <t>recvfD7quw8dcL.jpg</t>
        </is>
      </c>
      <c r="C3644" s="2" t="str">
        <f>=HYPERLINK("https://xhslink.com/m/7RTGTwE83Qh", "https://xhslink.com/m/7RTGTwE83Qh")</f>
        <v>https://xhslink.com/m/7RTGTwE83Qh</v>
      </c>
      <c r="D3644"/>
      <c r="E3644">
        <v>13000</v>
      </c>
      <c r="F3644">
        <v>43.9</v>
      </c>
      <c r="G3644">
        <v>33.9</v>
      </c>
      <c r="H3644">
        <v>100</v>
      </c>
      <c r="I3644" t="inlineStr">
        <is>
          <t>低热量零食</t>
        </is>
      </c>
      <c r="J3644" t="inlineStr">
        <is>
          <t>0.01</t>
        </is>
      </c>
      <c r="K3644"/>
      <c r="L3644" t="inlineStr">
        <is>
          <t>盒界甄选的店</t>
        </is>
      </c>
      <c r="M3644">
        <v>6881</v>
      </c>
      <c r="N3644">
        <v>4.42</v>
      </c>
      <c r="O3644">
        <v>158000</v>
      </c>
      <c r="P3644" t="inlineStr">
        <is>
          <t>69366fbe02483f00012011a6</t>
        </is>
      </c>
      <c r="Q3644" t="inlineStr">
        <is>
          <t>🚫重复</t>
        </is>
      </c>
      <c r="R3644" t="inlineStr">
        <is>
          <t>14周</t>
        </is>
      </c>
      <c r="S3644" t="inlineStr">
        <is>
          <t>1.89</t>
        </is>
      </c>
      <c r="T3644" t="inlineStr">
        <is>
          <t>美食滋补</t>
        </is>
      </c>
      <c r="U3644" t="inlineStr">
        <is>
          <t>休闲零食</t>
        </is>
      </c>
      <c r="V3644" s="3">
        <v>46114.78872685185</v>
      </c>
      <c r="W3644" t="inlineStr">
        <is>
          <t>2026-Q2</t>
        </is>
      </c>
    </row>
    <row r="3645" ht="25.5" customHeight="1">
      <c r="A3645" t="inlineStr">
        <is>
          <t>毛毛虫原版原创•山楂陈皮茶•祛氵显 减月旨 刮氵由 通缏茶</t>
        </is>
      </c>
      <c r="B3645" t="inlineStr">
        <is>
          <t>recvfD7quwdthW.jpg</t>
        </is>
      </c>
      <c r="C3645" s="2" t="str">
        <f>=HYPERLINK("https://xhslink.com/m/APZbNguyxWk", "https://xhslink.com/m/APZbNguyxWk")</f>
        <v>https://xhslink.com/m/APZbNguyxWk</v>
      </c>
      <c r="D3645"/>
      <c r="E3645">
        <v>23000</v>
      </c>
      <c r="F3645">
        <v>112.5</v>
      </c>
      <c r="G3645">
        <v>99</v>
      </c>
      <c r="H3645">
        <v>100</v>
      </c>
      <c r="I3645" t="inlineStr">
        <is>
          <t>养生茶饮</t>
        </is>
      </c>
      <c r="J3645" t="inlineStr">
        <is>
          <t>0.00</t>
        </is>
      </c>
      <c r="K3645"/>
      <c r="L3645" t="inlineStr">
        <is>
          <t>毛毛虫的减脂养生日常💛的店</t>
        </is>
      </c>
      <c r="M3645">
        <v>130000</v>
      </c>
      <c r="N3645">
        <v>4.57</v>
      </c>
      <c r="O3645">
        <v>55000</v>
      </c>
      <c r="P3645" t="inlineStr">
        <is>
          <t>68dccc4a002e7e0001e6b073</t>
        </is>
      </c>
      <c r="Q3645" t="inlineStr">
        <is>
          <t>🚫重复</t>
        </is>
      </c>
      <c r="R3645" t="inlineStr">
        <is>
          <t>14周</t>
        </is>
      </c>
      <c r="S3645" t="inlineStr">
        <is>
          <t>0.18</t>
        </is>
      </c>
      <c r="T3645" t="inlineStr">
        <is>
          <t>美食滋补</t>
        </is>
      </c>
      <c r="U3645" t="inlineStr">
        <is>
          <t>酒水冲饮</t>
        </is>
      </c>
      <c r="V3645" s="3">
        <v>46114.78872685185</v>
      </c>
      <c r="W3645" t="inlineStr">
        <is>
          <t>2026-Q2</t>
        </is>
      </c>
    </row>
    <row r="3646" ht="25.5" customHeight="1">
      <c r="A3646" t="inlineStr">
        <is>
          <t>SKIN1004 理肤天使 · 【官方授权】韩国skin1004放晒透明质酸水感化学仿晒积雪草物理</t>
        </is>
      </c>
      <c r="B3646" t="inlineStr">
        <is>
          <t>recvfD7quwwnzl.jpg</t>
        </is>
      </c>
      <c r="C3646" s="2" t="str">
        <f>=HYPERLINK("https://xhslink.com/m/1w0WGKmnu1o", "https://xhslink.com/m/1w0WGKmnu1o")</f>
        <v>https://xhslink.com/m/1w0WGKmnu1o</v>
      </c>
      <c r="D3646"/>
      <c r="E3646">
        <v>9625</v>
      </c>
      <c r="F3646">
        <v>19.43</v>
      </c>
      <c r="G3646">
        <v>16.9</v>
      </c>
      <c r="H3646">
        <v>100</v>
      </c>
      <c r="I3646" t="inlineStr">
        <is>
          <t>防晒</t>
        </is>
      </c>
      <c r="J3646" t="inlineStr">
        <is>
          <t>0.01</t>
        </is>
      </c>
      <c r="K3646"/>
      <c r="L3646" t="inlineStr">
        <is>
          <t>小王不胖(好价版)的店</t>
        </is>
      </c>
      <c r="M3646">
        <v>72000</v>
      </c>
      <c r="N3646">
        <v>4.71</v>
      </c>
      <c r="O3646">
        <v>244000</v>
      </c>
      <c r="P3646" t="inlineStr">
        <is>
          <t>690c58774730900001a63108</t>
        </is>
      </c>
      <c r="Q3646" t="inlineStr">
        <is>
          <t>🚫重复</t>
        </is>
      </c>
      <c r="R3646" t="inlineStr">
        <is>
          <t>14周</t>
        </is>
      </c>
      <c r="S3646" t="inlineStr">
        <is>
          <t>0.13</t>
        </is>
      </c>
      <c r="T3646" t="inlineStr">
        <is>
          <t>美妆个护</t>
        </is>
      </c>
      <c r="U3646" t="inlineStr">
        <is>
          <t>护肤彩妆</t>
        </is>
      </c>
      <c r="V3646" s="3">
        <v>46114.78872685185</v>
      </c>
      <c r="W3646" t="inlineStr">
        <is>
          <t>2026-Q2</t>
        </is>
      </c>
    </row>
    <row r="3647" ht="25.5" customHeight="1">
      <c r="A3647" t="inlineStr">
        <is>
          <t>Rolincube · 原创糖果系列纯色镶钻百搭ins磁吸壳iPhone15/16/17手机壳Magsafe</t>
        </is>
      </c>
      <c r="B3647" t="inlineStr">
        <is>
          <t>recvfD7quwpT0U.jpg</t>
        </is>
      </c>
      <c r="C3647" s="2" t="str">
        <f>=HYPERLINK("https://xhslink.com/m/8s4MphYYpVT", "https://xhslink.com/m/8s4MphYYpVT")</f>
        <v>https://xhslink.com/m/8s4MphYYpVT</v>
      </c>
      <c r="D3647"/>
      <c r="E3647">
        <v>3200</v>
      </c>
      <c r="F3647">
        <v>69</v>
      </c>
      <c r="G3647"/>
      <c r="H3647">
        <v>100</v>
      </c>
      <c r="I3647" t="inlineStr">
        <is>
          <t>小众手机壳</t>
        </is>
      </c>
      <c r="J3647" t="inlineStr">
        <is>
          <t>0.03</t>
        </is>
      </c>
      <c r="K3647"/>
      <c r="L3647" t="inlineStr">
        <is>
          <t>Rolincube的店</t>
        </is>
      </c>
      <c r="M3647">
        <v>36000</v>
      </c>
      <c r="N3647">
        <v>4.54</v>
      </c>
      <c r="O3647">
        <v>45000</v>
      </c>
      <c r="P3647" t="inlineStr">
        <is>
          <t>68f510520dfa750001bc7e77</t>
        </is>
      </c>
      <c r="Q3647"/>
      <c r="R3647" t="inlineStr">
        <is>
          <t>14周</t>
        </is>
      </c>
      <c r="S3647" t="inlineStr">
        <is>
          <t>0.09</t>
        </is>
      </c>
      <c r="T3647" t="inlineStr">
        <is>
          <t>数码家电</t>
        </is>
      </c>
      <c r="U3647" t="inlineStr">
        <is>
          <t>数码配件</t>
        </is>
      </c>
      <c r="V3647" s="3">
        <v>46114.78872685185</v>
      </c>
      <c r="W3647" t="inlineStr">
        <is>
          <t>2026-Q2</t>
        </is>
      </c>
    </row>
    <row r="3648" ht="25.5" customHeight="1">
      <c r="A3648" t="inlineStr">
        <is>
          <t>磁吸透明手机壳iPhone17ProMax全包防摔软壳创意个性潮壳</t>
        </is>
      </c>
      <c r="B3648" t="inlineStr">
        <is>
          <t>recvfD7quwcJKI.jpg</t>
        </is>
      </c>
      <c r="C3648" s="2" t="str">
        <f>=HYPERLINK("https://xhslink.com/m/72VAztWZ8Kg", "https://xhslink.com/m/72VAztWZ8Kg")</f>
        <v>https://xhslink.com/m/72VAztWZ8Kg</v>
      </c>
      <c r="D3648"/>
      <c r="E3648">
        <v>1546</v>
      </c>
      <c r="F3648">
        <v>11.8</v>
      </c>
      <c r="G3648">
        <v>10.8</v>
      </c>
      <c r="H3648">
        <v>100</v>
      </c>
      <c r="I3648" t="inlineStr">
        <is>
          <t>小众手机壳</t>
        </is>
      </c>
      <c r="J3648" t="inlineStr">
        <is>
          <t>0.06</t>
        </is>
      </c>
      <c r="K3648" t="inlineStr">
        <is>
          <t>🔥低粉爆款</t>
        </is>
      </c>
      <c r="L3648" t="inlineStr">
        <is>
          <t>一壳四季的店</t>
        </is>
      </c>
      <c r="M3648">
        <v>37</v>
      </c>
      <c r="N3648">
        <v>4.43</v>
      </c>
      <c r="O3648">
        <v>1631</v>
      </c>
      <c r="P3648" t="inlineStr">
        <is>
          <t>6999fa5ee2c5ca000147dbec</t>
        </is>
      </c>
      <c r="Q3648"/>
      <c r="R3648" t="inlineStr">
        <is>
          <t>14周</t>
        </is>
      </c>
      <c r="S3648" t="inlineStr">
        <is>
          <t>41.78</t>
        </is>
      </c>
      <c r="T3648" t="inlineStr">
        <is>
          <t>数码家电</t>
        </is>
      </c>
      <c r="U3648" t="inlineStr">
        <is>
          <t>数码配件</t>
        </is>
      </c>
      <c r="V3648" s="3">
        <v>46114.78872685185</v>
      </c>
      <c r="W3648" t="inlineStr">
        <is>
          <t>2026-Q2</t>
        </is>
      </c>
    </row>
    <row r="3649" ht="25.5" customHeight="1">
      <c r="A3649" t="inlineStr">
        <is>
          <t>ins氛围落地灯客厅智能语音声控卧室家用感应小夜灯遥控床头台灯</t>
        </is>
      </c>
      <c r="B3649" t="inlineStr">
        <is>
          <t>recvfD7quwQiox.jpg</t>
        </is>
      </c>
      <c r="C3649" s="2" t="str">
        <f>=HYPERLINK("https://xhslink.com/m/7V4O00gwEAe", "https://xhslink.com/m/7V4O00gwEAe")</f>
        <v>https://xhslink.com/m/7V4O00gwEAe</v>
      </c>
      <c r="D3649"/>
      <c r="E3649">
        <v>1135</v>
      </c>
      <c r="F3649">
        <v>67.9</v>
      </c>
      <c r="G3649">
        <v>47.9</v>
      </c>
      <c r="H3649">
        <v>100</v>
      </c>
      <c r="I3649" t="inlineStr">
        <is>
          <t>客厅</t>
        </is>
      </c>
      <c r="J3649" t="inlineStr">
        <is>
          <t>0.09</t>
        </is>
      </c>
      <c r="K3649"/>
      <c r="L3649" t="inlineStr">
        <is>
          <t>居家物语的店</t>
        </is>
      </c>
      <c r="M3649">
        <v>2325</v>
      </c>
      <c r="N3649">
        <v>4.59</v>
      </c>
      <c r="O3649">
        <v>6922</v>
      </c>
      <c r="P3649" t="inlineStr">
        <is>
          <t>68fb7e35ed4dcf001591d3b3</t>
        </is>
      </c>
      <c r="Q3649"/>
      <c r="R3649" t="inlineStr">
        <is>
          <t>14周</t>
        </is>
      </c>
      <c r="S3649" t="inlineStr">
        <is>
          <t>0.49</t>
        </is>
      </c>
      <c r="T3649" t="inlineStr">
        <is>
          <t>家居生活</t>
        </is>
      </c>
      <c r="U3649" t="inlineStr">
        <is>
          <t>家具家装</t>
        </is>
      </c>
      <c r="V3649" s="3">
        <v>46114.78872685185</v>
      </c>
      <c r="W3649" t="inlineStr">
        <is>
          <t>2026-Q2</t>
        </is>
      </c>
    </row>
    <row r="3650" ht="25.5" customHeight="1">
      <c r="A3650" t="inlineStr">
        <is>
          <t>硬核生长·森呼吸椰 袖珍椰子不锈钢杯绿植ins风个性小众送礼好养</t>
        </is>
      </c>
      <c r="B3650" t="inlineStr">
        <is>
          <t>recvfD7quw5nBr.jpg</t>
        </is>
      </c>
      <c r="C3650" s="2" t="str">
        <f>=HYPERLINK("https://xhslink.com/m/pTvhrmLHFV", "https://xhslink.com/m/pTvhrmLHFV")</f>
        <v>https://xhslink.com/m/pTvhrmLHFV</v>
      </c>
      <c r="D3650"/>
      <c r="E3650">
        <v>2078</v>
      </c>
      <c r="F3650">
        <v>32.9</v>
      </c>
      <c r="G3650">
        <v>27.9</v>
      </c>
      <c r="H3650">
        <v>100</v>
      </c>
      <c r="I3650" t="inlineStr">
        <is>
          <t>客厅</t>
        </is>
      </c>
      <c r="J3650" t="inlineStr">
        <is>
          <t>0.05</t>
        </is>
      </c>
      <c r="K3650" t="inlineStr">
        <is>
          <t>🔥低粉爆款</t>
        </is>
      </c>
      <c r="L3650" t="inlineStr">
        <is>
          <t>HARDGREEN 硬核生长的店</t>
        </is>
      </c>
      <c r="M3650">
        <v>571</v>
      </c>
      <c r="N3650">
        <v>4.78</v>
      </c>
      <c r="O3650">
        <v>2990</v>
      </c>
      <c r="P3650" t="inlineStr">
        <is>
          <t>68493db40da50d0001c0bb7d</t>
        </is>
      </c>
      <c r="Q3650" t="inlineStr">
        <is>
          <t>🚫重复</t>
        </is>
      </c>
      <c r="R3650" t="inlineStr">
        <is>
          <t>14周</t>
        </is>
      </c>
      <c r="S3650" t="inlineStr">
        <is>
          <t>3.64</t>
        </is>
      </c>
      <c r="T3650" t="inlineStr">
        <is>
          <t>家居生活</t>
        </is>
      </c>
      <c r="U3650" t="inlineStr">
        <is>
          <t>家具家装</t>
        </is>
      </c>
      <c r="V3650" s="3">
        <v>46114.78872685185</v>
      </c>
      <c r="W3650" t="inlineStr">
        <is>
          <t>2026-Q2</t>
        </is>
      </c>
    </row>
    <row r="3651" ht="25.5" customHeight="1">
      <c r="A3651" t="inlineStr">
        <is>
          <t>【玛格丽特150盆】盆栽庭院耐寒阳台花卉盆栽</t>
        </is>
      </c>
      <c r="B3651" t="inlineStr">
        <is>
          <t>recvfD7quwYVF1.jpg</t>
        </is>
      </c>
      <c r="C3651" s="2" t="str">
        <f>=HYPERLINK("https://xhslink.com/m/8LYIfAvkEZ5", "https://xhslink.com/m/8LYIfAvkEZ5")</f>
        <v>https://xhslink.com/m/8LYIfAvkEZ5</v>
      </c>
      <c r="D3651"/>
      <c r="E3651">
        <v>10000</v>
      </c>
      <c r="F3651">
        <v>15.99</v>
      </c>
      <c r="G3651"/>
      <c r="H3651">
        <v>100</v>
      </c>
      <c r="I3651" t="inlineStr">
        <is>
          <t>客厅</t>
        </is>
      </c>
      <c r="J3651" t="inlineStr">
        <is>
          <t>0.01</t>
        </is>
      </c>
      <c r="K3651"/>
      <c r="L3651" t="inlineStr">
        <is>
          <t>南植 FLOWERS的店</t>
        </is>
      </c>
      <c r="M3651">
        <v>19000</v>
      </c>
      <c r="N3651">
        <v>4.32</v>
      </c>
      <c r="O3651">
        <v>69000</v>
      </c>
      <c r="P3651" t="inlineStr">
        <is>
          <t>6986d9a5a60bac0001089bfc</t>
        </is>
      </c>
      <c r="Q3651" t="inlineStr">
        <is>
          <t>🚫重复</t>
        </is>
      </c>
      <c r="R3651" t="inlineStr">
        <is>
          <t>14周</t>
        </is>
      </c>
      <c r="S3651" t="inlineStr">
        <is>
          <t>0.53</t>
        </is>
      </c>
      <c r="T3651" t="inlineStr">
        <is>
          <t>家居生活</t>
        </is>
      </c>
      <c r="U3651" t="inlineStr">
        <is>
          <t>家具家装</t>
        </is>
      </c>
      <c r="V3651" s="3">
        <v>46114.78872685185</v>
      </c>
      <c r="W3651" t="inlineStr">
        <is>
          <t>2026-Q2</t>
        </is>
      </c>
    </row>
    <row r="3652" ht="25.5" customHeight="1">
      <c r="A3652" t="inlineStr">
        <is>
          <t>麦米琪 · 【冰感防晒】377美白抗皱SPF50+PA+++高倍防晒喷雾</t>
        </is>
      </c>
      <c r="B3652" t="inlineStr">
        <is>
          <t>recvfD7quwlcZl.jpg</t>
        </is>
      </c>
      <c r="C3652" s="2" t="str">
        <f>=HYPERLINK("https://xhslink.com/m/ADHOdd9tpx", "https://xhslink.com/m/ADHOdd9tpx")</f>
        <v>https://xhslink.com/m/ADHOdd9tpx</v>
      </c>
      <c r="D3652"/>
      <c r="E3652">
        <v>21000</v>
      </c>
      <c r="F3652">
        <v>49.8</v>
      </c>
      <c r="G3652">
        <v>29.8</v>
      </c>
      <c r="H3652">
        <v>100</v>
      </c>
      <c r="I3652" t="inlineStr">
        <is>
          <t>防晒</t>
        </is>
      </c>
      <c r="J3652" t="inlineStr">
        <is>
          <t>0.00</t>
        </is>
      </c>
      <c r="K3652" t="inlineStr">
        <is>
          <t>🔥低粉爆款</t>
        </is>
      </c>
      <c r="L3652" t="inlineStr">
        <is>
          <t>这这火了🈶的店</t>
        </is>
      </c>
      <c r="M3652">
        <v>1874</v>
      </c>
      <c r="N3652">
        <v>4.34</v>
      </c>
      <c r="O3652">
        <v>35000</v>
      </c>
      <c r="P3652" t="inlineStr">
        <is>
          <t>680ae33091d86000019c93c9</t>
        </is>
      </c>
      <c r="Q3652" t="inlineStr">
        <is>
          <t>🚫重复</t>
        </is>
      </c>
      <c r="R3652" t="inlineStr">
        <is>
          <t>14周</t>
        </is>
      </c>
      <c r="S3652" t="inlineStr">
        <is>
          <t>11.21</t>
        </is>
      </c>
      <c r="T3652" t="inlineStr">
        <is>
          <t>美妆个护</t>
        </is>
      </c>
      <c r="U3652" t="inlineStr">
        <is>
          <t>护肤彩妆</t>
        </is>
      </c>
      <c r="V3652" s="3">
        <v>46114.78872685185</v>
      </c>
      <c r="W3652" t="inlineStr">
        <is>
          <t>2026-Q2</t>
        </is>
      </c>
    </row>
    <row r="3653" ht="25.5" customHeight="1">
      <c r="A3653" t="inlineStr">
        <is>
          <t>Aidcss · 清爽固体防晒棒无色透明保湿防水防汗学生党防紫外线军训必备便携</t>
        </is>
      </c>
      <c r="B3653" t="inlineStr">
        <is>
          <t>recvfD7quwMQX3.jpg</t>
        </is>
      </c>
      <c r="C3653" s="2" t="str">
        <f>=HYPERLINK("https://xhslink.com/m/EEeAVKVqsB", "https://xhslink.com/m/EEeAVKVqsB")</f>
        <v>https://xhslink.com/m/EEeAVKVqsB</v>
      </c>
      <c r="D3653"/>
      <c r="E3653">
        <v>4429</v>
      </c>
      <c r="F3653">
        <v>79.8</v>
      </c>
      <c r="G3653">
        <v>35.9</v>
      </c>
      <c r="H3653">
        <v>100</v>
      </c>
      <c r="I3653" t="inlineStr">
        <is>
          <t>防晒</t>
        </is>
      </c>
      <c r="J3653" t="inlineStr">
        <is>
          <t>0.02</t>
        </is>
      </c>
      <c r="K3653"/>
      <c r="L3653" t="inlineStr">
        <is>
          <t>B’IEUA的店</t>
        </is>
      </c>
      <c r="M3653">
        <v>14000</v>
      </c>
      <c r="N3653">
        <v>4.25</v>
      </c>
      <c r="O3653">
        <v>54000</v>
      </c>
      <c r="P3653" t="inlineStr">
        <is>
          <t>6848f1a4c200860001a08e25</t>
        </is>
      </c>
      <c r="Q3653" t="inlineStr">
        <is>
          <t>🚫重复</t>
        </is>
      </c>
      <c r="R3653" t="inlineStr">
        <is>
          <t>14周</t>
        </is>
      </c>
      <c r="S3653" t="inlineStr">
        <is>
          <t>0.32</t>
        </is>
      </c>
      <c r="T3653" t="inlineStr">
        <is>
          <t>美妆个护</t>
        </is>
      </c>
      <c r="U3653" t="inlineStr">
        <is>
          <t>护肤彩妆</t>
        </is>
      </c>
      <c r="V3653" s="3">
        <v>46114.78872685185</v>
      </c>
      <c r="W3653" t="inlineStr">
        <is>
          <t>2026-Q2</t>
        </is>
      </c>
    </row>
    <row r="3654" ht="25.5" customHeight="1">
      <c r="A3654" t="inlineStr">
        <is>
          <t>COGI · 【学姐专属】轻透高倍美白防晒水喷雾SPF50+PA++++35ml A01</t>
        </is>
      </c>
      <c r="B3654" t="inlineStr">
        <is>
          <t>recvfD7quw4Q7G.jpg</t>
        </is>
      </c>
      <c r="C3654" s="2" t="str">
        <f>=HYPERLINK("https://xhslink.com/m/9YSHm8djqp7", "https://xhslink.com/m/9YSHm8djqp7")</f>
        <v>https://xhslink.com/m/9YSHm8djqp7</v>
      </c>
      <c r="D3654"/>
      <c r="E3654">
        <v>2383</v>
      </c>
      <c r="F3654">
        <v>89</v>
      </c>
      <c r="G3654"/>
      <c r="H3654">
        <v>100</v>
      </c>
      <c r="I3654" t="inlineStr">
        <is>
          <t>防晒</t>
        </is>
      </c>
      <c r="J3654" t="inlineStr">
        <is>
          <t>0.04</t>
        </is>
      </c>
      <c r="K3654"/>
      <c r="L3654" t="inlineStr">
        <is>
          <t>COGI高姿旗舰店</t>
        </is>
      </c>
      <c r="M3654">
        <v>61000</v>
      </c>
      <c r="N3654">
        <v>4.4</v>
      </c>
      <c r="O3654">
        <v>92000</v>
      </c>
      <c r="P3654" t="inlineStr">
        <is>
          <t>69b7c57e5e5f050001c52a8d</t>
        </is>
      </c>
      <c r="Q3654"/>
      <c r="R3654" t="inlineStr">
        <is>
          <t>14周</t>
        </is>
      </c>
      <c r="S3654" t="inlineStr">
        <is>
          <t>0.04</t>
        </is>
      </c>
      <c r="T3654" t="inlineStr">
        <is>
          <t>美妆个护</t>
        </is>
      </c>
      <c r="U3654" t="inlineStr">
        <is>
          <t>护肤彩妆</t>
        </is>
      </c>
      <c r="V3654" s="3">
        <v>46114.78872685185</v>
      </c>
      <c r="W3654" t="inlineStr">
        <is>
          <t>2026-Q2</t>
        </is>
      </c>
    </row>
    <row r="3655" ht="25.5" customHeight="1">
      <c r="A3655" t="inlineStr">
        <is>
          <t>BABI · 【美白防晒素颜霜】隔离淡斑修颜隐瑕提亮保湿ZB</t>
        </is>
      </c>
      <c r="B3655" t="inlineStr">
        <is>
          <t>recvfD7quw1sJT.jpg</t>
        </is>
      </c>
      <c r="C3655" s="2" t="str">
        <f>=HYPERLINK("https://xhslink.com/m/66sbbNTJwRl", "https://xhslink.com/m/66sbbNTJwRl")</f>
        <v>https://xhslink.com/m/66sbbNTJwRl</v>
      </c>
      <c r="D3655"/>
      <c r="E3655">
        <v>1022</v>
      </c>
      <c r="F3655">
        <v>69</v>
      </c>
      <c r="G3655"/>
      <c r="H3655">
        <v>100</v>
      </c>
      <c r="I3655" t="inlineStr">
        <is>
          <t>防晒</t>
        </is>
      </c>
      <c r="J3655" t="inlineStr">
        <is>
          <t>0.10</t>
        </is>
      </c>
      <c r="K3655"/>
      <c r="L3655" t="inlineStr">
        <is>
          <t>BABI旗舰店</t>
        </is>
      </c>
      <c r="M3655">
        <v>31000</v>
      </c>
      <c r="N3655">
        <v>4.64</v>
      </c>
      <c r="O3655">
        <v>255000</v>
      </c>
      <c r="P3655" t="inlineStr">
        <is>
          <t>68fa2d3b427261000139a6d4</t>
        </is>
      </c>
      <c r="Q3655" t="inlineStr">
        <is>
          <t>🚫重复</t>
        </is>
      </c>
      <c r="R3655" t="inlineStr">
        <is>
          <t>14周</t>
        </is>
      </c>
      <c r="S3655" t="inlineStr">
        <is>
          <t>0.03</t>
        </is>
      </c>
      <c r="T3655" t="inlineStr">
        <is>
          <t>美妆个护</t>
        </is>
      </c>
      <c r="U3655" t="inlineStr">
        <is>
          <t>护肤彩妆</t>
        </is>
      </c>
      <c r="V3655" s="3">
        <v>46114.78872685185</v>
      </c>
      <c r="W3655" t="inlineStr">
        <is>
          <t>2026-Q2</t>
        </is>
      </c>
    </row>
    <row r="3656" ht="25.5" customHeight="1">
      <c r="A3656" t="inlineStr">
        <is>
          <t>法式长袖针织衫一字肩优雅红色女初早秋新款韩系穿搭露肩chic上衣</t>
        </is>
      </c>
      <c r="B3656" t="inlineStr">
        <is>
          <t>recvfD7quw8xQ8.jpg</t>
        </is>
      </c>
      <c r="C3656" s="2" t="str">
        <f>=HYPERLINK("https://xhslink.com/m/6TfVe9TeyFW", "https://xhslink.com/m/6TfVe9TeyFW")</f>
        <v>https://xhslink.com/m/6TfVe9TeyFW</v>
      </c>
      <c r="D3656"/>
      <c r="E3656">
        <v>21000</v>
      </c>
      <c r="F3656">
        <v>49.9</v>
      </c>
      <c r="G3656">
        <v>39.9</v>
      </c>
      <c r="H3656">
        <v>100</v>
      </c>
      <c r="I3656" t="inlineStr">
        <is>
          <t>上衣</t>
        </is>
      </c>
      <c r="J3656" t="inlineStr">
        <is>
          <t>0.00</t>
        </is>
      </c>
      <c r="K3656" t="inlineStr">
        <is>
          <t>🔥低粉爆款</t>
        </is>
      </c>
      <c r="L3656" t="inlineStr">
        <is>
          <t>汀汀学姐工作室的店</t>
        </is>
      </c>
      <c r="M3656">
        <v>678</v>
      </c>
      <c r="N3656">
        <v>4.37</v>
      </c>
      <c r="O3656">
        <v>23000</v>
      </c>
      <c r="P3656" t="inlineStr">
        <is>
          <t>691045c99de01f000127074b</t>
        </is>
      </c>
      <c r="Q3656"/>
      <c r="R3656" t="inlineStr">
        <is>
          <t>14周</t>
        </is>
      </c>
      <c r="S3656" t="inlineStr">
        <is>
          <t>30.97</t>
        </is>
      </c>
      <c r="T3656" t="inlineStr">
        <is>
          <t>服饰穿搭</t>
        </is>
      </c>
      <c r="U3656" t="inlineStr">
        <is>
          <t>女装</t>
        </is>
      </c>
      <c r="V3656" s="3">
        <v>46114.78872685185</v>
      </c>
      <c r="W3656" t="inlineStr">
        <is>
          <t>2026-Q2</t>
        </is>
      </c>
    </row>
    <row r="3657" ht="25.5" customHeight="1">
      <c r="A3657" t="inlineStr">
        <is>
          <t>【35元2件】100%纯棉无袖背心夏季男女同款宽松运动百搭打底T恤衫</t>
        </is>
      </c>
      <c r="B3657" t="inlineStr">
        <is>
          <t>recvfD7quwE8kV.jpg</t>
        </is>
      </c>
      <c r="C3657" s="2" t="str">
        <f>=HYPERLINK("https://xhslink.com/m/8TZwXvrrw7X", "https://xhslink.com/m/8TZwXvrrw7X")</f>
        <v>https://xhslink.com/m/8TZwXvrrw7X</v>
      </c>
      <c r="D3657"/>
      <c r="E3657">
        <v>4316</v>
      </c>
      <c r="F3657">
        <v>95</v>
      </c>
      <c r="G3657">
        <v>35</v>
      </c>
      <c r="H3657">
        <v>100</v>
      </c>
      <c r="I3657" t="inlineStr">
        <is>
          <t>背心吊带</t>
        </is>
      </c>
      <c r="J3657" t="inlineStr">
        <is>
          <t>0.02</t>
        </is>
      </c>
      <c r="K3657"/>
      <c r="L3657" t="inlineStr">
        <is>
          <t>卡点星服饰的店</t>
        </is>
      </c>
      <c r="M3657">
        <v>21000</v>
      </c>
      <c r="N3657">
        <v>4.61</v>
      </c>
      <c r="O3657">
        <v>92000</v>
      </c>
      <c r="P3657" t="inlineStr">
        <is>
          <t>694805b6e935e9000178be36</t>
        </is>
      </c>
      <c r="Q3657" t="inlineStr">
        <is>
          <t>🚫重复</t>
        </is>
      </c>
      <c r="R3657" t="inlineStr">
        <is>
          <t>14周</t>
        </is>
      </c>
      <c r="S3657" t="inlineStr">
        <is>
          <t>0.21</t>
        </is>
      </c>
      <c r="T3657" t="inlineStr">
        <is>
          <t>服饰穿搭</t>
        </is>
      </c>
      <c r="U3657" t="inlineStr">
        <is>
          <t>女装</t>
        </is>
      </c>
      <c r="V3657" s="3">
        <v>46114.78872685185</v>
      </c>
      <c r="W3657" t="inlineStr">
        <is>
          <t>2026-Q2</t>
        </is>
      </c>
    </row>
    <row r="3658" ht="25.5" customHeight="1">
      <c r="A3658" t="inlineStr">
        <is>
          <t>bela dolca · 蜘蛛背心868~无钢圈 辣妹穿搭必备！</t>
        </is>
      </c>
      <c r="B3658" t="inlineStr">
        <is>
          <t>recvfD7quwI4jA.jpg</t>
        </is>
      </c>
      <c r="C3658" s="2" t="str">
        <f>=HYPERLINK("https://xhslink.com/m/54eqYGE9pYy", "https://xhslink.com/m/54eqYGE9pYy")</f>
        <v>https://xhslink.com/m/54eqYGE9pYy</v>
      </c>
      <c r="D3658"/>
      <c r="E3658">
        <v>5809</v>
      </c>
      <c r="F3658">
        <v>51</v>
      </c>
      <c r="G3658">
        <v>41</v>
      </c>
      <c r="H3658">
        <v>100</v>
      </c>
      <c r="I3658" t="inlineStr">
        <is>
          <t>背心吊带</t>
        </is>
      </c>
      <c r="J3658" t="inlineStr">
        <is>
          <t>0.02</t>
        </is>
      </c>
      <c r="K3658"/>
      <c r="L3658" t="inlineStr">
        <is>
          <t>糖味儿旗舰店</t>
        </is>
      </c>
      <c r="M3658">
        <v>37000</v>
      </c>
      <c r="N3658">
        <v>4.45</v>
      </c>
      <c r="O3658">
        <v>107000</v>
      </c>
      <c r="P3658" t="inlineStr">
        <is>
          <t>6818576caca449000126785b</t>
        </is>
      </c>
      <c r="Q3658" t="inlineStr">
        <is>
          <t>🚫重复</t>
        </is>
      </c>
      <c r="R3658" t="inlineStr">
        <is>
          <t>14周</t>
        </is>
      </c>
      <c r="S3658" t="inlineStr">
        <is>
          <t>0.16</t>
        </is>
      </c>
      <c r="T3658" t="inlineStr">
        <is>
          <t>服饰穿搭</t>
        </is>
      </c>
      <c r="U3658" t="inlineStr">
        <is>
          <t>女装</t>
        </is>
      </c>
      <c r="V3658" s="3">
        <v>46114.78872685185</v>
      </c>
      <c r="W3658" t="inlineStr">
        <is>
          <t>2026-Q2</t>
        </is>
      </c>
    </row>
    <row r="3659" ht="25.5" customHeight="1">
      <c r="A3659" t="inlineStr">
        <is>
          <t>自制棉麻日系波点背心</t>
        </is>
      </c>
      <c r="B3659" t="inlineStr">
        <is>
          <t>recvfD7quwf5hV.jpg</t>
        </is>
      </c>
      <c r="C3659" s="2" t="str">
        <f>=HYPERLINK("https://xhslink.com/m/4G3feYaMoat", "https://xhslink.com/m/4G3feYaMoat")</f>
        <v>https://xhslink.com/m/4G3feYaMoat</v>
      </c>
      <c r="D3659"/>
      <c r="E3659">
        <v>1261</v>
      </c>
      <c r="F3659">
        <v>35.9</v>
      </c>
      <c r="G3659"/>
      <c r="H3659">
        <v>100</v>
      </c>
      <c r="I3659" t="inlineStr">
        <is>
          <t>背心吊带</t>
        </is>
      </c>
      <c r="J3659" t="inlineStr">
        <is>
          <t>0.08</t>
        </is>
      </c>
      <c r="K3659"/>
      <c r="L3659" t="inlineStr">
        <is>
          <t>奈奈复古屋的店</t>
        </is>
      </c>
      <c r="M3659">
        <v>46000</v>
      </c>
      <c r="N3659">
        <v>4.56</v>
      </c>
      <c r="O3659">
        <v>46000</v>
      </c>
      <c r="P3659" t="inlineStr">
        <is>
          <t>68a725613f78410001aeb6d1</t>
        </is>
      </c>
      <c r="Q3659"/>
      <c r="R3659" t="inlineStr">
        <is>
          <t>14周</t>
        </is>
      </c>
      <c r="S3659" t="inlineStr">
        <is>
          <t>0.03</t>
        </is>
      </c>
      <c r="T3659" t="inlineStr">
        <is>
          <t>服饰穿搭</t>
        </is>
      </c>
      <c r="U3659" t="inlineStr">
        <is>
          <t>女装</t>
        </is>
      </c>
      <c r="V3659" s="3">
        <v>46114.78872685185</v>
      </c>
      <c r="W3659" t="inlineStr">
        <is>
          <t>2026-Q2</t>
        </is>
      </c>
    </row>
    <row r="3660" ht="25.5" customHeight="1">
      <c r="A3660" t="inlineStr">
        <is>
          <t>116女孩工字瑜伽背心带胸垫外穿防震运动内衣显瘦普拉提训练上衣</t>
        </is>
      </c>
      <c r="B3660" t="inlineStr">
        <is>
          <t>recvfD7quwHqsZ.jpg</t>
        </is>
      </c>
      <c r="C3660" s="2" t="str">
        <f>=HYPERLINK("https://xhslink.com/m/3zwoqTOWBx7", "https://xhslink.com/m/3zwoqTOWBx7")</f>
        <v>https://xhslink.com/m/3zwoqTOWBx7</v>
      </c>
      <c r="D3660"/>
      <c r="E3660">
        <v>862</v>
      </c>
      <c r="F3660">
        <v>49.9</v>
      </c>
      <c r="G3660"/>
      <c r="H3660">
        <v>100</v>
      </c>
      <c r="I3660" t="inlineStr">
        <is>
          <t>背心吊带</t>
        </is>
      </c>
      <c r="J3660" t="inlineStr">
        <is>
          <t>0.12</t>
        </is>
      </c>
      <c r="K3660"/>
      <c r="L3660" t="inlineStr">
        <is>
          <t>瑜伽少女Yoga的店</t>
        </is>
      </c>
      <c r="M3660">
        <v>10000</v>
      </c>
      <c r="N3660">
        <v>4.69</v>
      </c>
      <c r="O3660">
        <v>252000</v>
      </c>
      <c r="P3660" t="inlineStr">
        <is>
          <t>695e51d4a351230001963d62</t>
        </is>
      </c>
      <c r="Q3660" t="inlineStr">
        <is>
          <t>🚫重复</t>
        </is>
      </c>
      <c r="R3660" t="inlineStr">
        <is>
          <t>14周</t>
        </is>
      </c>
      <c r="S3660" t="inlineStr">
        <is>
          <t>0.09</t>
        </is>
      </c>
      <c r="T3660" t="inlineStr">
        <is>
          <t>服饰穿搭</t>
        </is>
      </c>
      <c r="U3660" t="inlineStr">
        <is>
          <t>女装</t>
        </is>
      </c>
      <c r="V3660" s="3">
        <v>46114.78872685185</v>
      </c>
      <c r="W3660" t="inlineStr">
        <is>
          <t>2026-Q2</t>
        </is>
      </c>
    </row>
    <row r="3661" ht="25.5" customHeight="1">
      <c r="A3661" t="inlineStr">
        <is>
          <t>半练 · 宽肩带带胸垫背心遮副乳显瘦女内搭打底TA037ZB</t>
        </is>
      </c>
      <c r="B3661" t="inlineStr">
        <is>
          <t>recvfD7quwZhIa.jpg</t>
        </is>
      </c>
      <c r="C3661" s="2" t="str">
        <f>=HYPERLINK("https://xhslink.com/m/4axSloTu4qu", "https://xhslink.com/m/4axSloTu4qu")</f>
        <v>https://xhslink.com/m/4axSloTu4qu</v>
      </c>
      <c r="D3661"/>
      <c r="E3661">
        <v>4347</v>
      </c>
      <c r="F3661">
        <v>89</v>
      </c>
      <c r="G3661"/>
      <c r="H3661">
        <v>100</v>
      </c>
      <c r="I3661" t="inlineStr">
        <is>
          <t>背心吊带</t>
        </is>
      </c>
      <c r="J3661" t="inlineStr">
        <is>
          <t>0.02</t>
        </is>
      </c>
      <c r="K3661"/>
      <c r="L3661" t="inlineStr">
        <is>
          <t>半练旗舰店</t>
        </is>
      </c>
      <c r="M3661">
        <v>15000</v>
      </c>
      <c r="N3661">
        <v>4.66</v>
      </c>
      <c r="O3661">
        <v>100000</v>
      </c>
      <c r="P3661" t="inlineStr">
        <is>
          <t>688b3f37b1b9df000128fc3a</t>
        </is>
      </c>
      <c r="Q3661" t="inlineStr">
        <is>
          <t>🚫重复</t>
        </is>
      </c>
      <c r="R3661" t="inlineStr">
        <is>
          <t>14周</t>
        </is>
      </c>
      <c r="S3661" t="inlineStr">
        <is>
          <t>0.29</t>
        </is>
      </c>
      <c r="T3661" t="inlineStr">
        <is>
          <t>服饰穿搭</t>
        </is>
      </c>
      <c r="U3661" t="inlineStr">
        <is>
          <t>女装</t>
        </is>
      </c>
      <c r="V3661" s="3">
        <v>46114.78872685185</v>
      </c>
      <c r="W3661" t="inlineStr">
        <is>
          <t>2026-Q2</t>
        </is>
      </c>
    </row>
    <row r="3662" ht="25.5" customHeight="1">
      <c r="A3662" t="inlineStr">
        <is>
          <t>美式复古风工装裤女秋夏高腰阔腿裤卫裤直筒可束脚抽绳速干运动裤</t>
        </is>
      </c>
      <c r="B3662" t="inlineStr">
        <is>
          <t>recvfD7quwEZue.jpg</t>
        </is>
      </c>
      <c r="C3662" s="2" t="str">
        <f>=HYPERLINK("https://xhslink.com/m/67j1lGHXAEJ", "https://xhslink.com/m/67j1lGHXAEJ")</f>
        <v>https://xhslink.com/m/67j1lGHXAEJ</v>
      </c>
      <c r="D3662"/>
      <c r="E3662">
        <v>25000</v>
      </c>
      <c r="F3662">
        <v>89</v>
      </c>
      <c r="G3662">
        <v>88</v>
      </c>
      <c r="H3662">
        <v>100</v>
      </c>
      <c r="I3662" t="inlineStr">
        <is>
          <t>混搭工装</t>
        </is>
      </c>
      <c r="J3662" t="inlineStr">
        <is>
          <t>0.00</t>
        </is>
      </c>
      <c r="K3662" t="inlineStr">
        <is>
          <t>🔥低粉爆款</t>
        </is>
      </c>
      <c r="L3662" t="inlineStr">
        <is>
          <t>小羊七七的店</t>
        </is>
      </c>
      <c r="M3662">
        <v>2086</v>
      </c>
      <c r="N3662">
        <v>4.67</v>
      </c>
      <c r="O3662">
        <v>32000</v>
      </c>
      <c r="P3662" t="inlineStr">
        <is>
          <t>66a37cb0d75dd3000101c056</t>
        </is>
      </c>
      <c r="Q3662" t="inlineStr">
        <is>
          <t>🚫重复</t>
        </is>
      </c>
      <c r="R3662" t="inlineStr">
        <is>
          <t>14周</t>
        </is>
      </c>
      <c r="S3662" t="inlineStr">
        <is>
          <t>11.98</t>
        </is>
      </c>
      <c r="T3662" t="inlineStr">
        <is>
          <t>服饰穿搭</t>
        </is>
      </c>
      <c r="U3662" t="inlineStr">
        <is>
          <t>女装</t>
        </is>
      </c>
      <c r="V3662" s="3">
        <v>46114.78872685185</v>
      </c>
      <c r="W3662" t="inlineStr">
        <is>
          <t>2026-Q2</t>
        </is>
      </c>
    </row>
    <row r="3663" ht="25.5" customHeight="1">
      <c r="A3663" t="inlineStr">
        <is>
          <t>棕色马丁靴女2026新款春夏真皮透气复古工装情侣靴登山沙漠短靴女</t>
        </is>
      </c>
      <c r="B3663" t="inlineStr">
        <is>
          <t>recvfD7quwysEo.jpg</t>
        </is>
      </c>
      <c r="C3663" s="2" t="str">
        <f>=HYPERLINK("https://xhslink.com/m/5Bv8SO8NWBu", "https://xhslink.com/m/5Bv8SO8NWBu")</f>
        <v>https://xhslink.com/m/5Bv8SO8NWBu</v>
      </c>
      <c r="D3663"/>
      <c r="E3663">
        <v>48000</v>
      </c>
      <c r="F3663">
        <v>168</v>
      </c>
      <c r="G3663">
        <v>147.8</v>
      </c>
      <c r="H3663">
        <v>100</v>
      </c>
      <c r="I3663" t="inlineStr">
        <is>
          <t>混搭工装</t>
        </is>
      </c>
      <c r="J3663" t="inlineStr">
        <is>
          <t>0.00</t>
        </is>
      </c>
      <c r="K3663" t="inlineStr">
        <is>
          <t>🔥低粉爆款</t>
        </is>
      </c>
      <c r="L3663" t="inlineStr">
        <is>
          <t>富士山下鞋铺（品达贸易）的店</t>
        </is>
      </c>
      <c r="M3663">
        <v>11000</v>
      </c>
      <c r="N3663">
        <v>4.62</v>
      </c>
      <c r="O3663">
        <v>112000</v>
      </c>
      <c r="P3663" t="inlineStr">
        <is>
          <t>64cb5036f7e7660001fcafc3</t>
        </is>
      </c>
      <c r="Q3663" t="inlineStr">
        <is>
          <t>🚫重复</t>
        </is>
      </c>
      <c r="R3663" t="inlineStr">
        <is>
          <t>14周</t>
        </is>
      </c>
      <c r="S3663" t="inlineStr">
        <is>
          <t>4.36</t>
        </is>
      </c>
      <c r="T3663" t="inlineStr">
        <is>
          <t>运动潮玩</t>
        </is>
      </c>
      <c r="U3663" t="inlineStr">
        <is>
          <t>运动户外装备</t>
        </is>
      </c>
      <c r="V3663" s="3">
        <v>46114.78872685185</v>
      </c>
      <c r="W3663" t="inlineStr">
        <is>
          <t>2026-Q2</t>
        </is>
      </c>
    </row>
    <row r="3664" ht="25.5" customHeight="1">
      <c r="A3664" t="inlineStr">
        <is>
          <t>美式工装裤女士高级感裤子女春秋高腰阔腿卫裤直筒休闲运动裤长裤</t>
        </is>
      </c>
      <c r="B3664" t="inlineStr">
        <is>
          <t>recvfD7quwamV7.jpg</t>
        </is>
      </c>
      <c r="C3664" s="2" t="str">
        <f>=HYPERLINK("https://xhslink.com/m/AiabUut7E74", "https://xhslink.com/m/AiabUut7E74")</f>
        <v>https://xhslink.com/m/AiabUut7E74</v>
      </c>
      <c r="D3664"/>
      <c r="E3664">
        <v>3832</v>
      </c>
      <c r="F3664">
        <v>149.9</v>
      </c>
      <c r="G3664">
        <v>89.9</v>
      </c>
      <c r="H3664">
        <v>100</v>
      </c>
      <c r="I3664" t="inlineStr">
        <is>
          <t>混搭工装</t>
        </is>
      </c>
      <c r="J3664" t="inlineStr">
        <is>
          <t>0.03</t>
        </is>
      </c>
      <c r="K3664" t="inlineStr">
        <is>
          <t>🔥低粉爆款</t>
        </is>
      </c>
      <c r="L3664" t="inlineStr">
        <is>
          <t>芭蕉公主Oo。的店</t>
        </is>
      </c>
      <c r="M3664">
        <v>292</v>
      </c>
      <c r="N3664">
        <v>4.52</v>
      </c>
      <c r="O3664">
        <v>4188</v>
      </c>
      <c r="P3664" t="inlineStr">
        <is>
          <t>684494ca6d19100001648994</t>
        </is>
      </c>
      <c r="Q3664" t="inlineStr">
        <is>
          <t>🚫重复</t>
        </is>
      </c>
      <c r="R3664" t="inlineStr">
        <is>
          <t>14周</t>
        </is>
      </c>
      <c r="S3664" t="inlineStr">
        <is>
          <t>13.12</t>
        </is>
      </c>
      <c r="T3664" t="inlineStr">
        <is>
          <t>服饰穿搭</t>
        </is>
      </c>
      <c r="U3664" t="inlineStr">
        <is>
          <t>女装</t>
        </is>
      </c>
      <c r="V3664" s="3">
        <v>46114.78872685185</v>
      </c>
      <c r="W3664" t="inlineStr">
        <is>
          <t>2026-Q2</t>
        </is>
      </c>
    </row>
    <row r="3665" ht="25.5" customHeight="1">
      <c r="A3665" t="inlineStr">
        <is>
          <t>美式工装外套女2026新款春秋季复古小众穿搭宽松休闲百搭拼接夹克</t>
        </is>
      </c>
      <c r="B3665" t="inlineStr">
        <is>
          <t>recvfD7quwiGli.jpg</t>
        </is>
      </c>
      <c r="C3665" s="2" t="str">
        <f>=HYPERLINK("https://xhslink.com/m/QpoXSgMg8T", "https://xhslink.com/m/QpoXSgMg8T")</f>
        <v>https://xhslink.com/m/QpoXSgMg8T</v>
      </c>
      <c r="D3665"/>
      <c r="E3665">
        <v>1053</v>
      </c>
      <c r="F3665">
        <v>98</v>
      </c>
      <c r="G3665">
        <v>86.24</v>
      </c>
      <c r="H3665">
        <v>100</v>
      </c>
      <c r="I3665" t="inlineStr">
        <is>
          <t>混搭工装</t>
        </is>
      </c>
      <c r="J3665" t="inlineStr">
        <is>
          <t>0.09</t>
        </is>
      </c>
      <c r="K3665"/>
      <c r="L3665" t="inlineStr">
        <is>
          <t>外套收割者的店</t>
        </is>
      </c>
      <c r="M3665">
        <v>606</v>
      </c>
      <c r="N3665">
        <v>4.23</v>
      </c>
      <c r="O3665">
        <v>13000</v>
      </c>
      <c r="P3665" t="inlineStr">
        <is>
          <t>68dcdc2b17d80800014d9546</t>
        </is>
      </c>
      <c r="Q3665"/>
      <c r="R3665" t="inlineStr">
        <is>
          <t>14周</t>
        </is>
      </c>
      <c r="S3665" t="inlineStr">
        <is>
          <t>1.74</t>
        </is>
      </c>
      <c r="T3665" t="inlineStr">
        <is>
          <t>服饰穿搭</t>
        </is>
      </c>
      <c r="U3665" t="inlineStr">
        <is>
          <t>女装</t>
        </is>
      </c>
      <c r="V3665" s="3">
        <v>46114.78872685185</v>
      </c>
      <c r="W3665" t="inlineStr">
        <is>
          <t>2026-Q2</t>
        </is>
      </c>
    </row>
    <row r="3666" ht="25.5" customHeight="1">
      <c r="A3666" t="inlineStr">
        <is>
          <t>5cm厚底勃肯鞋内增高外穿拖鞋包头小个子百搭足弓支撑博肯半拖鞋</t>
        </is>
      </c>
      <c r="B3666" t="inlineStr">
        <is>
          <t>recvfD7quwgkzD.jpg</t>
        </is>
      </c>
      <c r="C3666" s="2" t="str">
        <f>=HYPERLINK("https://xhslink.com/m/8u1suvDxCzX", "https://xhslink.com/m/8u1suvDxCzX")</f>
        <v>https://xhslink.com/m/8u1suvDxCzX</v>
      </c>
      <c r="D3666"/>
      <c r="E3666">
        <v>2629</v>
      </c>
      <c r="F3666">
        <v>79.9</v>
      </c>
      <c r="G3666">
        <v>69.9</v>
      </c>
      <c r="H3666">
        <v>100</v>
      </c>
      <c r="I3666" t="inlineStr">
        <is>
          <t>厚底勃肯鞋</t>
        </is>
      </c>
      <c r="J3666" t="inlineStr">
        <is>
          <t>0.04</t>
        </is>
      </c>
      <c r="K3666"/>
      <c r="L3666" t="inlineStr">
        <is>
          <t>鞋多芬的店</t>
        </is>
      </c>
      <c r="M3666">
        <v>2834</v>
      </c>
      <c r="N3666">
        <v>4.39</v>
      </c>
      <c r="O3666">
        <v>83000</v>
      </c>
      <c r="P3666" t="inlineStr">
        <is>
          <t>6891b33d0e13d5000175c1c3</t>
        </is>
      </c>
      <c r="Q3666"/>
      <c r="R3666" t="inlineStr">
        <is>
          <t>14周</t>
        </is>
      </c>
      <c r="S3666" t="inlineStr">
        <is>
          <t>0.93</t>
        </is>
      </c>
      <c r="T3666" t="inlineStr">
        <is>
          <t>服饰穿搭</t>
        </is>
      </c>
      <c r="U3666" t="inlineStr">
        <is>
          <t>鞋靴箱包</t>
        </is>
      </c>
      <c r="V3666" s="3">
        <v>46114.78872685185</v>
      </c>
      <c r="W3666" t="inlineStr">
        <is>
          <t>2026-Q2</t>
        </is>
      </c>
    </row>
    <row r="3667" ht="25.5" customHeight="1">
      <c r="A3667" t="inlineStr">
        <is>
          <t>真皮女鞋软底勃肯鞋秋冬牛皮厚底拖鞋女春秋新款女夏博肯半拖</t>
        </is>
      </c>
      <c r="B3667" t="inlineStr">
        <is>
          <t>recvfD7quwbG2X.jpg</t>
        </is>
      </c>
      <c r="C3667" s="2" t="str">
        <f>=HYPERLINK("https://xhslink.com/m/AlJjvke0400", "https://xhslink.com/m/AlJjvke0400")</f>
        <v>https://xhslink.com/m/AlJjvke0400</v>
      </c>
      <c r="D3667"/>
      <c r="E3667">
        <v>11000</v>
      </c>
      <c r="F3667">
        <v>65</v>
      </c>
      <c r="G3667">
        <v>55.2</v>
      </c>
      <c r="H3667">
        <v>100</v>
      </c>
      <c r="I3667" t="inlineStr">
        <is>
          <t>厚底勃肯鞋</t>
        </is>
      </c>
      <c r="J3667" t="inlineStr">
        <is>
          <t>0.01</t>
        </is>
      </c>
      <c r="K3667" t="inlineStr">
        <is>
          <t>🔥低粉爆款</t>
        </is>
      </c>
      <c r="L3667" t="inlineStr">
        <is>
          <t>彩椒CJ女鞋优选的店</t>
        </is>
      </c>
      <c r="M3667">
        <v>1215</v>
      </c>
      <c r="N3667">
        <v>4.61</v>
      </c>
      <c r="O3667">
        <v>14000</v>
      </c>
      <c r="P3667" t="inlineStr">
        <is>
          <t>67bfe7dcf65889000142ca23</t>
        </is>
      </c>
      <c r="Q3667"/>
      <c r="R3667" t="inlineStr">
        <is>
          <t>14周</t>
        </is>
      </c>
      <c r="S3667" t="inlineStr">
        <is>
          <t>9.05</t>
        </is>
      </c>
      <c r="T3667" t="inlineStr">
        <is>
          <t>服饰穿搭</t>
        </is>
      </c>
      <c r="U3667" t="inlineStr">
        <is>
          <t>鞋靴箱包</t>
        </is>
      </c>
      <c r="V3667" s="3">
        <v>46114.78872685185</v>
      </c>
      <c r="W3667" t="inlineStr">
        <is>
          <t>2026-Q2</t>
        </is>
      </c>
    </row>
    <row r="3668" ht="25.5" customHeight="1">
      <c r="A3668" t="inlineStr">
        <is>
          <t>ZHR则则 · 沈月黄子弘凡李耕耘同款！超星元【7cm】银色老爹鞋女春厚底增高</t>
        </is>
      </c>
      <c r="B3668" t="inlineStr">
        <is>
          <t>recvfD7quwpzNG.jpg</t>
        </is>
      </c>
      <c r="C3668" s="2" t="str">
        <f>=HYPERLINK("https://xhslink.com/m/2yhrFC3NUws", "https://xhslink.com/m/2yhrFC3NUws")</f>
        <v>https://xhslink.com/m/2yhrFC3NUws</v>
      </c>
      <c r="D3668"/>
      <c r="E3668">
        <v>29000</v>
      </c>
      <c r="F3668">
        <v>200</v>
      </c>
      <c r="G3668">
        <v>159</v>
      </c>
      <c r="H3668">
        <v>100</v>
      </c>
      <c r="I3668" t="inlineStr">
        <is>
          <t>厚底勃肯鞋</t>
        </is>
      </c>
      <c r="J3668" t="inlineStr">
        <is>
          <t>0.00</t>
        </is>
      </c>
      <c r="K3668"/>
      <c r="L3668" t="inlineStr">
        <is>
          <t>ZHR旗舰店</t>
        </is>
      </c>
      <c r="M3668">
        <v>33000</v>
      </c>
      <c r="N3668">
        <v>4.44</v>
      </c>
      <c r="O3668">
        <v>146000</v>
      </c>
      <c r="P3668" t="inlineStr">
        <is>
          <t>68c29208e8b4ad0001388a43</t>
        </is>
      </c>
      <c r="Q3668" t="inlineStr">
        <is>
          <t>🚫重复</t>
        </is>
      </c>
      <c r="R3668" t="inlineStr">
        <is>
          <t>14周</t>
        </is>
      </c>
      <c r="S3668" t="inlineStr">
        <is>
          <t>0.88</t>
        </is>
      </c>
      <c r="T3668" t="inlineStr">
        <is>
          <t>服饰穿搭</t>
        </is>
      </c>
      <c r="U3668" t="inlineStr">
        <is>
          <t>鞋靴箱包</t>
        </is>
      </c>
      <c r="V3668" s="3">
        <v>46114.78872685185</v>
      </c>
      <c r="W3668" t="inlineStr">
        <is>
          <t>2026-Q2</t>
        </is>
      </c>
    </row>
    <row r="3669" ht="25.5" customHeight="1">
      <c r="A3669" t="inlineStr">
        <is>
          <t>3E · 【前1000单立减20】挂脖手机磁吸支架第一视角直播骑行登山钓鱼</t>
        </is>
      </c>
      <c r="B3669" t="inlineStr">
        <is>
          <t>recvfD7quwwrMz.jpg</t>
        </is>
      </c>
      <c r="C3669" s="2" t="str">
        <f>=HYPERLINK("https://xhslink.com/m/4hYiSXM66rp", "https://xhslink.com/m/4hYiSXM66rp")</f>
        <v>https://xhslink.com/m/4hYiSXM66rp</v>
      </c>
      <c r="D3669"/>
      <c r="E3669">
        <v>2920</v>
      </c>
      <c r="F3669">
        <v>95</v>
      </c>
      <c r="G3669">
        <v>72</v>
      </c>
      <c r="H3669">
        <v>100</v>
      </c>
      <c r="I3669" t="inlineStr">
        <is>
          <t>vlog装备</t>
        </is>
      </c>
      <c r="J3669" t="inlineStr">
        <is>
          <t>0.03</t>
        </is>
      </c>
      <c r="K3669"/>
      <c r="L3669" t="inlineStr">
        <is>
          <t>迷妮种草酱甄选的店</t>
        </is>
      </c>
      <c r="M3669">
        <v>2621</v>
      </c>
      <c r="N3669">
        <v>4.55</v>
      </c>
      <c r="O3669">
        <v>43000</v>
      </c>
      <c r="P3669" t="inlineStr">
        <is>
          <t>6843baf46aec0300158b2cf9</t>
        </is>
      </c>
      <c r="Q3669" t="inlineStr">
        <is>
          <t>🚫重复</t>
        </is>
      </c>
      <c r="R3669" t="inlineStr">
        <is>
          <t>14周</t>
        </is>
      </c>
      <c r="S3669" t="inlineStr">
        <is>
          <t>1.11</t>
        </is>
      </c>
      <c r="T3669" t="inlineStr">
        <is>
          <t>运动潮玩</t>
        </is>
      </c>
      <c r="U3669" t="inlineStr">
        <is>
          <t>运动户外装备</t>
        </is>
      </c>
      <c r="V3669" s="3">
        <v>46114.78872685185</v>
      </c>
      <c r="W3669" t="inlineStr">
        <is>
          <t>2026-Q2</t>
        </is>
      </c>
    </row>
    <row r="3670" ht="25.5" customHeight="1">
      <c r="A3670" t="inlineStr">
        <is>
          <t>放青松雾凇盆栽客厅办公室内工位绿植净化空气创意盆景好养活摆件</t>
        </is>
      </c>
      <c r="B3670" t="inlineStr">
        <is>
          <t>recvfD7quwqAX4.jpg</t>
        </is>
      </c>
      <c r="C3670" s="2" t="str">
        <f>=HYPERLINK("https://xhslink.com/m/3GTQ0oXDCQu", "https://xhslink.com/m/3GTQ0oXDCQu")</f>
        <v>https://xhslink.com/m/3GTQ0oXDCQu</v>
      </c>
      <c r="D3670"/>
      <c r="E3670">
        <v>20000</v>
      </c>
      <c r="F3670">
        <v>35.8</v>
      </c>
      <c r="G3670">
        <v>33.01</v>
      </c>
      <c r="H3670">
        <v>100</v>
      </c>
      <c r="I3670" t="inlineStr">
        <is>
          <t>花花草草</t>
        </is>
      </c>
      <c r="J3670" t="inlineStr">
        <is>
          <t>0.01</t>
        </is>
      </c>
      <c r="K3670"/>
      <c r="L3670" t="inlineStr">
        <is>
          <t>花熹子的店</t>
        </is>
      </c>
      <c r="M3670">
        <v>14000</v>
      </c>
      <c r="N3670">
        <v>4.63</v>
      </c>
      <c r="O3670">
        <v>47000</v>
      </c>
      <c r="P3670" t="inlineStr">
        <is>
          <t>6653559c4d264f0001661fa4</t>
        </is>
      </c>
      <c r="Q3670" t="inlineStr">
        <is>
          <t>🚫重复</t>
        </is>
      </c>
      <c r="R3670" t="inlineStr">
        <is>
          <t>14周</t>
        </is>
      </c>
      <c r="S3670" t="inlineStr">
        <is>
          <t>1.43</t>
        </is>
      </c>
      <c r="T3670" t="inlineStr">
        <is>
          <t>家居生活</t>
        </is>
      </c>
      <c r="U3670" t="inlineStr">
        <is>
          <t>家具家装</t>
        </is>
      </c>
      <c r="V3670" s="3">
        <v>46114.78872685185</v>
      </c>
      <c r="W3670" t="inlineStr">
        <is>
          <t>2026-Q2</t>
        </is>
      </c>
    </row>
    <row r="3671" ht="25.5" customHeight="1">
      <c r="A3671" t="inlineStr">
        <is>
          <t>小手球【小手球】高级小众花材稀有鲜切花</t>
        </is>
      </c>
      <c r="B3671" t="inlineStr">
        <is>
          <t>recvfD7quwjxHi.jpg</t>
        </is>
      </c>
      <c r="C3671" s="2" t="str">
        <f>=HYPERLINK("https://xhslink.com/m/9JsVC0UcYa9", "https://xhslink.com/m/9JsVC0UcYa9")</f>
        <v>https://xhslink.com/m/9JsVC0UcYa9</v>
      </c>
      <c r="D3671"/>
      <c r="E3671">
        <v>12000</v>
      </c>
      <c r="F3671">
        <v>59.9</v>
      </c>
      <c r="G3671"/>
      <c r="H3671">
        <v>100</v>
      </c>
      <c r="I3671" t="inlineStr">
        <is>
          <t>花花草草</t>
        </is>
      </c>
      <c r="J3671" t="inlineStr">
        <is>
          <t>0.01</t>
        </is>
      </c>
      <c r="K3671"/>
      <c r="L3671" t="inlineStr">
        <is>
          <t>见花则喜（斗南鲜花）的店</t>
        </is>
      </c>
      <c r="M3671">
        <v>19000</v>
      </c>
      <c r="N3671">
        <v>4.14</v>
      </c>
      <c r="O3671">
        <v>29000</v>
      </c>
      <c r="P3671" t="inlineStr">
        <is>
          <t>69a317b9a243c700010bd2b3</t>
        </is>
      </c>
      <c r="Q3671"/>
      <c r="R3671" t="inlineStr">
        <is>
          <t>14周</t>
        </is>
      </c>
      <c r="S3671" t="inlineStr">
        <is>
          <t>0.63</t>
        </is>
      </c>
      <c r="T3671" t="inlineStr">
        <is>
          <t>家居生活</t>
        </is>
      </c>
      <c r="U3671" t="inlineStr">
        <is>
          <t>家具家装</t>
        </is>
      </c>
      <c r="V3671" s="3">
        <v>46114.78872685185</v>
      </c>
      <c r="W3671" t="inlineStr">
        <is>
          <t>2026-Q2</t>
        </is>
      </c>
    </row>
    <row r="3672" ht="25.5" customHeight="1">
      <c r="A3672" t="inlineStr">
        <is>
          <t>星星蝴蝶兰【威尼斯】单颗3.0寸杯（开放度低 多花苞）</t>
        </is>
      </c>
      <c r="B3672" t="inlineStr">
        <is>
          <t>recvfD7quwwij9.jpg</t>
        </is>
      </c>
      <c r="C3672" s="2" t="str">
        <f>=HYPERLINK("https://xhslink.com/m/6Uz1PiqEnr3", "https://xhslink.com/m/6Uz1PiqEnr3")</f>
        <v>https://xhslink.com/m/6Uz1PiqEnr3</v>
      </c>
      <c r="D3672"/>
      <c r="E3672">
        <v>5451</v>
      </c>
      <c r="F3672">
        <v>39.8</v>
      </c>
      <c r="G3672"/>
      <c r="H3672">
        <v>100</v>
      </c>
      <c r="I3672" t="inlineStr">
        <is>
          <t>花花草草</t>
        </is>
      </c>
      <c r="J3672" t="inlineStr">
        <is>
          <t>0.02</t>
        </is>
      </c>
      <c r="K3672"/>
      <c r="L3672" t="inlineStr">
        <is>
          <t>星星蝴蝶兰的店</t>
        </is>
      </c>
      <c r="M3672">
        <v>34000</v>
      </c>
      <c r="N3672">
        <v>4.43</v>
      </c>
      <c r="O3672">
        <v>62000</v>
      </c>
      <c r="P3672" t="inlineStr">
        <is>
          <t>6937cf9402483f0001363d8d</t>
        </is>
      </c>
      <c r="Q3672" t="inlineStr">
        <is>
          <t>🚫重复</t>
        </is>
      </c>
      <c r="R3672" t="inlineStr">
        <is>
          <t>14周</t>
        </is>
      </c>
      <c r="S3672" t="inlineStr">
        <is>
          <t>0.16</t>
        </is>
      </c>
      <c r="T3672" t="inlineStr">
        <is>
          <t>家居生活</t>
        </is>
      </c>
      <c r="U3672" t="inlineStr">
        <is>
          <t>厨房餐饮</t>
        </is>
      </c>
      <c r="V3672" s="3">
        <v>46114.78872685185</v>
      </c>
      <c r="W3672" t="inlineStr">
        <is>
          <t>2026-Q2</t>
        </is>
      </c>
    </row>
    <row r="3673" ht="25.5" customHeight="1">
      <c r="A3673" t="inlineStr">
        <is>
          <t>有寻植物 国产朱顶红种球 阿弗雷 花孔雀 双王 舞后重瓣球根花卉</t>
        </is>
      </c>
      <c r="B3673" t="inlineStr">
        <is>
          <t>recvfD7quw5lC3.jpg</t>
        </is>
      </c>
      <c r="C3673" s="2" t="str">
        <f>=HYPERLINK("https://xhslink.com/m/7tLXKllep2G", "https://xhslink.com/m/7tLXKllep2G")</f>
        <v>https://xhslink.com/m/7tLXKllep2G</v>
      </c>
      <c r="D3673"/>
      <c r="E3673">
        <v>4326</v>
      </c>
      <c r="F3673">
        <v>25.8</v>
      </c>
      <c r="G3673"/>
      <c r="H3673">
        <v>100</v>
      </c>
      <c r="I3673" t="inlineStr">
        <is>
          <t>花花草草</t>
        </is>
      </c>
      <c r="J3673" t="inlineStr">
        <is>
          <t>0.02</t>
        </is>
      </c>
      <c r="K3673"/>
      <c r="L3673" t="inlineStr">
        <is>
          <t>有寻植物的店</t>
        </is>
      </c>
      <c r="M3673">
        <v>63000</v>
      </c>
      <c r="N3673">
        <v>4.33</v>
      </c>
      <c r="O3673">
        <v>129000</v>
      </c>
      <c r="P3673" t="inlineStr">
        <is>
          <t>69bca8045e5f0500017b0d01</t>
        </is>
      </c>
      <c r="Q3673" t="inlineStr">
        <is>
          <t>🚫重复</t>
        </is>
      </c>
      <c r="R3673" t="inlineStr">
        <is>
          <t>14周</t>
        </is>
      </c>
      <c r="S3673" t="inlineStr">
        <is>
          <t>0.07</t>
        </is>
      </c>
      <c r="T3673" t="inlineStr">
        <is>
          <t>家居生活</t>
        </is>
      </c>
      <c r="U3673" t="inlineStr">
        <is>
          <t>家具家装</t>
        </is>
      </c>
      <c r="V3673" s="3">
        <v>46114.78872685185</v>
      </c>
      <c r="W3673" t="inlineStr">
        <is>
          <t>2026-Q2</t>
        </is>
      </c>
    </row>
    <row r="3674" ht="25.5" customHeight="1">
      <c r="A3674" t="inlineStr">
        <is>
          <t>香雪兰鲜花 季节限定</t>
        </is>
      </c>
      <c r="B3674" t="inlineStr">
        <is>
          <t>recvfD7quwvjd5.jpg</t>
        </is>
      </c>
      <c r="C3674" s="2" t="str">
        <f>=HYPERLINK("https://xhslink.com/m/AJ7qCBatBoS", "https://xhslink.com/m/AJ7qCBatBoS")</f>
        <v>https://xhslink.com/m/AJ7qCBatBoS</v>
      </c>
      <c r="D3674"/>
      <c r="E3674">
        <v>8287</v>
      </c>
      <c r="F3674">
        <v>39.9</v>
      </c>
      <c r="G3674">
        <v>29.9</v>
      </c>
      <c r="H3674">
        <v>100</v>
      </c>
      <c r="I3674" t="inlineStr">
        <is>
          <t>花花草草</t>
        </is>
      </c>
      <c r="J3674" t="inlineStr">
        <is>
          <t>0.01</t>
        </is>
      </c>
      <c r="K3674"/>
      <c r="L3674" t="inlineStr">
        <is>
          <t>云觅鲜花的店</t>
        </is>
      </c>
      <c r="M3674">
        <v>476000</v>
      </c>
      <c r="N3674">
        <v>4.39</v>
      </c>
      <c r="O3674">
        <v>1642000</v>
      </c>
      <c r="P3674" t="inlineStr">
        <is>
          <t>699e7f016b5a8300013a9b8b</t>
        </is>
      </c>
      <c r="Q3674" t="inlineStr">
        <is>
          <t>🚫重复</t>
        </is>
      </c>
      <c r="R3674" t="inlineStr">
        <is>
          <t>14周</t>
        </is>
      </c>
      <c r="S3674" t="inlineStr">
        <is>
          <t>0.02</t>
        </is>
      </c>
      <c r="T3674" t="inlineStr">
        <is>
          <t>家居生活</t>
        </is>
      </c>
      <c r="U3674" t="inlineStr">
        <is>
          <t>家具家装</t>
        </is>
      </c>
      <c r="V3674" s="3">
        <v>46114.78872685185</v>
      </c>
      <c r="W3674" t="inlineStr">
        <is>
          <t>2026-Q2</t>
        </is>
      </c>
    </row>
    <row r="3675" ht="25.5" customHeight="1">
      <c r="A3675" t="inlineStr">
        <is>
          <t>缤纷柠檬水果糖110盆变色长寿花</t>
        </is>
      </c>
      <c r="B3675" t="inlineStr">
        <is>
          <t>recvfD7quwfniA.jpg</t>
        </is>
      </c>
      <c r="C3675" s="2" t="str">
        <f>=HYPERLINK("https://xhslink.com/m/5NqLzFmR4ma", "https://xhslink.com/m/5NqLzFmR4ma")</f>
        <v>https://xhslink.com/m/5NqLzFmR4ma</v>
      </c>
      <c r="D3675"/>
      <c r="E3675">
        <v>6122</v>
      </c>
      <c r="F3675">
        <v>10.88</v>
      </c>
      <c r="G3675"/>
      <c r="H3675">
        <v>100</v>
      </c>
      <c r="I3675" t="inlineStr">
        <is>
          <t>花花草草</t>
        </is>
      </c>
      <c r="J3675" t="inlineStr">
        <is>
          <t>0.02</t>
        </is>
      </c>
      <c r="K3675"/>
      <c r="L3675" t="inlineStr">
        <is>
          <t>顾小姐的花店的店</t>
        </is>
      </c>
      <c r="M3675">
        <v>11000</v>
      </c>
      <c r="N3675">
        <v>4.42</v>
      </c>
      <c r="O3675">
        <v>54000</v>
      </c>
      <c r="P3675" t="inlineStr">
        <is>
          <t>68cec3e8287c750001da3dcf</t>
        </is>
      </c>
      <c r="Q3675"/>
      <c r="R3675" t="inlineStr">
        <is>
          <t>14周</t>
        </is>
      </c>
      <c r="S3675" t="inlineStr">
        <is>
          <t>0.56</t>
        </is>
      </c>
      <c r="T3675" t="inlineStr">
        <is>
          <t>美食滋补</t>
        </is>
      </c>
      <c r="U3675" t="inlineStr">
        <is>
          <t>生鲜特产</t>
        </is>
      </c>
      <c r="V3675" s="3">
        <v>46114.78872685185</v>
      </c>
      <c r="W3675" t="inlineStr">
        <is>
          <t>2026-Q2</t>
        </is>
      </c>
    </row>
    <row r="3676" ht="25.5" customHeight="1">
      <c r="A3676" t="inlineStr">
        <is>
          <t>风铃花（一扎三到7枝）（不保水发货）</t>
        </is>
      </c>
      <c r="B3676" t="inlineStr">
        <is>
          <t>recvfD7quwLMMY.jpg</t>
        </is>
      </c>
      <c r="C3676" s="2" t="str">
        <f>=HYPERLINK("https://xhslink.com/m/1aDdW9gR0jI", "https://xhslink.com/m/1aDdW9gR0jI")</f>
        <v>https://xhslink.com/m/1aDdW9gR0jI</v>
      </c>
      <c r="D3676"/>
      <c r="E3676">
        <v>3717</v>
      </c>
      <c r="F3676">
        <v>7.9</v>
      </c>
      <c r="G3676"/>
      <c r="H3676">
        <v>100</v>
      </c>
      <c r="I3676" t="inlineStr">
        <is>
          <t>花花草草</t>
        </is>
      </c>
      <c r="J3676" t="inlineStr">
        <is>
          <t>0.03</t>
        </is>
      </c>
      <c r="K3676"/>
      <c r="L3676" t="inlineStr">
        <is>
          <t>云维鲜花的店</t>
        </is>
      </c>
      <c r="M3676">
        <v>230000</v>
      </c>
      <c r="N3676">
        <v>4.06</v>
      </c>
      <c r="O3676">
        <v>867000</v>
      </c>
      <c r="P3676" t="inlineStr">
        <is>
          <t>6964a4edaae2940001752098</t>
        </is>
      </c>
      <c r="Q3676"/>
      <c r="R3676" t="inlineStr">
        <is>
          <t>14周</t>
        </is>
      </c>
      <c r="S3676" t="inlineStr">
        <is>
          <t>0.02</t>
        </is>
      </c>
      <c r="T3676" t="inlineStr">
        <is>
          <t>家居生活</t>
        </is>
      </c>
      <c r="U3676" t="inlineStr">
        <is>
          <t>家具家装</t>
        </is>
      </c>
      <c r="V3676" s="3">
        <v>46114.78872685185</v>
      </c>
      <c r="W3676" t="inlineStr">
        <is>
          <t>2026-Q2</t>
        </is>
      </c>
    </row>
    <row r="3677" ht="25.5" customHeight="1">
      <c r="A3677" t="inlineStr">
        <is>
          <t>一折！！宜J超大地毯瑕疵处理！！</t>
        </is>
      </c>
      <c r="B3677" t="inlineStr">
        <is>
          <t>recvfD7quwSUU7.jpg</t>
        </is>
      </c>
      <c r="C3677" s="2" t="str">
        <f>=HYPERLINK("https://xhslink.com/m/9zTth1KsCW5", "https://xhslink.com/m/9zTth1KsCW5")</f>
        <v>https://xhslink.com/m/9zTth1KsCW5</v>
      </c>
      <c r="D3677"/>
      <c r="E3677">
        <v>595</v>
      </c>
      <c r="F3677">
        <v>59.9</v>
      </c>
      <c r="G3677"/>
      <c r="H3677">
        <v>100</v>
      </c>
      <c r="I3677" t="inlineStr">
        <is>
          <t>地毯</t>
        </is>
      </c>
      <c r="J3677" t="inlineStr">
        <is>
          <t>0.17</t>
        </is>
      </c>
      <c r="K3677"/>
      <c r="L3677" t="inlineStr">
        <is>
          <t>momoko外贸铺子的店</t>
        </is>
      </c>
      <c r="M3677">
        <v>8549</v>
      </c>
      <c r="N3677">
        <v>4.49</v>
      </c>
      <c r="O3677">
        <v>38000</v>
      </c>
      <c r="P3677" t="inlineStr">
        <is>
          <t>696e0a4e04796b0001902d24</t>
        </is>
      </c>
      <c r="Q3677"/>
      <c r="R3677" t="inlineStr">
        <is>
          <t>14周</t>
        </is>
      </c>
      <c r="S3677" t="inlineStr">
        <is>
          <t>0.07</t>
        </is>
      </c>
      <c r="T3677" t="inlineStr">
        <is>
          <t>家居生活</t>
        </is>
      </c>
      <c r="U3677" t="inlineStr">
        <is>
          <t>家居日用</t>
        </is>
      </c>
      <c r="V3677" s="3">
        <v>46114.78872685185</v>
      </c>
      <c r="W3677" t="inlineStr">
        <is>
          <t>2026-Q2</t>
        </is>
      </c>
    </row>
    <row r="3678" ht="25.5" customHeight="1">
      <c r="A3678" t="inlineStr">
        <is>
          <t>【9.9元发2包】鸡胸肉干鸡肉条风干解减饿脂解馋小吃零食</t>
        </is>
      </c>
      <c r="B3678" t="inlineStr">
        <is>
          <t>recvfD7quwgSM9.jpg</t>
        </is>
      </c>
      <c r="C3678" s="2" t="str">
        <f>=HYPERLINK("https://xhslink.com/m/9Ri6hRVFDgL", "https://xhslink.com/m/9Ri6hRVFDgL")</f>
        <v>https://xhslink.com/m/9Ri6hRVFDgL</v>
      </c>
      <c r="D3678"/>
      <c r="E3678">
        <v>7787</v>
      </c>
      <c r="F3678">
        <v>19.9</v>
      </c>
      <c r="G3678">
        <v>9.9</v>
      </c>
      <c r="H3678">
        <v>100</v>
      </c>
      <c r="I3678" t="inlineStr">
        <is>
          <t>咸口零食</t>
        </is>
      </c>
      <c r="J3678" t="inlineStr">
        <is>
          <t>0.01</t>
        </is>
      </c>
      <c r="K3678" t="inlineStr">
        <is>
          <t>🔥低粉爆款</t>
        </is>
      </c>
      <c r="L3678" t="inlineStr">
        <is>
          <t>茉颂手作的店</t>
        </is>
      </c>
      <c r="M3678">
        <v>114</v>
      </c>
      <c r="N3678">
        <v>4.64</v>
      </c>
      <c r="O3678">
        <v>8182</v>
      </c>
      <c r="P3678" t="inlineStr">
        <is>
          <t>688ef358e58d07000190cee8</t>
        </is>
      </c>
      <c r="Q3678" t="inlineStr">
        <is>
          <t>🚫重复</t>
        </is>
      </c>
      <c r="R3678" t="inlineStr">
        <is>
          <t>14周</t>
        </is>
      </c>
      <c r="S3678" t="inlineStr">
        <is>
          <t>68.31</t>
        </is>
      </c>
      <c r="T3678" t="inlineStr">
        <is>
          <t>美食滋补</t>
        </is>
      </c>
      <c r="U3678" t="inlineStr">
        <is>
          <t>休闲零食</t>
        </is>
      </c>
      <c r="V3678" s="3">
        <v>46114.78872685185</v>
      </c>
      <c r="W3678" t="inlineStr">
        <is>
          <t>2026-Q2</t>
        </is>
      </c>
    </row>
    <row r="3679" ht="25.5" customHeight="1">
      <c r="A3679" t="inlineStr">
        <is>
          <t>荣华楼直发广州特产传统点心咸味曲奇杏仁 咸蛋黄蔓越莓袋装零食</t>
        </is>
      </c>
      <c r="B3679" t="inlineStr">
        <is>
          <t>recvfD7quwXz78.jpg</t>
        </is>
      </c>
      <c r="C3679" s="2" t="str">
        <f>=HYPERLINK("https://xhslink.com/m/9FAQjs9ZSV4", "https://xhslink.com/m/9FAQjs9ZSV4")</f>
        <v>https://xhslink.com/m/9FAQjs9ZSV4</v>
      </c>
      <c r="D3679"/>
      <c r="E3679">
        <v>4161</v>
      </c>
      <c r="F3679">
        <v>40.9</v>
      </c>
      <c r="G3679">
        <v>33.9</v>
      </c>
      <c r="H3679">
        <v>100</v>
      </c>
      <c r="I3679" t="inlineStr">
        <is>
          <t>咸口零食</t>
        </is>
      </c>
      <c r="J3679" t="inlineStr">
        <is>
          <t>0.02</t>
        </is>
      </c>
      <c r="K3679" t="inlineStr">
        <is>
          <t>🔥低粉爆款</t>
        </is>
      </c>
      <c r="L3679" t="inlineStr">
        <is>
          <t>荣华楼1876的店</t>
        </is>
      </c>
      <c r="M3679">
        <v>632</v>
      </c>
      <c r="N3679">
        <v>4.68</v>
      </c>
      <c r="O3679">
        <v>10000</v>
      </c>
      <c r="P3679" t="inlineStr">
        <is>
          <t>690601ece379430001b933a5</t>
        </is>
      </c>
      <c r="Q3679"/>
      <c r="R3679" t="inlineStr">
        <is>
          <t>14周</t>
        </is>
      </c>
      <c r="S3679" t="inlineStr">
        <is>
          <t>6.58</t>
        </is>
      </c>
      <c r="T3679" t="inlineStr">
        <is>
          <t>美食滋补</t>
        </is>
      </c>
      <c r="U3679" t="inlineStr">
        <is>
          <t>休闲零食</t>
        </is>
      </c>
      <c r="V3679" s="3">
        <v>46114.78872685185</v>
      </c>
      <c r="W3679" t="inlineStr">
        <is>
          <t>2026-Q2</t>
        </is>
      </c>
    </row>
    <row r="3680" ht="25.5" customHeight="1">
      <c r="A3680" t="inlineStr">
        <is>
          <t>【顺丰】早餐早饭速食清明粿果饼零食糯米粿蒿子粑粑咸口青团艾草</t>
        </is>
      </c>
      <c r="B3680" t="inlineStr">
        <is>
          <t>recvfD7quw3kHI.jpg</t>
        </is>
      </c>
      <c r="C3680" s="2" t="str">
        <f>=HYPERLINK("https://xhslink.com/m/3RQvxvbjpkR", "https://xhslink.com/m/3RQvxvbjpkR")</f>
        <v>https://xhslink.com/m/3RQvxvbjpkR</v>
      </c>
      <c r="D3680"/>
      <c r="E3680">
        <v>41000</v>
      </c>
      <c r="F3680">
        <v>31.99</v>
      </c>
      <c r="G3680"/>
      <c r="H3680">
        <v>100</v>
      </c>
      <c r="I3680" t="inlineStr">
        <is>
          <t>咸口零食</t>
        </is>
      </c>
      <c r="J3680" t="inlineStr">
        <is>
          <t>0.00</t>
        </is>
      </c>
      <c r="K3680" t="inlineStr">
        <is>
          <t>🔥低粉爆款</t>
        </is>
      </c>
      <c r="L3680" t="inlineStr">
        <is>
          <t>反正我是有钱人的店</t>
        </is>
      </c>
      <c r="M3680">
        <v>5519</v>
      </c>
      <c r="N3680">
        <v>4.63</v>
      </c>
      <c r="O3680">
        <v>53000</v>
      </c>
      <c r="P3680" t="inlineStr">
        <is>
          <t>65543d7644a0ce0001e43365</t>
        </is>
      </c>
      <c r="Q3680" t="inlineStr">
        <is>
          <t>🚫重复</t>
        </is>
      </c>
      <c r="R3680" t="inlineStr">
        <is>
          <t>14周</t>
        </is>
      </c>
      <c r="S3680" t="inlineStr">
        <is>
          <t>7.43</t>
        </is>
      </c>
      <c r="T3680" t="inlineStr">
        <is>
          <t>美食滋补</t>
        </is>
      </c>
      <c r="U3680" t="inlineStr">
        <is>
          <t>休闲零食</t>
        </is>
      </c>
      <c r="V3680" s="3">
        <v>46114.78872685185</v>
      </c>
      <c r="W3680" t="inlineStr">
        <is>
          <t>2026-Q2</t>
        </is>
      </c>
    </row>
    <row r="3681" ht="25.5" customHeight="1">
      <c r="A3681" t="inlineStr">
        <is>
          <t>鹌鹑小咸蛋黄~流沙油润减盐，泡面白粥搭子～潮汕小菜开袋即食～</t>
        </is>
      </c>
      <c r="B3681" t="inlineStr">
        <is>
          <t>recvfD7quwm9ye.jpg</t>
        </is>
      </c>
      <c r="C3681" s="2" t="str">
        <f>=HYPERLINK("https://xhslink.com/m/4XdFhz7ZMaL", "https://xhslink.com/m/4XdFhz7ZMaL")</f>
        <v>https://xhslink.com/m/4XdFhz7ZMaL</v>
      </c>
      <c r="D3681"/>
      <c r="E3681">
        <v>14000</v>
      </c>
      <c r="F3681">
        <v>49.8</v>
      </c>
      <c r="G3681">
        <v>39.8</v>
      </c>
      <c r="H3681">
        <v>100</v>
      </c>
      <c r="I3681" t="inlineStr">
        <is>
          <t>咸口零食</t>
        </is>
      </c>
      <c r="J3681" t="inlineStr">
        <is>
          <t>0.01</t>
        </is>
      </c>
      <c r="K3681" t="inlineStr">
        <is>
          <t>🔥低粉爆款</t>
        </is>
      </c>
      <c r="L3681" t="inlineStr">
        <is>
          <t>圆脸小姨的店</t>
        </is>
      </c>
      <c r="M3681">
        <v>58</v>
      </c>
      <c r="N3681">
        <v>4.51</v>
      </c>
      <c r="O3681">
        <v>14000</v>
      </c>
      <c r="P3681" t="inlineStr">
        <is>
          <t>6936b3e151b8c00001fa0ae9</t>
        </is>
      </c>
      <c r="Q3681"/>
      <c r="R3681" t="inlineStr">
        <is>
          <t>14周</t>
        </is>
      </c>
      <c r="S3681" t="inlineStr">
        <is>
          <t>241.38</t>
        </is>
      </c>
      <c r="T3681" t="inlineStr">
        <is>
          <t>美食滋补</t>
        </is>
      </c>
      <c r="U3681" t="inlineStr">
        <is>
          <t>休闲零食</t>
        </is>
      </c>
      <c r="V3681" s="3">
        <v>46114.78872685185</v>
      </c>
      <c r="W3681" t="inlineStr">
        <is>
          <t>2026-Q2</t>
        </is>
      </c>
    </row>
    <row r="3682" ht="25.5" customHeight="1">
      <c r="A3682" t="inlineStr">
        <is>
          <t>【带胸垫】新款春秋针织棉坑条碎花睡衣巨舒服好看少女家居服</t>
        </is>
      </c>
      <c r="B3682" t="inlineStr">
        <is>
          <t>recvfKbQZHAmla.jpg</t>
        </is>
      </c>
      <c r="C3682" s="2" t="str">
        <f>=HYPERLINK("https://xhslink.com/m/91lMdl7BVve", "https://xhslink.com/m/91lMdl7BVve")</f>
        <v>https://xhslink.com/m/91lMdl7BVve</v>
      </c>
      <c r="D3682"/>
      <c r="E3682">
        <v>2044</v>
      </c>
      <c r="F3682">
        <v>139</v>
      </c>
      <c r="G3682">
        <v>106.8</v>
      </c>
      <c r="H3682">
        <v>100</v>
      </c>
      <c r="I3682" t="inlineStr">
        <is>
          <t>睡衣家居服</t>
        </is>
      </c>
      <c r="J3682" t="inlineStr">
        <is>
          <t>0.05</t>
        </is>
      </c>
      <c r="K3682"/>
      <c r="L3682" t="inlineStr">
        <is>
          <t>小兮姐姐爱分享的店</t>
        </is>
      </c>
      <c r="M3682">
        <v>1279</v>
      </c>
      <c r="N3682">
        <v>4.78</v>
      </c>
      <c r="O3682">
        <v>9345</v>
      </c>
      <c r="P3682" t="inlineStr">
        <is>
          <t>68b6514e8ec6fa00017d296b</t>
        </is>
      </c>
      <c r="Q3682"/>
      <c r="R3682" t="inlineStr">
        <is>
          <t>14周</t>
        </is>
      </c>
      <c r="S3682" t="inlineStr">
        <is>
          <t>1.60</t>
        </is>
      </c>
      <c r="T3682" t="inlineStr">
        <is>
          <t>服饰穿搭</t>
        </is>
      </c>
      <c r="U3682" t="inlineStr">
        <is>
          <t>女装</t>
        </is>
      </c>
      <c r="V3682" s="3">
        <v>46115.99805555555</v>
      </c>
      <c r="W3682" t="inlineStr">
        <is>
          <t>2026-Q2</t>
        </is>
      </c>
    </row>
    <row r="3683" ht="25.5" customHeight="1">
      <c r="A3683" t="inlineStr">
        <is>
          <t>维多利亚的秘密 · 维密宅度假缎面月光绸丝滑短袖睡衣家居服套装女</t>
        </is>
      </c>
      <c r="B3683" t="inlineStr">
        <is>
          <t>recvfKbRx1nLew.jpg</t>
        </is>
      </c>
      <c r="C3683" s="2" t="str">
        <f>=HYPERLINK("https://xhslink.com/m/6E6ETs2KoSh", "https://xhslink.com/m/6E6ETs2KoSh")</f>
        <v>https://xhslink.com/m/6E6ETs2KoSh</v>
      </c>
      <c r="D3683"/>
      <c r="E3683">
        <v>363</v>
      </c>
      <c r="F3683">
        <v>758</v>
      </c>
      <c r="G3683"/>
      <c r="H3683">
        <v>100</v>
      </c>
      <c r="I3683" t="inlineStr">
        <is>
          <t>睡衣家居服</t>
        </is>
      </c>
      <c r="J3683" t="inlineStr">
        <is>
          <t>0.28</t>
        </is>
      </c>
      <c r="K3683"/>
      <c r="L3683" t="inlineStr">
        <is>
          <t>维多利亚的秘密旗舰店</t>
        </is>
      </c>
      <c r="M3683">
        <v>249000</v>
      </c>
      <c r="N3683">
        <v>4.77</v>
      </c>
      <c r="O3683">
        <v>822000</v>
      </c>
      <c r="P3683" t="inlineStr">
        <is>
          <t>67a9c7e617cfa000016af68d</t>
        </is>
      </c>
      <c r="Q3683" t="inlineStr">
        <is>
          <t>🚫重复</t>
        </is>
      </c>
      <c r="R3683" t="inlineStr">
        <is>
          <t>14周</t>
        </is>
      </c>
      <c r="S3683" t="inlineStr">
        <is>
          <t>0.00</t>
        </is>
      </c>
      <c r="T3683" t="inlineStr">
        <is>
          <t>服饰穿搭</t>
        </is>
      </c>
      <c r="U3683" t="inlineStr">
        <is>
          <t>女装</t>
        </is>
      </c>
      <c r="V3683" s="3">
        <v>46115.998090277775</v>
      </c>
      <c r="W3683" t="inlineStr">
        <is>
          <t>2026-Q2</t>
        </is>
      </c>
    </row>
    <row r="3684" ht="25.5" customHeight="1">
      <c r="A3684" t="inlineStr">
        <is>
          <t>【虞UU】入秋百搭神T！新款男女明线宽松显瘦户外速干长袖打底</t>
        </is>
      </c>
      <c r="B3684" t="inlineStr">
        <is>
          <t>recvfKbRx1S8Nz.jpg</t>
        </is>
      </c>
      <c r="C3684" s="2" t="str">
        <f>=HYPERLINK("https://xhslink.com/m/21Wxd6vW58V", "https://xhslink.com/m/21Wxd6vW58V")</f>
        <v>https://xhslink.com/m/21Wxd6vW58V</v>
      </c>
      <c r="D3684"/>
      <c r="E3684">
        <v>2624</v>
      </c>
      <c r="F3684">
        <v>49.9</v>
      </c>
      <c r="G3684"/>
      <c r="H3684">
        <v>100</v>
      </c>
      <c r="I3684" t="inlineStr">
        <is>
          <t>速干长袖</t>
        </is>
      </c>
      <c r="J3684" t="inlineStr">
        <is>
          <t>0.04</t>
        </is>
      </c>
      <c r="K3684"/>
      <c r="L3684" t="inlineStr">
        <is>
          <t>虞优的U的店</t>
        </is>
      </c>
      <c r="M3684">
        <v>11000</v>
      </c>
      <c r="N3684">
        <v>4.38</v>
      </c>
      <c r="O3684">
        <v>104000</v>
      </c>
      <c r="P3684" t="inlineStr">
        <is>
          <t>68b338759a16410001666912</t>
        </is>
      </c>
      <c r="Q3684" t="inlineStr">
        <is>
          <t>🚫重复</t>
        </is>
      </c>
      <c r="R3684" t="inlineStr">
        <is>
          <t>14周</t>
        </is>
      </c>
      <c r="S3684" t="inlineStr">
        <is>
          <t>0.24</t>
        </is>
      </c>
      <c r="T3684" t="inlineStr">
        <is>
          <t>服饰穿搭</t>
        </is>
      </c>
      <c r="U3684" t="inlineStr">
        <is>
          <t>女装</t>
        </is>
      </c>
      <c r="V3684" s="3">
        <v>46115.998090277775</v>
      </c>
      <c r="W3684" t="inlineStr">
        <is>
          <t>2026-Q2</t>
        </is>
      </c>
    </row>
    <row r="3685" ht="25.5" customHeight="1">
      <c r="A3685" t="inlineStr">
        <is>
          <t>男女款超轻超薄速干透气拼接口袋长袖T 046</t>
        </is>
      </c>
      <c r="B3685" t="inlineStr">
        <is>
          <t>recvfKbRx1dZLp.jpg</t>
        </is>
      </c>
      <c r="C3685" s="2" t="str">
        <f>=HYPERLINK("https://xhslink.com/m/7cKM71qlmDU", "https://xhslink.com/m/7cKM71qlmDU")</f>
        <v>https://xhslink.com/m/7cKM71qlmDU</v>
      </c>
      <c r="D3685"/>
      <c r="E3685">
        <v>4312</v>
      </c>
      <c r="F3685">
        <v>69</v>
      </c>
      <c r="G3685"/>
      <c r="H3685">
        <v>100</v>
      </c>
      <c r="I3685" t="inlineStr">
        <is>
          <t>速干长袖</t>
        </is>
      </c>
      <c r="J3685" t="inlineStr">
        <is>
          <t>0.02</t>
        </is>
      </c>
      <c r="K3685"/>
      <c r="L3685" t="inlineStr">
        <is>
          <t>XYJ STUDIO的店</t>
        </is>
      </c>
      <c r="M3685">
        <v>17000</v>
      </c>
      <c r="N3685">
        <v>4.46</v>
      </c>
      <c r="O3685">
        <v>153000</v>
      </c>
      <c r="P3685" t="inlineStr">
        <is>
          <t>684263ecd9a2590001bb5ad4</t>
        </is>
      </c>
      <c r="Q3685" t="inlineStr">
        <is>
          <t>🚫重复</t>
        </is>
      </c>
      <c r="R3685" t="inlineStr">
        <is>
          <t>14周</t>
        </is>
      </c>
      <c r="S3685" t="inlineStr">
        <is>
          <t>0.25</t>
        </is>
      </c>
      <c r="T3685" t="inlineStr">
        <is>
          <t>服饰穿搭</t>
        </is>
      </c>
      <c r="U3685" t="inlineStr">
        <is>
          <t>女装</t>
        </is>
      </c>
      <c r="V3685" s="3">
        <v>46115.998090277775</v>
      </c>
      <c r="W3685" t="inlineStr">
        <is>
          <t>2026-Q2</t>
        </is>
      </c>
    </row>
    <row r="3686" ht="25.5" customHeight="1">
      <c r="A3686" t="inlineStr">
        <is>
          <t>【亏本冲量】【最后50双直降】水钻爆闪buling人字拖夹趾拖沙滩鞋</t>
        </is>
      </c>
      <c r="B3686" t="inlineStr">
        <is>
          <t>recvfKbRx1aSqR.jpg</t>
        </is>
      </c>
      <c r="C3686" s="2" t="str">
        <f>=HYPERLINK("https://xhslink.com/m/7E7j3HrQAr6", "https://xhslink.com/m/7E7j3HrQAr6")</f>
        <v>https://xhslink.com/m/7E7j3HrQAr6</v>
      </c>
      <c r="D3686"/>
      <c r="E3686">
        <v>25000</v>
      </c>
      <c r="F3686">
        <v>98.8</v>
      </c>
      <c r="G3686">
        <v>79.8</v>
      </c>
      <c r="H3686">
        <v>100</v>
      </c>
      <c r="I3686" t="inlineStr">
        <is>
          <t>人字拖</t>
        </is>
      </c>
      <c r="J3686" t="inlineStr">
        <is>
          <t>0.00</t>
        </is>
      </c>
      <c r="K3686" t="inlineStr">
        <is>
          <t>🔥低粉爆款</t>
        </is>
      </c>
      <c r="L3686" t="inlineStr">
        <is>
          <t>buling少女咩的店</t>
        </is>
      </c>
      <c r="M3686">
        <v>1855</v>
      </c>
      <c r="N3686">
        <v>3.67</v>
      </c>
      <c r="O3686">
        <v>45000</v>
      </c>
      <c r="P3686" t="inlineStr">
        <is>
          <t>6949ac8bf489e4000138241e</t>
        </is>
      </c>
      <c r="Q3686"/>
      <c r="R3686" t="inlineStr">
        <is>
          <t>14周</t>
        </is>
      </c>
      <c r="S3686" t="inlineStr">
        <is>
          <t>13.48</t>
        </is>
      </c>
      <c r="T3686" t="inlineStr">
        <is>
          <t>服饰穿搭</t>
        </is>
      </c>
      <c r="U3686" t="inlineStr">
        <is>
          <t>鞋靴箱包</t>
        </is>
      </c>
      <c r="V3686" s="3">
        <v>46115.998090277775</v>
      </c>
      <c r="W3686" t="inlineStr">
        <is>
          <t>2026-Q2</t>
        </is>
      </c>
    </row>
    <row r="3687" ht="25.5" customHeight="1">
      <c r="A3687" t="inlineStr">
        <is>
          <t>lilybyred · 小猴子推荐~韩国Lilybyred爱心单色腮红粉膏02火龙果色/01/05/06/</t>
        </is>
      </c>
      <c r="B3687" t="inlineStr">
        <is>
          <t>recvfKbRx1DgpC.jpg</t>
        </is>
      </c>
      <c r="C3687" s="2" t="str">
        <f>=HYPERLINK("https://xhslink.com/m/8nTpSNfIWTw", "https://xhslink.com/m/8nTpSNfIWTw")</f>
        <v>https://xhslink.com/m/8nTpSNfIWTw</v>
      </c>
      <c r="D3687"/>
      <c r="E3687">
        <v>8786</v>
      </c>
      <c r="F3687">
        <v>50</v>
      </c>
      <c r="G3687">
        <v>37.5</v>
      </c>
      <c r="H3687">
        <v>100</v>
      </c>
      <c r="I3687" t="inlineStr">
        <is>
          <t>面部色彩</t>
        </is>
      </c>
      <c r="J3687" t="inlineStr">
        <is>
          <t>0.01</t>
        </is>
      </c>
      <c r="K3687"/>
      <c r="L3687" t="inlineStr">
        <is>
          <t>晓选👸留学生的店</t>
        </is>
      </c>
      <c r="M3687">
        <v>280000</v>
      </c>
      <c r="N3687">
        <v>4.48</v>
      </c>
      <c r="O3687">
        <v>552000</v>
      </c>
      <c r="P3687" t="inlineStr">
        <is>
          <t>6704aae94ae18700018defb2</t>
        </is>
      </c>
      <c r="Q3687" t="inlineStr">
        <is>
          <t>🚫重复</t>
        </is>
      </c>
      <c r="R3687" t="inlineStr">
        <is>
          <t>14周</t>
        </is>
      </c>
      <c r="S3687" t="inlineStr">
        <is>
          <t>0.03</t>
        </is>
      </c>
      <c r="T3687" t="inlineStr">
        <is>
          <t>美妆个护</t>
        </is>
      </c>
      <c r="U3687" t="inlineStr">
        <is>
          <t>护肤彩妆</t>
        </is>
      </c>
      <c r="V3687" s="3">
        <v>46115.998090277775</v>
      </c>
      <c r="W3687" t="inlineStr">
        <is>
          <t>2026-Q2</t>
        </is>
      </c>
    </row>
    <row r="3688" ht="25.5" customHeight="1">
      <c r="A3688" t="inlineStr">
        <is>
          <t>Girlcult构奇 · Girlcult口红·唇釉·唇霜·唇蜜·官旗直发·保证正品</t>
        </is>
      </c>
      <c r="B3688" t="inlineStr">
        <is>
          <t>recvfKbRx1ayY5.jpg</t>
        </is>
      </c>
      <c r="C3688" s="2" t="str">
        <f>=HYPERLINK("https://xhslink.com/m/91UbfgfsgNG", "https://xhslink.com/m/91UbfgfsgNG")</f>
        <v>https://xhslink.com/m/91UbfgfsgNG</v>
      </c>
      <c r="D3688"/>
      <c r="E3688">
        <v>9455</v>
      </c>
      <c r="F3688">
        <v>58</v>
      </c>
      <c r="G3688"/>
      <c r="H3688">
        <v>100</v>
      </c>
      <c r="I3688" t="inlineStr">
        <is>
          <t>面部色彩</t>
        </is>
      </c>
      <c r="J3688" t="inlineStr">
        <is>
          <t>0.01</t>
        </is>
      </c>
      <c r="K3688" t="inlineStr">
        <is>
          <t>🔥低粉爆款</t>
        </is>
      </c>
      <c r="L3688" t="inlineStr">
        <is>
          <t>美妆安利妹的店</t>
        </is>
      </c>
      <c r="M3688">
        <v>555</v>
      </c>
      <c r="N3688">
        <v>4.24</v>
      </c>
      <c r="O3688">
        <v>11000</v>
      </c>
      <c r="P3688" t="inlineStr">
        <is>
          <t>6892152e4daa7100015e22e4</t>
        </is>
      </c>
      <c r="Q3688"/>
      <c r="R3688" t="inlineStr">
        <is>
          <t>14周</t>
        </is>
      </c>
      <c r="S3688" t="inlineStr">
        <is>
          <t>17.04</t>
        </is>
      </c>
      <c r="T3688" t="inlineStr">
        <is>
          <t>美妆个护</t>
        </is>
      </c>
      <c r="U3688" t="inlineStr">
        <is>
          <t>护肤彩妆</t>
        </is>
      </c>
      <c r="V3688" s="3">
        <v>46115.998090277775</v>
      </c>
      <c r="W3688" t="inlineStr">
        <is>
          <t>2026-Q2</t>
        </is>
      </c>
    </row>
    <row r="3689" ht="25.5" customHeight="1">
      <c r="A3689" t="inlineStr">
        <is>
          <t>lilybyred · 韩国爱心腮红膏自然元气少女感服帖提亮肤色显白唇颊两用膏新款</t>
        </is>
      </c>
      <c r="B3689" t="inlineStr">
        <is>
          <t>recvfKbRx1Qswo.jpg</t>
        </is>
      </c>
      <c r="C3689" s="2" t="str">
        <f>=HYPERLINK("https://xhslink.com/m/5rXTs79x2bJ", "https://xhslink.com/m/5rXTs79x2bJ")</f>
        <v>https://xhslink.com/m/5rXTs79x2bJ</v>
      </c>
      <c r="D3689"/>
      <c r="E3689">
        <v>10000</v>
      </c>
      <c r="F3689">
        <v>64</v>
      </c>
      <c r="G3689">
        <v>49</v>
      </c>
      <c r="H3689">
        <v>100</v>
      </c>
      <c r="I3689" t="inlineStr">
        <is>
          <t>面部色彩</t>
        </is>
      </c>
      <c r="J3689" t="inlineStr">
        <is>
          <t>0.01</t>
        </is>
      </c>
      <c r="K3689"/>
      <c r="L3689" t="inlineStr">
        <is>
          <t>韩国大姐姐😉的店</t>
        </is>
      </c>
      <c r="M3689">
        <v>381000</v>
      </c>
      <c r="N3689">
        <v>4.61</v>
      </c>
      <c r="O3689">
        <v>429000</v>
      </c>
      <c r="P3689" t="inlineStr">
        <is>
          <t>68391298f078780001e0e726</t>
        </is>
      </c>
      <c r="Q3689" t="inlineStr">
        <is>
          <t>🚫重复</t>
        </is>
      </c>
      <c r="R3689" t="inlineStr">
        <is>
          <t>14周</t>
        </is>
      </c>
      <c r="S3689" t="inlineStr">
        <is>
          <t>0.03</t>
        </is>
      </c>
      <c r="T3689" t="inlineStr">
        <is>
          <t>美妆个护</t>
        </is>
      </c>
      <c r="U3689" t="inlineStr">
        <is>
          <t>护肤彩妆</t>
        </is>
      </c>
      <c r="V3689" s="3">
        <v>46115.998090277775</v>
      </c>
      <c r="W3689" t="inlineStr">
        <is>
          <t>2026-Q2</t>
        </is>
      </c>
    </row>
    <row r="3690" ht="25.5" customHeight="1">
      <c r="A3690" t="inlineStr">
        <is>
          <t>HOLD LIVE · 巴黎花园12色升级版大盘眼影 早八人综合盘低饱和渐变腮红新手</t>
        </is>
      </c>
      <c r="B3690" t="inlineStr">
        <is>
          <t>recvfKbRx1hCcP.jpg</t>
        </is>
      </c>
      <c r="C3690" s="2" t="str">
        <f>=HYPERLINK("https://xhslink.com/m/AbvsDPv7DXa", "https://xhslink.com/m/AbvsDPv7DXa")</f>
        <v>https://xhslink.com/m/AbvsDPv7DXa</v>
      </c>
      <c r="D3690"/>
      <c r="E3690">
        <v>20000</v>
      </c>
      <c r="F3690">
        <v>49.9</v>
      </c>
      <c r="G3690"/>
      <c r="H3690">
        <v>100</v>
      </c>
      <c r="I3690" t="inlineStr">
        <is>
          <t>面部色彩</t>
        </is>
      </c>
      <c r="J3690" t="inlineStr">
        <is>
          <t>0.01</t>
        </is>
      </c>
      <c r="K3690"/>
      <c r="L3690" t="inlineStr">
        <is>
          <t>Holdlive旗舰店</t>
        </is>
      </c>
      <c r="M3690">
        <v>354000</v>
      </c>
      <c r="N3690">
        <v>4.68</v>
      </c>
      <c r="O3690">
        <v>537000</v>
      </c>
      <c r="P3690" t="inlineStr">
        <is>
          <t>66b9a7880efe9a00014c1fb9</t>
        </is>
      </c>
      <c r="Q3690" t="inlineStr">
        <is>
          <t>🚫重复</t>
        </is>
      </c>
      <c r="R3690" t="inlineStr">
        <is>
          <t>14周</t>
        </is>
      </c>
      <c r="S3690" t="inlineStr">
        <is>
          <t>0.06</t>
        </is>
      </c>
      <c r="T3690" t="inlineStr">
        <is>
          <t>美妆个护</t>
        </is>
      </c>
      <c r="U3690" t="inlineStr">
        <is>
          <t>护肤彩妆</t>
        </is>
      </c>
      <c r="V3690" s="3">
        <v>46115.998090277775</v>
      </c>
      <c r="W3690" t="inlineStr">
        <is>
          <t>2026-Q2</t>
        </is>
      </c>
    </row>
    <row r="3691" ht="25.5" customHeight="1">
      <c r="A3691" t="inlineStr">
        <is>
          <t>DE'LANCI · 「2件9折 4件8.5折送盘」自组偏光爆闪眼影盘紫色绿色系金属高闪</t>
        </is>
      </c>
      <c r="B3691" t="inlineStr">
        <is>
          <t>recvfKbRx11eEw.jpg</t>
        </is>
      </c>
      <c r="C3691" s="2" t="str">
        <f>=HYPERLINK("https://xhslink.com/m/9wYs9MUYQ6b", "https://xhslink.com/m/9wYs9MUYQ6b")</f>
        <v>https://xhslink.com/m/9wYs9MUYQ6b</v>
      </c>
      <c r="D3691"/>
      <c r="E3691">
        <v>27000</v>
      </c>
      <c r="F3691">
        <v>24</v>
      </c>
      <c r="G3691"/>
      <c r="H3691">
        <v>100</v>
      </c>
      <c r="I3691" t="inlineStr">
        <is>
          <t>面部色彩</t>
        </is>
      </c>
      <c r="J3691" t="inlineStr">
        <is>
          <t>0.00</t>
        </is>
      </c>
      <c r="K3691"/>
      <c r="L3691" t="inlineStr">
        <is>
          <t>DE'LANCI美妆旗舰店</t>
        </is>
      </c>
      <c r="M3691">
        <v>36000</v>
      </c>
      <c r="N3691">
        <v>4.67</v>
      </c>
      <c r="O3691">
        <v>43000</v>
      </c>
      <c r="P3691" t="inlineStr">
        <is>
          <t>678dcd82f4d657000177fab3</t>
        </is>
      </c>
      <c r="Q3691" t="inlineStr">
        <is>
          <t>🚫重复</t>
        </is>
      </c>
      <c r="R3691" t="inlineStr">
        <is>
          <t>14周</t>
        </is>
      </c>
      <c r="S3691" t="inlineStr">
        <is>
          <t>0.75</t>
        </is>
      </c>
      <c r="T3691" t="inlineStr">
        <is>
          <t>美妆个护</t>
        </is>
      </c>
      <c r="U3691" t="inlineStr">
        <is>
          <t>护肤彩妆</t>
        </is>
      </c>
      <c r="V3691" s="3">
        <v>46115.998090277775</v>
      </c>
      <c r="W3691" t="inlineStr">
        <is>
          <t>2026-Q2</t>
        </is>
      </c>
    </row>
    <row r="3692" ht="25.5" customHeight="1">
      <c r="A3692" t="inlineStr">
        <is>
          <t>HERORANGE · 新款~丰盈蜜润唇釉镜面水光唇彩口红滋润保湿裸色02热情粉0507</t>
        </is>
      </c>
      <c r="B3692" t="inlineStr">
        <is>
          <t>recvfKbRx1uYjE.jpg</t>
        </is>
      </c>
      <c r="C3692" s="2" t="str">
        <f>=HYPERLINK("https://xhslink.com/m/8hucw3koSSM", "https://xhslink.com/m/8hucw3koSSM")</f>
        <v>https://xhslink.com/m/8hucw3koSSM</v>
      </c>
      <c r="D3692"/>
      <c r="E3692">
        <v>35000</v>
      </c>
      <c r="F3692">
        <v>32</v>
      </c>
      <c r="G3692">
        <v>7.8</v>
      </c>
      <c r="H3692">
        <v>100</v>
      </c>
      <c r="I3692" t="inlineStr">
        <is>
          <t>面部色彩</t>
        </is>
      </c>
      <c r="J3692" t="inlineStr">
        <is>
          <t>0.00</t>
        </is>
      </c>
      <c r="K3692"/>
      <c r="L3692" t="inlineStr">
        <is>
          <t>SheTloml美妆的店</t>
        </is>
      </c>
      <c r="M3692">
        <v>16000</v>
      </c>
      <c r="N3692">
        <v>4.67</v>
      </c>
      <c r="O3692">
        <v>127000</v>
      </c>
      <c r="P3692" t="inlineStr">
        <is>
          <t>66153e2e4971320001b9dc2b</t>
        </is>
      </c>
      <c r="Q3692"/>
      <c r="R3692" t="inlineStr">
        <is>
          <t>14周</t>
        </is>
      </c>
      <c r="S3692" t="inlineStr">
        <is>
          <t>2.19</t>
        </is>
      </c>
      <c r="T3692" t="inlineStr">
        <is>
          <t>美妆个护</t>
        </is>
      </c>
      <c r="U3692" t="inlineStr">
        <is>
          <t>护肤彩妆</t>
        </is>
      </c>
      <c r="V3692" s="3">
        <v>46115.998090277775</v>
      </c>
      <c r="W3692" t="inlineStr">
        <is>
          <t>2026-Q2</t>
        </is>
      </c>
    </row>
    <row r="3693" ht="25.5" customHeight="1">
      <c r="A3693" t="inlineStr">
        <is>
          <t>23宽松透气直筒垂感运动裤女高腰显瘦普拉提跑步训练瑜伽健身长裤</t>
        </is>
      </c>
      <c r="B3693" t="inlineStr">
        <is>
          <t>recvfKbRx1ED1G.jpg</t>
        </is>
      </c>
      <c r="C3693" s="2" t="str">
        <f>=HYPERLINK("https://xhslink.com/m/ALX4FgF9JbM", "https://xhslink.com/m/ALX4FgF9JbM")</f>
        <v>https://xhslink.com/m/ALX4FgF9JbM</v>
      </c>
      <c r="D3693"/>
      <c r="E3693">
        <v>20000</v>
      </c>
      <c r="F3693">
        <v>59.99</v>
      </c>
      <c r="G3693"/>
      <c r="H3693">
        <v>100</v>
      </c>
      <c r="I3693" t="inlineStr">
        <is>
          <t>瑜伽服</t>
        </is>
      </c>
      <c r="J3693" t="inlineStr">
        <is>
          <t>0.01</t>
        </is>
      </c>
      <c r="K3693"/>
      <c r="L3693" t="inlineStr">
        <is>
          <t>瑜伽少女Yoga的店</t>
        </is>
      </c>
      <c r="M3693">
        <v>10000</v>
      </c>
      <c r="N3693">
        <v>4.68</v>
      </c>
      <c r="O3693">
        <v>253000</v>
      </c>
      <c r="P3693" t="inlineStr">
        <is>
          <t>68bce8b38f53130001b191b9</t>
        </is>
      </c>
      <c r="Q3693" t="inlineStr">
        <is>
          <t>🚫重复</t>
        </is>
      </c>
      <c r="R3693" t="inlineStr">
        <is>
          <t>14周</t>
        </is>
      </c>
      <c r="S3693" t="inlineStr">
        <is>
          <t>2.00</t>
        </is>
      </c>
      <c r="T3693" t="inlineStr">
        <is>
          <t>运动潮玩</t>
        </is>
      </c>
      <c r="U3693" t="inlineStr">
        <is>
          <t>运动户外装备</t>
        </is>
      </c>
      <c r="V3693" s="3">
        <v>46115.998090277775</v>
      </c>
      <c r="W3693" t="inlineStr">
        <is>
          <t>2026-Q2</t>
        </is>
      </c>
    </row>
    <row r="3694" ht="25.5" customHeight="1">
      <c r="A3694" t="inlineStr">
        <is>
          <t>【工厂清仓】露露同款ebb运动舒适免穿Bra内衣固定胸垫工字背心</t>
        </is>
      </c>
      <c r="B3694" t="inlineStr">
        <is>
          <t>recvfKbRx1rxkN.jpg</t>
        </is>
      </c>
      <c r="C3694" s="2" t="str">
        <f>=HYPERLINK("https://xhslink.com/m/68G1M4uZ1Jw", "https://xhslink.com/m/68G1M4uZ1Jw")</f>
        <v>https://xhslink.com/m/68G1M4uZ1Jw</v>
      </c>
      <c r="D3694"/>
      <c r="E3694">
        <v>13000</v>
      </c>
      <c r="F3694">
        <v>79.9</v>
      </c>
      <c r="G3694">
        <v>59.9</v>
      </c>
      <c r="H3694">
        <v>100</v>
      </c>
      <c r="I3694" t="inlineStr">
        <is>
          <t>运动背心</t>
        </is>
      </c>
      <c r="J3694" t="inlineStr">
        <is>
          <t>0.01</t>
        </is>
      </c>
      <c r="K3694"/>
      <c r="L3694" t="inlineStr">
        <is>
          <t>喵一个miao的店</t>
        </is>
      </c>
      <c r="M3694">
        <v>4509</v>
      </c>
      <c r="N3694">
        <v>4.34</v>
      </c>
      <c r="O3694">
        <v>41000</v>
      </c>
      <c r="P3694" t="inlineStr">
        <is>
          <t>685e6a1456ddbd0001eadab4</t>
        </is>
      </c>
      <c r="Q3694" t="inlineStr">
        <is>
          <t>🚫重复</t>
        </is>
      </c>
      <c r="R3694" t="inlineStr">
        <is>
          <t>14周</t>
        </is>
      </c>
      <c r="S3694" t="inlineStr">
        <is>
          <t>2.88</t>
        </is>
      </c>
      <c r="T3694" t="inlineStr">
        <is>
          <t>服饰穿搭</t>
        </is>
      </c>
      <c r="U3694" t="inlineStr">
        <is>
          <t>女装</t>
        </is>
      </c>
      <c r="V3694" s="3">
        <v>46115.998090277775</v>
      </c>
      <c r="W3694" t="inlineStr">
        <is>
          <t>2026-Q2</t>
        </is>
      </c>
    </row>
    <row r="3695" ht="25.5" customHeight="1">
      <c r="A3695" t="inlineStr">
        <is>
          <t>黑/白 蚕丝极简胸垫螺纹背心</t>
        </is>
      </c>
      <c r="B3695" t="inlineStr">
        <is>
          <t>recvfKbRx1QOO9.jpg</t>
        </is>
      </c>
      <c r="C3695" s="2" t="str">
        <f>=HYPERLINK("https://xhslink.com/m/90OmxiSGcda", "https://xhslink.com/m/90OmxiSGcda")</f>
        <v>https://xhslink.com/m/90OmxiSGcda</v>
      </c>
      <c r="D3695"/>
      <c r="E3695">
        <v>2513</v>
      </c>
      <c r="F3695">
        <v>138</v>
      </c>
      <c r="G3695"/>
      <c r="H3695">
        <v>100</v>
      </c>
      <c r="I3695" t="inlineStr">
        <is>
          <t>运动背心</t>
        </is>
      </c>
      <c r="J3695" t="inlineStr">
        <is>
          <t>0.04</t>
        </is>
      </c>
      <c r="K3695"/>
      <c r="L3695" t="inlineStr">
        <is>
          <t>你的西西儿的店</t>
        </is>
      </c>
      <c r="M3695">
        <v>39000</v>
      </c>
      <c r="N3695">
        <v>4.63</v>
      </c>
      <c r="O3695">
        <v>111000</v>
      </c>
      <c r="P3695" t="inlineStr">
        <is>
          <t>69a01134d5afea00013f05ae</t>
        </is>
      </c>
      <c r="Q3695" t="inlineStr">
        <is>
          <t>🚫重复</t>
        </is>
      </c>
      <c r="R3695" t="inlineStr">
        <is>
          <t>14周</t>
        </is>
      </c>
      <c r="S3695" t="inlineStr">
        <is>
          <t>0.06</t>
        </is>
      </c>
      <c r="T3695" t="inlineStr">
        <is>
          <t>服饰穿搭</t>
        </is>
      </c>
      <c r="U3695" t="inlineStr">
        <is>
          <t>女装</t>
        </is>
      </c>
      <c r="V3695" s="3">
        <v>46115.998090277775</v>
      </c>
      <c r="W3695" t="inlineStr">
        <is>
          <t>2026-Q2</t>
        </is>
      </c>
    </row>
    <row r="3696" ht="25.5" customHeight="1">
      <c r="A3696" t="inlineStr">
        <is>
          <t>CrzYoga · 中强度运动背心 挂脖瑜伽内衣健身训练 | Butterluxe黄油</t>
        </is>
      </c>
      <c r="B3696" t="inlineStr">
        <is>
          <t>recvfKbRx14LN2.jpg</t>
        </is>
      </c>
      <c r="C3696" s="2" t="str">
        <f>=HYPERLINK("https://xhslink.com/m/3VFZ1Q12oRG", "https://xhslink.com/m/3VFZ1Q12oRG")</f>
        <v>https://xhslink.com/m/3VFZ1Q12oRG</v>
      </c>
      <c r="D3696"/>
      <c r="E3696">
        <v>5259</v>
      </c>
      <c r="F3696">
        <v>159</v>
      </c>
      <c r="G3696"/>
      <c r="H3696">
        <v>100</v>
      </c>
      <c r="I3696" t="inlineStr">
        <is>
          <t>运动背心</t>
        </is>
      </c>
      <c r="J3696" t="inlineStr">
        <is>
          <t>0.02</t>
        </is>
      </c>
      <c r="K3696"/>
      <c r="L3696" t="inlineStr">
        <is>
          <t>CrzYoga旗舰店</t>
        </is>
      </c>
      <c r="M3696">
        <v>23000</v>
      </c>
      <c r="N3696">
        <v>4.67</v>
      </c>
      <c r="O3696">
        <v>107000</v>
      </c>
      <c r="P3696" t="inlineStr">
        <is>
          <t>676cc4d180b1540001f826f0</t>
        </is>
      </c>
      <c r="Q3696" t="inlineStr">
        <is>
          <t>🚫重复</t>
        </is>
      </c>
      <c r="R3696" t="inlineStr">
        <is>
          <t>14周</t>
        </is>
      </c>
      <c r="S3696" t="inlineStr">
        <is>
          <t>0.23</t>
        </is>
      </c>
      <c r="T3696" t="inlineStr">
        <is>
          <t>运动潮玩</t>
        </is>
      </c>
      <c r="U3696" t="inlineStr">
        <is>
          <t>运动户外装备</t>
        </is>
      </c>
      <c r="V3696" s="3">
        <v>46115.998090277775</v>
      </c>
      <c r="W3696" t="inlineStr">
        <is>
          <t>2026-Q2</t>
        </is>
      </c>
    </row>
    <row r="3697" ht="25.5" customHeight="1">
      <c r="A3697" t="inlineStr">
        <is>
          <t>遮副乳简约百搭休闲背心视觉显手臂纤细</t>
        </is>
      </c>
      <c r="B3697" t="inlineStr">
        <is>
          <t>recvfKbRx1OjVR.jpg</t>
        </is>
      </c>
      <c r="C3697" s="2" t="str">
        <f>=HYPERLINK("https://xhslink.com/m/7dDaASZlt7P", "https://xhslink.com/m/7dDaASZlt7P")</f>
        <v>https://xhslink.com/m/7dDaASZlt7P</v>
      </c>
      <c r="D3697"/>
      <c r="E3697">
        <v>573</v>
      </c>
      <c r="F3697">
        <v>69.9</v>
      </c>
      <c r="G3697"/>
      <c r="H3697">
        <v>100</v>
      </c>
      <c r="I3697" t="inlineStr">
        <is>
          <t>运动背心</t>
        </is>
      </c>
      <c r="J3697" t="inlineStr">
        <is>
          <t>0.17</t>
        </is>
      </c>
      <c r="K3697"/>
      <c r="L3697" t="inlineStr">
        <is>
          <t>我是阿星呀的店</t>
        </is>
      </c>
      <c r="M3697">
        <v>5344</v>
      </c>
      <c r="N3697">
        <v>4.58</v>
      </c>
      <c r="O3697">
        <v>52000</v>
      </c>
      <c r="P3697" t="inlineStr">
        <is>
          <t>698e963264479e000190d928</t>
        </is>
      </c>
      <c r="Q3697"/>
      <c r="R3697" t="inlineStr">
        <is>
          <t>14周</t>
        </is>
      </c>
      <c r="S3697" t="inlineStr">
        <is>
          <t>0.11</t>
        </is>
      </c>
      <c r="T3697" t="inlineStr">
        <is>
          <t>服饰穿搭</t>
        </is>
      </c>
      <c r="U3697" t="inlineStr">
        <is>
          <t>女装</t>
        </is>
      </c>
      <c r="V3697" s="3">
        <v>46115.998090277775</v>
      </c>
      <c r="W3697" t="inlineStr">
        <is>
          <t>2026-Q2</t>
        </is>
      </c>
    </row>
    <row r="3698" ht="25.5" customHeight="1">
      <c r="A3698" t="inlineStr">
        <is>
          <t>20周年日系甜美千金大小姐蝴蝶结无袖蓬蓬裙连衣裙收腰中长裙</t>
        </is>
      </c>
      <c r="B3698" t="inlineStr">
        <is>
          <t>recvfKbRx1jEP1.jpg</t>
        </is>
      </c>
      <c r="C3698" s="2" t="str">
        <f>=HYPERLINK("https://xhslink.com/m/135HPqQIEWD", "https://xhslink.com/m/135HPqQIEWD")</f>
        <v>https://xhslink.com/m/135HPqQIEWD</v>
      </c>
      <c r="D3698"/>
      <c r="E3698">
        <v>5088</v>
      </c>
      <c r="F3698">
        <v>288</v>
      </c>
      <c r="G3698">
        <v>238</v>
      </c>
      <c r="H3698">
        <v>100</v>
      </c>
      <c r="I3698" t="inlineStr">
        <is>
          <t>裙子</t>
        </is>
      </c>
      <c r="J3698" t="inlineStr">
        <is>
          <t>0.02</t>
        </is>
      </c>
      <c r="K3698"/>
      <c r="L3698" t="inlineStr">
        <is>
          <t>是周公子的店</t>
        </is>
      </c>
      <c r="M3698">
        <v>29000</v>
      </c>
      <c r="N3698">
        <v>4.22</v>
      </c>
      <c r="O3698">
        <v>122000</v>
      </c>
      <c r="P3698" t="inlineStr">
        <is>
          <t>683f1bf8ad85e20001f4ba6c</t>
        </is>
      </c>
      <c r="Q3698"/>
      <c r="R3698" t="inlineStr">
        <is>
          <t>14周</t>
        </is>
      </c>
      <c r="S3698" t="inlineStr">
        <is>
          <t>0.18</t>
        </is>
      </c>
      <c r="T3698" t="inlineStr">
        <is>
          <t>服饰穿搭</t>
        </is>
      </c>
      <c r="U3698" t="inlineStr">
        <is>
          <t>女装</t>
        </is>
      </c>
      <c r="V3698" s="3">
        <v>46115.998090277775</v>
      </c>
      <c r="W3698" t="inlineStr">
        <is>
          <t>2026-Q2</t>
        </is>
      </c>
    </row>
    <row r="3699" ht="25.5" customHeight="1">
      <c r="A3699" t="inlineStr">
        <is>
          <t>【樱桃小苹果】云南新鲜现摘脆甜野生小苹果糖心苹果当季孕妇水果</t>
        </is>
      </c>
      <c r="B3699" t="inlineStr">
        <is>
          <t>recvfKbRx1s6NC.jpg</t>
        </is>
      </c>
      <c r="C3699" s="2" t="str">
        <f>=HYPERLINK("https://xhslink.com/m/AHxI3RT7vj8", "https://xhslink.com/m/AHxI3RT7vj8")</f>
        <v>https://xhslink.com/m/AHxI3RT7vj8</v>
      </c>
      <c r="D3699"/>
      <c r="E3699">
        <v>148000</v>
      </c>
      <c r="F3699">
        <v>33.9</v>
      </c>
      <c r="G3699">
        <v>13.9</v>
      </c>
      <c r="H3699">
        <v>100</v>
      </c>
      <c r="I3699" t="inlineStr">
        <is>
          <t>水果</t>
        </is>
      </c>
      <c r="J3699" t="inlineStr">
        <is>
          <t>0.00</t>
        </is>
      </c>
      <c r="K3699" t="inlineStr">
        <is>
          <t>🔥低粉爆款</t>
        </is>
      </c>
      <c r="L3699" t="inlineStr">
        <is>
          <t>果壹生鲜的店</t>
        </is>
      </c>
      <c r="M3699">
        <v>814</v>
      </c>
      <c r="N3699">
        <v>4.48</v>
      </c>
      <c r="O3699">
        <v>356000</v>
      </c>
      <c r="P3699" t="inlineStr">
        <is>
          <t>68f840cee0f3b20001c0dbf4</t>
        </is>
      </c>
      <c r="Q3699" t="inlineStr">
        <is>
          <t>🚫重复</t>
        </is>
      </c>
      <c r="R3699" t="inlineStr">
        <is>
          <t>14周</t>
        </is>
      </c>
      <c r="S3699" t="inlineStr">
        <is>
          <t>181.82</t>
        </is>
      </c>
      <c r="T3699" t="inlineStr">
        <is>
          <t>美食滋补</t>
        </is>
      </c>
      <c r="U3699" t="inlineStr">
        <is>
          <t>生鲜特产</t>
        </is>
      </c>
      <c r="V3699" s="3">
        <v>46115.998090277775</v>
      </c>
      <c r="W3699" t="inlineStr">
        <is>
          <t>2026-Q2</t>
        </is>
      </c>
    </row>
    <row r="3700" ht="25.5" customHeight="1">
      <c r="A3700" t="inlineStr">
        <is>
          <t>【顺丰空运】攀枝花 花香蓝莓25号浆果之王又脆又甜</t>
        </is>
      </c>
      <c r="B3700" t="inlineStr">
        <is>
          <t>recvfKbRx1viEE.jpg</t>
        </is>
      </c>
      <c r="C3700" s="2" t="str">
        <f>=HYPERLINK("https://xhslink.com/m/9WOLz1bE7Sc", "https://xhslink.com/m/9WOLz1bE7Sc")</f>
        <v>https://xhslink.com/m/9WOLz1bE7Sc</v>
      </c>
      <c r="D3700"/>
      <c r="E3700">
        <v>100000</v>
      </c>
      <c r="F3700">
        <v>76.9</v>
      </c>
      <c r="G3700">
        <v>66.9</v>
      </c>
      <c r="H3700">
        <v>100</v>
      </c>
      <c r="I3700" t="inlineStr">
        <is>
          <t>水果</t>
        </is>
      </c>
      <c r="J3700" t="inlineStr">
        <is>
          <t>0.00</t>
        </is>
      </c>
      <c r="K3700"/>
      <c r="L3700" t="inlineStr">
        <is>
          <t>李丹丹DDD的店</t>
        </is>
      </c>
      <c r="M3700">
        <v>77000</v>
      </c>
      <c r="N3700">
        <v>4.49</v>
      </c>
      <c r="O3700">
        <v>969000</v>
      </c>
      <c r="P3700" t="inlineStr">
        <is>
          <t>6622748b06b3ae0001940632</t>
        </is>
      </c>
      <c r="Q3700" t="inlineStr">
        <is>
          <t>🚫重复</t>
        </is>
      </c>
      <c r="R3700" t="inlineStr">
        <is>
          <t>14周</t>
        </is>
      </c>
      <c r="S3700" t="inlineStr">
        <is>
          <t>1.30</t>
        </is>
      </c>
      <c r="T3700" t="inlineStr">
        <is>
          <t>美食滋补</t>
        </is>
      </c>
      <c r="U3700" t="inlineStr">
        <is>
          <t>生鲜特产</t>
        </is>
      </c>
      <c r="V3700" s="3">
        <v>46115.998090277775</v>
      </c>
      <c r="W3700" t="inlineStr">
        <is>
          <t>2026-Q2</t>
        </is>
      </c>
    </row>
    <row r="3701" ht="25.5" customHeight="1">
      <c r="A3701" t="inlineStr">
        <is>
          <t>2025年新果·山东维纳斯黄金苹果~酥脆纯甜！顺丰到家</t>
        </is>
      </c>
      <c r="B3701" t="inlineStr">
        <is>
          <t>recvfKbRx1j8kJ.jpg</t>
        </is>
      </c>
      <c r="C3701" s="2" t="str">
        <f>=HYPERLINK("https://xhslink.com/m/A3yIwXTPrO", "https://xhslink.com/m/A3yIwXTPrO")</f>
        <v>https://xhslink.com/m/A3yIwXTPrO</v>
      </c>
      <c r="D3701"/>
      <c r="E3701">
        <v>252000</v>
      </c>
      <c r="F3701">
        <v>55.8</v>
      </c>
      <c r="G3701">
        <v>45.8</v>
      </c>
      <c r="H3701">
        <v>100</v>
      </c>
      <c r="I3701" t="inlineStr">
        <is>
          <t>水果</t>
        </is>
      </c>
      <c r="J3701" t="inlineStr">
        <is>
          <t>0.00</t>
        </is>
      </c>
      <c r="K3701" t="inlineStr">
        <is>
          <t>🔥低粉爆款</t>
        </is>
      </c>
      <c r="L3701" t="inlineStr">
        <is>
          <t>沂蒙山桃状元的店</t>
        </is>
      </c>
      <c r="M3701">
        <v>9552</v>
      </c>
      <c r="N3701">
        <v>4.75</v>
      </c>
      <c r="O3701">
        <v>223000</v>
      </c>
      <c r="P3701" t="inlineStr">
        <is>
          <t>68d8e851ed3b2f0001d7568d</t>
        </is>
      </c>
      <c r="Q3701" t="inlineStr">
        <is>
          <t>🚫重复</t>
        </is>
      </c>
      <c r="R3701" t="inlineStr">
        <is>
          <t>14周</t>
        </is>
      </c>
      <c r="S3701" t="inlineStr">
        <is>
          <t>26.38</t>
        </is>
      </c>
      <c r="T3701" t="inlineStr">
        <is>
          <t>美食滋补</t>
        </is>
      </c>
      <c r="U3701" t="inlineStr">
        <is>
          <t>生鲜特产</t>
        </is>
      </c>
      <c r="V3701" s="3">
        <v>46115.998090277775</v>
      </c>
      <c r="W3701" t="inlineStr">
        <is>
          <t>2026-Q2</t>
        </is>
      </c>
    </row>
    <row r="3702" ht="25.5" customHeight="1">
      <c r="A3702" t="inlineStr">
        <is>
          <t>萌系软妹小飞袖睡衣ins夏日新款带胸垫可爱腊肠狗少女家居服套装</t>
        </is>
      </c>
      <c r="B3702" t="inlineStr">
        <is>
          <t>recvfKbRx12Vdc.jpg</t>
        </is>
      </c>
      <c r="C3702" s="2" t="str">
        <f>=HYPERLINK("https://xhslink.com/m/9S9f9DkoKsy", "https://xhslink.com/m/9S9f9DkoKsy")</f>
        <v>https://xhslink.com/m/9S9f9DkoKsy</v>
      </c>
      <c r="D3702"/>
      <c r="E3702">
        <v>1585</v>
      </c>
      <c r="F3702">
        <v>59.9</v>
      </c>
      <c r="G3702">
        <v>39.9</v>
      </c>
      <c r="H3702">
        <v>100</v>
      </c>
      <c r="I3702" t="inlineStr">
        <is>
          <t>夏季睡衣</t>
        </is>
      </c>
      <c r="J3702" t="inlineStr">
        <is>
          <t>0.06</t>
        </is>
      </c>
      <c r="K3702"/>
      <c r="L3702" t="inlineStr">
        <is>
          <t>甜心橘的店</t>
        </is>
      </c>
      <c r="M3702">
        <v>1301</v>
      </c>
      <c r="N3702">
        <v>4.59</v>
      </c>
      <c r="O3702">
        <v>8301</v>
      </c>
      <c r="P3702" t="inlineStr">
        <is>
          <t>6873ffcd3f6e4500016a0af1</t>
        </is>
      </c>
      <c r="Q3702" t="inlineStr">
        <is>
          <t>🚫重复</t>
        </is>
      </c>
      <c r="R3702" t="inlineStr">
        <is>
          <t>14周</t>
        </is>
      </c>
      <c r="S3702" t="inlineStr">
        <is>
          <t>1.22</t>
        </is>
      </c>
      <c r="T3702" t="inlineStr">
        <is>
          <t>服饰穿搭</t>
        </is>
      </c>
      <c r="U3702" t="inlineStr">
        <is>
          <t>女装</t>
        </is>
      </c>
      <c r="V3702" s="3">
        <v>46115.998090277775</v>
      </c>
      <c r="W3702" t="inlineStr">
        <is>
          <t>2026-Q2</t>
        </is>
      </c>
    </row>
    <row r="3703" ht="25.5" customHeight="1">
      <c r="A3703" t="inlineStr">
        <is>
          <t>泡芙小狗新款五分袖短裤圆领泡泡棉睡衣女春夏季可爱家居服套装</t>
        </is>
      </c>
      <c r="B3703" t="inlineStr">
        <is>
          <t>recvfKbRx1vPqe.jpg</t>
        </is>
      </c>
      <c r="C3703" s="2" t="str">
        <f>=HYPERLINK("https://xhslink.com/m/5fuhIxvundY", "https://xhslink.com/m/5fuhIxvundY")</f>
        <v>https://xhslink.com/m/5fuhIxvundY</v>
      </c>
      <c r="D3703"/>
      <c r="E3703">
        <v>57000</v>
      </c>
      <c r="F3703">
        <v>79.9</v>
      </c>
      <c r="G3703">
        <v>49.9</v>
      </c>
      <c r="H3703">
        <v>100</v>
      </c>
      <c r="I3703" t="inlineStr">
        <is>
          <t>夏季睡衣</t>
        </is>
      </c>
      <c r="J3703" t="inlineStr">
        <is>
          <t>0.00</t>
        </is>
      </c>
      <c r="K3703" t="inlineStr">
        <is>
          <t>🔥低粉爆款</t>
        </is>
      </c>
      <c r="L3703" t="inlineStr">
        <is>
          <t>圆圆也的店</t>
        </is>
      </c>
      <c r="M3703">
        <v>10000</v>
      </c>
      <c r="N3703">
        <v>4.13</v>
      </c>
      <c r="O3703">
        <v>175000</v>
      </c>
      <c r="P3703" t="inlineStr">
        <is>
          <t>67f7d199ec1374000121cc75</t>
        </is>
      </c>
      <c r="Q3703" t="inlineStr">
        <is>
          <t>🚫重复</t>
        </is>
      </c>
      <c r="R3703" t="inlineStr">
        <is>
          <t>14周</t>
        </is>
      </c>
      <c r="S3703" t="inlineStr">
        <is>
          <t>5.70</t>
        </is>
      </c>
      <c r="T3703" t="inlineStr">
        <is>
          <t>服饰穿搭</t>
        </is>
      </c>
      <c r="U3703" t="inlineStr">
        <is>
          <t>女装</t>
        </is>
      </c>
      <c r="V3703" s="3">
        <v>46115.998090277775</v>
      </c>
      <c r="W3703" t="inlineStr">
        <is>
          <t>2026-Q2</t>
        </is>
      </c>
    </row>
    <row r="3704" ht="25.5" customHeight="1">
      <c r="A3704" t="inlineStr">
        <is>
          <t>【奶芙兔叽】夏季圆领带胸垫泡泡棉软萌可爱睡衣女家居服套装</t>
        </is>
      </c>
      <c r="B3704" t="inlineStr">
        <is>
          <t>recvfKbRx1YGH5.jpg</t>
        </is>
      </c>
      <c r="C3704" s="2" t="str">
        <f>=HYPERLINK("https://xhslink.com/m/3xBFVxc6zxu", "https://xhslink.com/m/3xBFVxc6zxu")</f>
        <v>https://xhslink.com/m/3xBFVxc6zxu</v>
      </c>
      <c r="D3704"/>
      <c r="E3704">
        <v>28000</v>
      </c>
      <c r="F3704">
        <v>84.9</v>
      </c>
      <c r="G3704">
        <v>59.9</v>
      </c>
      <c r="H3704">
        <v>100</v>
      </c>
      <c r="I3704" t="inlineStr">
        <is>
          <t>夏季睡衣</t>
        </is>
      </c>
      <c r="J3704" t="inlineStr">
        <is>
          <t>0.00</t>
        </is>
      </c>
      <c r="K3704"/>
      <c r="L3704" t="inlineStr">
        <is>
          <t>哇趣芥末美的店</t>
        </is>
      </c>
      <c r="M3704">
        <v>31000</v>
      </c>
      <c r="N3704">
        <v>4.59</v>
      </c>
      <c r="O3704">
        <v>280000</v>
      </c>
      <c r="P3704" t="inlineStr">
        <is>
          <t>6818c1e87992330001b188c8</t>
        </is>
      </c>
      <c r="Q3704" t="inlineStr">
        <is>
          <t>🚫重复</t>
        </is>
      </c>
      <c r="R3704" t="inlineStr">
        <is>
          <t>14周</t>
        </is>
      </c>
      <c r="S3704" t="inlineStr">
        <is>
          <t>0.90</t>
        </is>
      </c>
      <c r="T3704" t="inlineStr">
        <is>
          <t>服饰穿搭</t>
        </is>
      </c>
      <c r="U3704" t="inlineStr">
        <is>
          <t>女装</t>
        </is>
      </c>
      <c r="V3704" s="3">
        <v>46115.998090277775</v>
      </c>
      <c r="W3704" t="inlineStr">
        <is>
          <t>2026-Q2</t>
        </is>
      </c>
    </row>
    <row r="3705" ht="25.5" customHeight="1">
      <c r="A3705" t="inlineStr">
        <is>
          <t>轻音少女x轻松熊睡衣女夏季纯棉短袖卡通满印学生外穿显白家居服</t>
        </is>
      </c>
      <c r="B3705" t="inlineStr">
        <is>
          <t>recvfKbRx1kiOE.jpg</t>
        </is>
      </c>
      <c r="C3705" s="2" t="str">
        <f>=HYPERLINK("https://xhslink.com/m/7jxDBeYMjoF", "https://xhslink.com/m/7jxDBeYMjoF")</f>
        <v>https://xhslink.com/m/7jxDBeYMjoF</v>
      </c>
      <c r="D3705"/>
      <c r="E3705">
        <v>2579</v>
      </c>
      <c r="F3705">
        <v>99.8</v>
      </c>
      <c r="G3705">
        <v>69.8</v>
      </c>
      <c r="H3705">
        <v>100</v>
      </c>
      <c r="I3705" t="inlineStr">
        <is>
          <t>夏季睡衣</t>
        </is>
      </c>
      <c r="J3705" t="inlineStr">
        <is>
          <t>0.04</t>
        </is>
      </c>
      <c r="K3705"/>
      <c r="L3705" t="inlineStr">
        <is>
          <t>郭郭不摆烂的店</t>
        </is>
      </c>
      <c r="M3705">
        <v>212000</v>
      </c>
      <c r="N3705">
        <v>4.37</v>
      </c>
      <c r="O3705">
        <v>235000</v>
      </c>
      <c r="P3705" t="inlineStr">
        <is>
          <t>689b33f0d3dd4d000117e856</t>
        </is>
      </c>
      <c r="Q3705"/>
      <c r="R3705" t="inlineStr">
        <is>
          <t>14周</t>
        </is>
      </c>
      <c r="S3705" t="inlineStr">
        <is>
          <t>0.01</t>
        </is>
      </c>
      <c r="T3705" t="inlineStr">
        <is>
          <t>服饰穿搭</t>
        </is>
      </c>
      <c r="U3705" t="inlineStr">
        <is>
          <t>女装</t>
        </is>
      </c>
      <c r="V3705" s="3">
        <v>46115.998090277775</v>
      </c>
      <c r="W3705" t="inlineStr">
        <is>
          <t>2026-Q2</t>
        </is>
      </c>
    </row>
    <row r="3706" ht="25.5" customHeight="1">
      <c r="A3706" t="inlineStr">
        <is>
          <t>OTHER · 【前2万单立减20】天丝牛仔裤女秋冬加绒直筒宽松慵懒百搭阔腿裤</t>
        </is>
      </c>
      <c r="B3706" t="inlineStr">
        <is>
          <t>recvfKbRx1LH8D.jpg</t>
        </is>
      </c>
      <c r="C3706" s="2" t="str">
        <f>=HYPERLINK("https://xhslink.com/m/1q0LSHe1Gmg", "https://xhslink.com/m/1q0LSHe1Gmg")</f>
        <v>https://xhslink.com/m/1q0LSHe1Gmg</v>
      </c>
      <c r="D3706"/>
      <c r="E3706">
        <v>17000</v>
      </c>
      <c r="F3706">
        <v>89.9</v>
      </c>
      <c r="G3706">
        <v>67.9</v>
      </c>
      <c r="H3706">
        <v>100</v>
      </c>
      <c r="I3706" t="inlineStr">
        <is>
          <t>裤子</t>
        </is>
      </c>
      <c r="J3706" t="inlineStr">
        <is>
          <t>0.01</t>
        </is>
      </c>
      <c r="K3706" t="inlineStr">
        <is>
          <t>🔥低粉爆款</t>
        </is>
      </c>
      <c r="L3706" t="inlineStr">
        <is>
          <t>晴晴子穿搭日记的店</t>
        </is>
      </c>
      <c r="M3706">
        <v>1803</v>
      </c>
      <c r="N3706">
        <v>4.57</v>
      </c>
      <c r="O3706">
        <v>20000</v>
      </c>
      <c r="P3706" t="inlineStr">
        <is>
          <t>67f5f4aeb6240c0015847343</t>
        </is>
      </c>
      <c r="Q3706"/>
      <c r="R3706" t="inlineStr">
        <is>
          <t>14周</t>
        </is>
      </c>
      <c r="S3706" t="inlineStr">
        <is>
          <t>9.43</t>
        </is>
      </c>
      <c r="T3706" t="inlineStr">
        <is>
          <t>服饰穿搭</t>
        </is>
      </c>
      <c r="U3706" t="inlineStr">
        <is>
          <t>女装</t>
        </is>
      </c>
      <c r="V3706" s="3">
        <v>46115.998090277775</v>
      </c>
      <c r="W3706" t="inlineStr">
        <is>
          <t>2026-Q2</t>
        </is>
      </c>
    </row>
    <row r="3707" ht="25.5" customHeight="1">
      <c r="A3707" t="inlineStr">
        <is>
          <t>【下个路口】高弹力复古爆款春夏直筒牛仔裤女2026新款显瘦窄版裤</t>
        </is>
      </c>
      <c r="B3707" t="inlineStr">
        <is>
          <t>recvfKbRx17V9J.jpg</t>
        </is>
      </c>
      <c r="C3707" s="2" t="str">
        <f>=HYPERLINK("https://xhslink.com/m/4i5cn9YVTvU", "https://xhslink.com/m/4i5cn9YVTvU")</f>
        <v>https://xhslink.com/m/4i5cn9YVTvU</v>
      </c>
      <c r="D3707"/>
      <c r="E3707">
        <v>88000</v>
      </c>
      <c r="F3707">
        <v>79.99</v>
      </c>
      <c r="G3707"/>
      <c r="H3707">
        <v>100</v>
      </c>
      <c r="I3707" t="inlineStr">
        <is>
          <t>裤子</t>
        </is>
      </c>
      <c r="J3707" t="inlineStr">
        <is>
          <t>0.00</t>
        </is>
      </c>
      <c r="K3707"/>
      <c r="L3707" t="inlineStr">
        <is>
          <t>李空空的店</t>
        </is>
      </c>
      <c r="M3707">
        <v>103000</v>
      </c>
      <c r="N3707">
        <v>4.6</v>
      </c>
      <c r="O3707">
        <v>563000</v>
      </c>
      <c r="P3707" t="inlineStr">
        <is>
          <t>66b9f3fbbac077000157132f</t>
        </is>
      </c>
      <c r="Q3707" t="inlineStr">
        <is>
          <t>🚫重复</t>
        </is>
      </c>
      <c r="R3707" t="inlineStr">
        <is>
          <t>14周</t>
        </is>
      </c>
      <c r="S3707" t="inlineStr">
        <is>
          <t>0.85</t>
        </is>
      </c>
      <c r="T3707" t="inlineStr">
        <is>
          <t>服饰穿搭</t>
        </is>
      </c>
      <c r="U3707" t="inlineStr">
        <is>
          <t>女装</t>
        </is>
      </c>
      <c r="V3707" s="3">
        <v>46115.998090277775</v>
      </c>
      <c r="W3707" t="inlineStr">
        <is>
          <t>2026-Q2</t>
        </is>
      </c>
    </row>
    <row r="3708" ht="25.5" customHeight="1">
      <c r="A3708" t="inlineStr">
        <is>
          <t>浅蓝色高腰喇叭牛仔裤女2026年春高腰显瘦设计感辣妹喇叭裤子9662</t>
        </is>
      </c>
      <c r="B3708" t="inlineStr">
        <is>
          <t>recvfKbRx1aqfV.jpg</t>
        </is>
      </c>
      <c r="C3708" s="2" t="str">
        <f>=HYPERLINK("https://xhslink.com/m/AfmKgwsqmJ7", "https://xhslink.com/m/AfmKgwsqmJ7")</f>
        <v>https://xhslink.com/m/AfmKgwsqmJ7</v>
      </c>
      <c r="D3708"/>
      <c r="E3708">
        <v>9930</v>
      </c>
      <c r="F3708">
        <v>129.9</v>
      </c>
      <c r="G3708">
        <v>89.9</v>
      </c>
      <c r="H3708">
        <v>100</v>
      </c>
      <c r="I3708" t="inlineStr">
        <is>
          <t>裤子</t>
        </is>
      </c>
      <c r="J3708" t="inlineStr">
        <is>
          <t>0.01</t>
        </is>
      </c>
      <c r="K3708"/>
      <c r="L3708" t="inlineStr">
        <is>
          <t>是李七七吖的店</t>
        </is>
      </c>
      <c r="M3708">
        <v>3404</v>
      </c>
      <c r="N3708">
        <v>4.68</v>
      </c>
      <c r="O3708">
        <v>24000</v>
      </c>
      <c r="P3708" t="inlineStr">
        <is>
          <t>65edba92ed4b070001fae139</t>
        </is>
      </c>
      <c r="Q3708"/>
      <c r="R3708" t="inlineStr">
        <is>
          <t>14周</t>
        </is>
      </c>
      <c r="S3708" t="inlineStr">
        <is>
          <t>2.92</t>
        </is>
      </c>
      <c r="T3708" t="inlineStr">
        <is>
          <t>服饰穿搭</t>
        </is>
      </c>
      <c r="U3708" t="inlineStr">
        <is>
          <t>女装</t>
        </is>
      </c>
      <c r="V3708" s="3">
        <v>46115.998090277775</v>
      </c>
      <c r="W3708" t="inlineStr">
        <is>
          <t>2026-Q2</t>
        </is>
      </c>
    </row>
    <row r="3709" ht="25.5" customHeight="1">
      <c r="A3709" t="inlineStr">
        <is>
          <t>OOHSHARE 简约系刺绣工装休闲裤——直播同价</t>
        </is>
      </c>
      <c r="B3709" t="inlineStr">
        <is>
          <t>recvfKbRx1MOE2.jpg</t>
        </is>
      </c>
      <c r="C3709" s="2" t="str">
        <f>=HYPERLINK("https://xhslink.com/m/6h7YuVXwTl3", "https://xhslink.com/m/6h7YuVXwTl3")</f>
        <v>https://xhslink.com/m/6h7YuVXwTl3</v>
      </c>
      <c r="D3709"/>
      <c r="E3709">
        <v>3012</v>
      </c>
      <c r="F3709">
        <v>249</v>
      </c>
      <c r="G3709">
        <v>199</v>
      </c>
      <c r="H3709">
        <v>100</v>
      </c>
      <c r="I3709" t="inlineStr">
        <is>
          <t>裤子</t>
        </is>
      </c>
      <c r="J3709" t="inlineStr">
        <is>
          <t>0.03</t>
        </is>
      </c>
      <c r="K3709"/>
      <c r="L3709" t="inlineStr">
        <is>
          <t>NANO KIDS的店</t>
        </is>
      </c>
      <c r="M3709">
        <v>196000</v>
      </c>
      <c r="N3709">
        <v>4.69</v>
      </c>
      <c r="O3709">
        <v>202000</v>
      </c>
      <c r="P3709" t="inlineStr">
        <is>
          <t>6979ff022a96a000019c96de</t>
        </is>
      </c>
      <c r="Q3709"/>
      <c r="R3709" t="inlineStr">
        <is>
          <t>14周</t>
        </is>
      </c>
      <c r="S3709" t="inlineStr">
        <is>
          <t>0.02</t>
        </is>
      </c>
      <c r="T3709" t="inlineStr">
        <is>
          <t>服饰穿搭</t>
        </is>
      </c>
      <c r="U3709" t="inlineStr">
        <is>
          <t>女装</t>
        </is>
      </c>
      <c r="V3709" s="3">
        <v>46115.998090277775</v>
      </c>
      <c r="W3709" t="inlineStr">
        <is>
          <t>2026-Q2</t>
        </is>
      </c>
    </row>
    <row r="3710" ht="25.5" customHeight="1">
      <c r="A3710" t="inlineStr">
        <is>
          <t>【镇店阔腿裤】基础款百搭白色裤子黑裤子，高腰显瘦休闲风牛仔裤</t>
        </is>
      </c>
      <c r="B3710" t="inlineStr">
        <is>
          <t>recvfKbRx1I5Yp.jpg</t>
        </is>
      </c>
      <c r="C3710" s="2" t="str">
        <f>=HYPERLINK("https://xhslink.com/m/4Gfvf9ch3S1", "https://xhslink.com/m/4Gfvf9ch3S1")</f>
        <v>https://xhslink.com/m/4Gfvf9ch3S1</v>
      </c>
      <c r="D3710"/>
      <c r="E3710">
        <v>21000</v>
      </c>
      <c r="F3710">
        <v>139</v>
      </c>
      <c r="G3710">
        <v>119</v>
      </c>
      <c r="H3710">
        <v>100</v>
      </c>
      <c r="I3710" t="inlineStr">
        <is>
          <t>裤子</t>
        </is>
      </c>
      <c r="J3710" t="inlineStr">
        <is>
          <t>0.00</t>
        </is>
      </c>
      <c r="K3710" t="inlineStr">
        <is>
          <t>🔥低粉爆款</t>
        </is>
      </c>
      <c r="L3710" t="inlineStr">
        <is>
          <t>林粒粒的店</t>
        </is>
      </c>
      <c r="M3710">
        <v>6551</v>
      </c>
      <c r="N3710">
        <v>4.55</v>
      </c>
      <c r="O3710">
        <v>24000</v>
      </c>
      <c r="P3710" t="inlineStr">
        <is>
          <t>672f59671819350001189d54</t>
        </is>
      </c>
      <c r="Q3710" t="inlineStr">
        <is>
          <t>🚫重复</t>
        </is>
      </c>
      <c r="R3710" t="inlineStr">
        <is>
          <t>14周</t>
        </is>
      </c>
      <c r="S3710" t="inlineStr">
        <is>
          <t>3.21</t>
        </is>
      </c>
      <c r="T3710" t="inlineStr">
        <is>
          <t>服饰穿搭</t>
        </is>
      </c>
      <c r="U3710" t="inlineStr">
        <is>
          <t>女装</t>
        </is>
      </c>
      <c r="V3710" s="3">
        <v>46115.998090277775</v>
      </c>
      <c r="W3710" t="inlineStr">
        <is>
          <t>2026-Q2</t>
        </is>
      </c>
    </row>
    <row r="3711" ht="25.5" customHeight="1">
      <c r="A3711" t="inlineStr">
        <is>
          <t>毛毛虫原版原创•山楂陈皮茶•祛氵显 减月旨 刮氵由 通缏茶</t>
        </is>
      </c>
      <c r="B3711" t="inlineStr">
        <is>
          <t>recvfP5nJfPC5q.jpg</t>
        </is>
      </c>
      <c r="C3711" s="2" t="str">
        <f>=HYPERLINK("https://xhslink.com/m/Bb1edIM9YM", "https://xhslink.com/m/Bb1edIM9YM")</f>
        <v>https://xhslink.com/m/Bb1edIM9YM</v>
      </c>
      <c r="D3711"/>
      <c r="E3711">
        <v>23000</v>
      </c>
      <c r="F3711">
        <v>45</v>
      </c>
      <c r="G3711">
        <v>39.6</v>
      </c>
      <c r="H3711">
        <v>100</v>
      </c>
      <c r="I3711" t="inlineStr">
        <is>
          <t>养生茶</t>
        </is>
      </c>
      <c r="J3711" t="inlineStr">
        <is>
          <t>0.00</t>
        </is>
      </c>
      <c r="K3711"/>
      <c r="L3711" t="inlineStr">
        <is>
          <t>毛毛虫的减脂养生日常💛的店</t>
        </is>
      </c>
      <c r="M3711">
        <v>130000</v>
      </c>
      <c r="N3711">
        <v>4.54</v>
      </c>
      <c r="O3711">
        <v>56000</v>
      </c>
      <c r="P3711" t="inlineStr">
        <is>
          <t>68ee1bd14daabe0001c01822</t>
        </is>
      </c>
      <c r="Q3711" t="inlineStr">
        <is>
          <t>🚫重复</t>
        </is>
      </c>
      <c r="R3711" t="inlineStr">
        <is>
          <t>14周</t>
        </is>
      </c>
      <c r="S3711" t="inlineStr">
        <is>
          <t>0.18</t>
        </is>
      </c>
      <c r="T3711" t="inlineStr">
        <is>
          <t>美食滋补</t>
        </is>
      </c>
      <c r="U3711" t="inlineStr">
        <is>
          <t>酒水冲饮</t>
        </is>
      </c>
      <c r="V3711" s="3">
        <v>46116.835335648146</v>
      </c>
      <c r="W3711" t="inlineStr">
        <is>
          <t>2026-Q2</t>
        </is>
      </c>
    </row>
    <row r="3712" ht="25.5" customHeight="1">
      <c r="A3712" t="inlineStr">
        <is>
          <t>暴肌独角兽 · &lt;手作恰巴塔&gt; 意大利硬欧包西式糕点早餐即食代餐面包</t>
        </is>
      </c>
      <c r="B3712" t="inlineStr">
        <is>
          <t>recvfP5nJfoNdt.jpg</t>
        </is>
      </c>
      <c r="C3712" s="2" t="str">
        <f>=HYPERLINK("https://xhslink.com/m/1SNBR7NwVI1", "https://xhslink.com/m/1SNBR7NwVI1")</f>
        <v>https://xhslink.com/m/1SNBR7NwVI1</v>
      </c>
      <c r="D3712"/>
      <c r="E3712">
        <v>122000</v>
      </c>
      <c r="F3712">
        <v>15.9</v>
      </c>
      <c r="G3712">
        <v>11.9</v>
      </c>
      <c r="H3712">
        <v>100</v>
      </c>
      <c r="I3712" t="inlineStr">
        <is>
          <t>手作面包</t>
        </is>
      </c>
      <c r="J3712" t="inlineStr">
        <is>
          <t>0.00</t>
        </is>
      </c>
      <c r="K3712"/>
      <c r="L3712" t="inlineStr">
        <is>
          <t>暴肌独角兽旗舰店</t>
        </is>
      </c>
      <c r="M3712">
        <v>52000</v>
      </c>
      <c r="N3712">
        <v>4.49</v>
      </c>
      <c r="O3712">
        <v>1134000</v>
      </c>
      <c r="P3712" t="inlineStr">
        <is>
          <t>671b721afe853100011d6581</t>
        </is>
      </c>
      <c r="Q3712" t="inlineStr">
        <is>
          <t>🚫重复</t>
        </is>
      </c>
      <c r="R3712" t="inlineStr">
        <is>
          <t>14周</t>
        </is>
      </c>
      <c r="S3712" t="inlineStr">
        <is>
          <t>2.35</t>
        </is>
      </c>
      <c r="T3712" t="inlineStr">
        <is>
          <t>美食滋补</t>
        </is>
      </c>
      <c r="U3712" t="inlineStr">
        <is>
          <t>休闲零食</t>
        </is>
      </c>
      <c r="V3712" s="3">
        <v>46116.835335648146</v>
      </c>
      <c r="W3712" t="inlineStr">
        <is>
          <t>2026-Q2</t>
        </is>
      </c>
    </row>
    <row r="3713" ht="25.5" customHeight="1">
      <c r="A3713" t="inlineStr">
        <is>
          <t>【28.8元任选8个碱水球】手作面包碱水面包代餐下午茶贝果零食</t>
        </is>
      </c>
      <c r="B3713" t="inlineStr">
        <is>
          <t>recvfP5nJfLTRZ.jpg</t>
        </is>
      </c>
      <c r="C3713" s="2" t="str">
        <f>=HYPERLINK("https://xhslink.com/m/3uDz7cl93zq", "https://xhslink.com/m/3uDz7cl93zq")</f>
        <v>https://xhslink.com/m/3uDz7cl93zq</v>
      </c>
      <c r="D3713"/>
      <c r="E3713">
        <v>1563</v>
      </c>
      <c r="F3713">
        <v>20</v>
      </c>
      <c r="G3713">
        <v>9.1</v>
      </c>
      <c r="H3713">
        <v>100</v>
      </c>
      <c r="I3713" t="inlineStr">
        <is>
          <t>手作面包</t>
        </is>
      </c>
      <c r="J3713" t="inlineStr">
        <is>
          <t>0.06</t>
        </is>
      </c>
      <c r="K3713" t="inlineStr">
        <is>
          <t>🔥低粉爆款</t>
        </is>
      </c>
      <c r="L3713" t="inlineStr">
        <is>
          <t>麦禾一Bakery的店</t>
        </is>
      </c>
      <c r="M3713">
        <v>365</v>
      </c>
      <c r="N3713">
        <v>4.31</v>
      </c>
      <c r="O3713">
        <v>1612</v>
      </c>
      <c r="P3713" t="inlineStr">
        <is>
          <t>69ba1b0f7c9c8f000192953f</t>
        </is>
      </c>
      <c r="Q3713" t="inlineStr">
        <is>
          <t>🚫重复</t>
        </is>
      </c>
      <c r="R3713" t="inlineStr">
        <is>
          <t>14周</t>
        </is>
      </c>
      <c r="S3713" t="inlineStr">
        <is>
          <t>4.28</t>
        </is>
      </c>
      <c r="T3713" t="inlineStr">
        <is>
          <t>美食滋补</t>
        </is>
      </c>
      <c r="U3713" t="inlineStr">
        <is>
          <t>休闲零食</t>
        </is>
      </c>
      <c r="V3713" s="3">
        <v>46116.835335648146</v>
      </c>
      <c r="W3713" t="inlineStr">
        <is>
          <t>2026-Q2</t>
        </is>
      </c>
    </row>
    <row r="3714" ht="25.5" customHeight="1">
      <c r="A3714" t="inlineStr">
        <is>
          <t>手作恰巴塔意式硬面包咸口无蔗糖代餐饱腹即食早餐现做现发【包邮</t>
        </is>
      </c>
      <c r="B3714" t="inlineStr">
        <is>
          <t>recvfP5nJfCBWE.jpg</t>
        </is>
      </c>
      <c r="C3714" s="2" t="str">
        <f>=HYPERLINK("https://xhslink.com/m/9SUAeVPJlGA", "https://xhslink.com/m/9SUAeVPJlGA")</f>
        <v>https://xhslink.com/m/9SUAeVPJlGA</v>
      </c>
      <c r="D3714"/>
      <c r="E3714">
        <v>7219</v>
      </c>
      <c r="F3714">
        <v>38.8</v>
      </c>
      <c r="G3714">
        <v>26.8</v>
      </c>
      <c r="H3714">
        <v>100</v>
      </c>
      <c r="I3714" t="inlineStr">
        <is>
          <t>手作面包</t>
        </is>
      </c>
      <c r="J3714" t="inlineStr">
        <is>
          <t>0.01</t>
        </is>
      </c>
      <c r="K3714" t="inlineStr">
        <is>
          <t>🔥低粉爆款</t>
        </is>
      </c>
      <c r="L3714" t="inlineStr">
        <is>
          <t>糖师傅说的店</t>
        </is>
      </c>
      <c r="M3714">
        <v>655</v>
      </c>
      <c r="N3714">
        <v>4.77</v>
      </c>
      <c r="O3714">
        <v>8950</v>
      </c>
      <c r="P3714" t="inlineStr">
        <is>
          <t>689da07e1745f60001d6465c</t>
        </is>
      </c>
      <c r="Q3714" t="inlineStr">
        <is>
          <t>🚫重复</t>
        </is>
      </c>
      <c r="R3714" t="inlineStr">
        <is>
          <t>14周</t>
        </is>
      </c>
      <c r="S3714" t="inlineStr">
        <is>
          <t>11.02</t>
        </is>
      </c>
      <c r="T3714" t="inlineStr">
        <is>
          <t>美食滋补</t>
        </is>
      </c>
      <c r="U3714" t="inlineStr">
        <is>
          <t>休闲零食</t>
        </is>
      </c>
      <c r="V3714" s="3">
        <v>46116.835335648146</v>
      </c>
      <c r="W3714" t="inlineStr">
        <is>
          <t>2026-Q2</t>
        </is>
      </c>
    </row>
    <row r="3715" ht="25.5" customHeight="1">
      <c r="A3715" t="inlineStr">
        <is>
          <t>【新年福利】手作乳酪碱水面包健身早餐代餐现做现发</t>
        </is>
      </c>
      <c r="B3715" t="inlineStr">
        <is>
          <t>recvfP5nJf8GXv.jpg</t>
        </is>
      </c>
      <c r="C3715" s="2" t="str">
        <f>=HYPERLINK("https://xhslink.com/m/3fsbDD0xFzJ", "https://xhslink.com/m/3fsbDD0xFzJ")</f>
        <v>https://xhslink.com/m/3fsbDD0xFzJ</v>
      </c>
      <c r="D3715"/>
      <c r="E3715">
        <v>411</v>
      </c>
      <c r="F3715">
        <v>25.8</v>
      </c>
      <c r="G3715">
        <v>18.8</v>
      </c>
      <c r="H3715">
        <v>100</v>
      </c>
      <c r="I3715" t="inlineStr">
        <is>
          <t>手作面包</t>
        </is>
      </c>
      <c r="J3715" t="inlineStr">
        <is>
          <t>0.24</t>
        </is>
      </c>
      <c r="K3715"/>
      <c r="L3715" t="inlineStr">
        <is>
          <t>粟合斋手工烘焙的店</t>
        </is>
      </c>
      <c r="M3715">
        <v>309</v>
      </c>
      <c r="N3715">
        <v>4.24</v>
      </c>
      <c r="O3715">
        <v>6394</v>
      </c>
      <c r="P3715" t="inlineStr">
        <is>
          <t>6931953c14f9d8000136830a</t>
        </is>
      </c>
      <c r="Q3715"/>
      <c r="R3715" t="inlineStr">
        <is>
          <t>14周</t>
        </is>
      </c>
      <c r="S3715" t="inlineStr">
        <is>
          <t>1.33</t>
        </is>
      </c>
      <c r="T3715" t="inlineStr">
        <is>
          <t>美食滋补</t>
        </is>
      </c>
      <c r="U3715" t="inlineStr">
        <is>
          <t>休闲零食</t>
        </is>
      </c>
      <c r="V3715" s="3">
        <v>46116.835335648146</v>
      </c>
      <c r="W3715" t="inlineStr">
        <is>
          <t>2026-Q2</t>
        </is>
      </c>
    </row>
    <row r="3716" ht="25.5" customHeight="1">
      <c r="A3716" t="inlineStr">
        <is>
          <t>Doar · 法式复古时尚轻奢简约hoop素耳环</t>
        </is>
      </c>
      <c r="B3716" t="inlineStr">
        <is>
          <t>recvfP5nJfFksg.jpg</t>
        </is>
      </c>
      <c r="C3716" s="2" t="str">
        <f>=HYPERLINK("https://xhslink.com/m/1D3Qm5U6WzT", "https://xhslink.com/m/1D3Qm5U6WzT")</f>
        <v>https://xhslink.com/m/1D3Qm5U6WzT</v>
      </c>
      <c r="D3716"/>
      <c r="E3716">
        <v>27000</v>
      </c>
      <c r="F3716">
        <v>299</v>
      </c>
      <c r="G3716">
        <v>85</v>
      </c>
      <c r="H3716">
        <v>100</v>
      </c>
      <c r="I3716" t="inlineStr">
        <is>
          <t>配饰</t>
        </is>
      </c>
      <c r="J3716" t="inlineStr">
        <is>
          <t>0.00</t>
        </is>
      </c>
      <c r="K3716"/>
      <c r="L3716" t="inlineStr">
        <is>
          <t>Doar旗舰店</t>
        </is>
      </c>
      <c r="M3716">
        <v>110000</v>
      </c>
      <c r="N3716">
        <v>4.6</v>
      </c>
      <c r="O3716">
        <v>164000</v>
      </c>
      <c r="P3716" t="inlineStr">
        <is>
          <t>681f295838a9a60001ad704b</t>
        </is>
      </c>
      <c r="Q3716"/>
      <c r="R3716" t="inlineStr">
        <is>
          <t>14周</t>
        </is>
      </c>
      <c r="S3716" t="inlineStr">
        <is>
          <t>0.25</t>
        </is>
      </c>
      <c r="T3716" t="inlineStr">
        <is>
          <t>服饰穿搭</t>
        </is>
      </c>
      <c r="U3716" t="inlineStr">
        <is>
          <t>配饰</t>
        </is>
      </c>
      <c r="V3716" s="3">
        <v>46116.835335648146</v>
      </c>
      <c r="W3716" t="inlineStr">
        <is>
          <t>2026-Q2</t>
        </is>
      </c>
    </row>
    <row r="3717" ht="25.5" customHeight="1">
      <c r="A3717" t="inlineStr">
        <is>
          <t>干湿分离旅行包大容量健身包轻便手提行李包运动斜挎中性风</t>
        </is>
      </c>
      <c r="B3717" t="inlineStr">
        <is>
          <t>recvfP5nJfCtKj.jpg</t>
        </is>
      </c>
      <c r="C3717" s="2" t="str">
        <f>=HYPERLINK("https://xhslink.com/m/8DfxEK6n5AR", "https://xhslink.com/m/8DfxEK6n5AR")</f>
        <v>https://xhslink.com/m/8DfxEK6n5AR</v>
      </c>
      <c r="D3717"/>
      <c r="E3717">
        <v>23000</v>
      </c>
      <c r="F3717">
        <v>49.9</v>
      </c>
      <c r="G3717">
        <v>38.91</v>
      </c>
      <c r="H3717">
        <v>100</v>
      </c>
      <c r="I3717" t="inlineStr">
        <is>
          <t>健身包</t>
        </is>
      </c>
      <c r="J3717" t="inlineStr">
        <is>
          <t>0.00</t>
        </is>
      </c>
      <c r="K3717" t="inlineStr">
        <is>
          <t>🔥低粉爆款</t>
        </is>
      </c>
      <c r="L3717" t="inlineStr">
        <is>
          <t>Wang汪汪姓王的店</t>
        </is>
      </c>
      <c r="M3717">
        <v>5379</v>
      </c>
      <c r="N3717">
        <v>4.64</v>
      </c>
      <c r="O3717">
        <v>48000</v>
      </c>
      <c r="P3717" t="inlineStr">
        <is>
          <t>67c7b964f6588900018d3753</t>
        </is>
      </c>
      <c r="Q3717" t="inlineStr">
        <is>
          <t>🚫重复</t>
        </is>
      </c>
      <c r="R3717" t="inlineStr">
        <is>
          <t>14周</t>
        </is>
      </c>
      <c r="S3717" t="inlineStr">
        <is>
          <t>4.28</t>
        </is>
      </c>
      <c r="T3717" t="inlineStr">
        <is>
          <t>运动潮玩</t>
        </is>
      </c>
      <c r="U3717" t="inlineStr">
        <is>
          <t>旅行出行</t>
        </is>
      </c>
      <c r="V3717" s="3">
        <v>46116.835335648146</v>
      </c>
      <c r="W3717" t="inlineStr">
        <is>
          <t>2026-Q2</t>
        </is>
      </c>
    </row>
    <row r="3718" ht="25.5" customHeight="1">
      <c r="A3718" t="inlineStr">
        <is>
          <t>星圃 · 乐家去刺黄鱼排DHA去高含量肉嫩刺少宝宝辅食国家地标黄鱼排</t>
        </is>
      </c>
      <c r="B3718" t="inlineStr">
        <is>
          <t>recvfP5nJfNplN.jpg</t>
        </is>
      </c>
      <c r="C3718" s="2" t="str">
        <f>=HYPERLINK("https://xhslink.com/m/9JgkIAWD50b", "https://xhslink.com/m/9JgkIAWD50b")</f>
        <v>https://xhslink.com/m/9JgkIAWD50b</v>
      </c>
      <c r="D3718"/>
      <c r="E3718">
        <v>1207</v>
      </c>
      <c r="F3718">
        <v>229</v>
      </c>
      <c r="G3718"/>
      <c r="H3718">
        <v>100</v>
      </c>
      <c r="I3718" t="inlineStr">
        <is>
          <t>宝宝辅食</t>
        </is>
      </c>
      <c r="J3718" t="inlineStr">
        <is>
          <t>0.08</t>
        </is>
      </c>
      <c r="K3718"/>
      <c r="L3718" t="inlineStr">
        <is>
          <t>年糕妈妈挑好物的店</t>
        </is>
      </c>
      <c r="M3718">
        <v>138000</v>
      </c>
      <c r="N3718">
        <v>4.59</v>
      </c>
      <c r="O3718">
        <v>996000</v>
      </c>
      <c r="P3718" t="inlineStr">
        <is>
          <t>695345df110a7f000169748e</t>
        </is>
      </c>
      <c r="Q3718" t="inlineStr">
        <is>
          <t>🚫重复</t>
        </is>
      </c>
      <c r="R3718" t="inlineStr">
        <is>
          <t>14周</t>
        </is>
      </c>
      <c r="S3718" t="inlineStr">
        <is>
          <t>0.01</t>
        </is>
      </c>
      <c r="T3718" t="inlineStr">
        <is>
          <t>母婴亲子</t>
        </is>
      </c>
      <c r="U3718" t="inlineStr">
        <is>
          <t>童装童鞋</t>
        </is>
      </c>
      <c r="V3718" s="3">
        <v>46116.835335648146</v>
      </c>
      <c r="W3718" t="inlineStr">
        <is>
          <t>2026-Q2</t>
        </is>
      </c>
    </row>
    <row r="3719" ht="25.5" customHeight="1">
      <c r="A3719" t="inlineStr">
        <is>
          <t>【实物拍摄】2026新款Q版大头面包鞋增高6cm舒适百搭休闲板鞋子女</t>
        </is>
      </c>
      <c r="B3719" t="inlineStr">
        <is>
          <t>recvfP5nJfbjFh.jpg</t>
        </is>
      </c>
      <c r="C3719" s="2" t="str">
        <f>=HYPERLINK("https://xhslink.com/m/3vi4rCuZ73j", "https://xhslink.com/m/3vi4rCuZ73j")</f>
        <v>https://xhslink.com/m/3vi4rCuZ73j</v>
      </c>
      <c r="D3719"/>
      <c r="E3719">
        <v>14000</v>
      </c>
      <c r="F3719">
        <v>168</v>
      </c>
      <c r="G3719">
        <v>89.9</v>
      </c>
      <c r="H3719">
        <v>100</v>
      </c>
      <c r="I3719" t="inlineStr">
        <is>
          <t>休闲鞋</t>
        </is>
      </c>
      <c r="J3719" t="inlineStr">
        <is>
          <t>0.01</t>
        </is>
      </c>
      <c r="K3719" t="inlineStr">
        <is>
          <t>🔥低粉爆款</t>
        </is>
      </c>
      <c r="L3719" t="inlineStr">
        <is>
          <t>可颂croissant女鞋的店</t>
        </is>
      </c>
      <c r="M3719">
        <v>4044</v>
      </c>
      <c r="N3719">
        <v>4.6</v>
      </c>
      <c r="O3719">
        <v>25000</v>
      </c>
      <c r="P3719" t="inlineStr">
        <is>
          <t>6884f9a479bc470001a36422</t>
        </is>
      </c>
      <c r="Q3719" t="inlineStr">
        <is>
          <t>🚫重复</t>
        </is>
      </c>
      <c r="R3719" t="inlineStr">
        <is>
          <t>14周</t>
        </is>
      </c>
      <c r="S3719" t="inlineStr">
        <is>
          <t>3.46</t>
        </is>
      </c>
      <c r="T3719" t="inlineStr">
        <is>
          <t>服饰穿搭</t>
        </is>
      </c>
      <c r="U3719" t="inlineStr">
        <is>
          <t>鞋靴箱包</t>
        </is>
      </c>
      <c r="V3719" s="3">
        <v>46116.835335648146</v>
      </c>
      <c r="W3719" t="inlineStr">
        <is>
          <t>2026-Q2</t>
        </is>
      </c>
    </row>
    <row r="3720" ht="25.5" customHeight="1">
      <c r="A3720" t="inlineStr">
        <is>
          <t>City walk复古小众板鞋女款2026新款春夏厚底小白鞋休闲鞋潮3205</t>
        </is>
      </c>
      <c r="B3720" t="inlineStr">
        <is>
          <t>recvfP5nJfgXzP.jpg</t>
        </is>
      </c>
      <c r="C3720" s="2" t="str">
        <f>=HYPERLINK("https://xhslink.com/m/4wy7RriUVIe", "https://xhslink.com/m/4wy7RriUVIe")</f>
        <v>https://xhslink.com/m/4wy7RriUVIe</v>
      </c>
      <c r="D3720"/>
      <c r="E3720">
        <v>8711</v>
      </c>
      <c r="F3720">
        <v>88.6</v>
      </c>
      <c r="G3720">
        <v>68.6</v>
      </c>
      <c r="H3720">
        <v>100</v>
      </c>
      <c r="I3720" t="inlineStr">
        <is>
          <t>休闲鞋</t>
        </is>
      </c>
      <c r="J3720" t="inlineStr">
        <is>
          <t>0.01</t>
        </is>
      </c>
      <c r="K3720"/>
      <c r="L3720" t="inlineStr">
        <is>
          <t>City walk的店</t>
        </is>
      </c>
      <c r="M3720">
        <v>3005</v>
      </c>
      <c r="N3720">
        <v>4.4</v>
      </c>
      <c r="O3720">
        <v>28000</v>
      </c>
      <c r="P3720" t="inlineStr">
        <is>
          <t>68d1027541f0610001a577d4</t>
        </is>
      </c>
      <c r="Q3720" t="inlineStr">
        <is>
          <t>🚫重复</t>
        </is>
      </c>
      <c r="R3720" t="inlineStr">
        <is>
          <t>14周</t>
        </is>
      </c>
      <c r="S3720" t="inlineStr">
        <is>
          <t>2.90</t>
        </is>
      </c>
      <c r="T3720" t="inlineStr">
        <is>
          <t>服饰穿搭</t>
        </is>
      </c>
      <c r="U3720" t="inlineStr">
        <is>
          <t>鞋靴箱包</t>
        </is>
      </c>
      <c r="V3720" s="3">
        <v>46116.835335648146</v>
      </c>
      <c r="W3720" t="inlineStr">
        <is>
          <t>2026-Q2</t>
        </is>
      </c>
    </row>
    <row r="3721" ht="25.5" customHeight="1">
      <c r="A3721" t="inlineStr">
        <is>
          <t>SALOMON · XA PRO 3D户外休闲鞋</t>
        </is>
      </c>
      <c r="B3721" t="inlineStr">
        <is>
          <t>recvfP5nJfueEo.jpg</t>
        </is>
      </c>
      <c r="C3721" s="2" t="str">
        <f>=HYPERLINK("https://xhslink.com/m/maTqJxn0pi", "https://xhslink.com/m/maTqJxn0pi")</f>
        <v>https://xhslink.com/m/maTqJxn0pi</v>
      </c>
      <c r="D3721"/>
      <c r="E3721">
        <v>815</v>
      </c>
      <c r="F3721">
        <v>838.98</v>
      </c>
      <c r="G3721"/>
      <c r="H3721">
        <v>100</v>
      </c>
      <c r="I3721" t="inlineStr">
        <is>
          <t>休闲鞋</t>
        </is>
      </c>
      <c r="J3721" t="inlineStr">
        <is>
          <t>0.12</t>
        </is>
      </c>
      <c r="K3721"/>
      <c r="L3721" t="inlineStr">
        <is>
          <t>好货市场的店</t>
        </is>
      </c>
      <c r="M3721">
        <v>10000</v>
      </c>
      <c r="N3721">
        <v>4.46</v>
      </c>
      <c r="O3721">
        <v>7408</v>
      </c>
      <c r="P3721" t="inlineStr">
        <is>
          <t>69ba0dbae30b940015a5887a</t>
        </is>
      </c>
      <c r="Q3721" t="inlineStr">
        <is>
          <t>🚫重复</t>
        </is>
      </c>
      <c r="R3721" t="inlineStr">
        <is>
          <t>14周</t>
        </is>
      </c>
      <c r="S3721" t="inlineStr">
        <is>
          <t>0.08</t>
        </is>
      </c>
      <c r="T3721" t="inlineStr">
        <is>
          <t>服饰穿搭</t>
        </is>
      </c>
      <c r="U3721" t="inlineStr">
        <is>
          <t>鞋靴箱包</t>
        </is>
      </c>
      <c r="V3721" s="3">
        <v>46116.835335648146</v>
      </c>
      <c r="W3721" t="inlineStr">
        <is>
          <t>2026-Q2</t>
        </is>
      </c>
    </row>
    <row r="3722" ht="25.5" customHeight="1">
      <c r="A3722" t="inlineStr">
        <is>
          <t>实物拍摄增高5cm春夏新款轻便厚底德训鞋百搭韩版运动休闲鞋子女</t>
        </is>
      </c>
      <c r="B3722" t="inlineStr">
        <is>
          <t>recvfP5nJfuEv4.jpg</t>
        </is>
      </c>
      <c r="C3722" s="2" t="str">
        <f>=HYPERLINK("https://xhslink.com/m/5ujv5Zo09pa", "https://xhslink.com/m/5ujv5Zo09pa")</f>
        <v>https://xhslink.com/m/5ujv5Zo09pa</v>
      </c>
      <c r="D3722"/>
      <c r="E3722">
        <v>5511</v>
      </c>
      <c r="F3722">
        <v>168</v>
      </c>
      <c r="G3722">
        <v>89.9</v>
      </c>
      <c r="H3722">
        <v>100</v>
      </c>
      <c r="I3722" t="inlineStr">
        <is>
          <t>休闲鞋</t>
        </is>
      </c>
      <c r="J3722" t="inlineStr">
        <is>
          <t>0.02</t>
        </is>
      </c>
      <c r="K3722"/>
      <c r="L3722" t="inlineStr">
        <is>
          <t>可颂croissant女鞋的店</t>
        </is>
      </c>
      <c r="M3722">
        <v>4044</v>
      </c>
      <c r="N3722">
        <v>4.6</v>
      </c>
      <c r="O3722">
        <v>25000</v>
      </c>
      <c r="P3722" t="inlineStr">
        <is>
          <t>68dadfb8c7536100017fa9bd</t>
        </is>
      </c>
      <c r="Q3722" t="inlineStr">
        <is>
          <t>🚫重复</t>
        </is>
      </c>
      <c r="R3722" t="inlineStr">
        <is>
          <t>14周</t>
        </is>
      </c>
      <c r="S3722" t="inlineStr">
        <is>
          <t>1.36</t>
        </is>
      </c>
      <c r="T3722" t="inlineStr">
        <is>
          <t>服饰穿搭</t>
        </is>
      </c>
      <c r="U3722" t="inlineStr">
        <is>
          <t>鞋靴箱包</t>
        </is>
      </c>
      <c r="V3722" s="3">
        <v>46116.835335648146</v>
      </c>
      <c r="W3722" t="inlineStr">
        <is>
          <t>2026-Q2</t>
        </is>
      </c>
    </row>
    <row r="3723" ht="25.5" customHeight="1">
      <c r="A3723" t="inlineStr">
        <is>
          <t>HEQICHOU · 牛皮软底时尚休闲鞋女平板鞋 真皮德训鞋女鞋运动鞋女单鞋</t>
        </is>
      </c>
      <c r="B3723" t="inlineStr">
        <is>
          <t>recvfP5nJfMEtD.jpg</t>
        </is>
      </c>
      <c r="C3723" s="2" t="str">
        <f>=HYPERLINK("https://xhslink.com/m/4CUenr8glb6", "https://xhslink.com/m/4CUenr8glb6")</f>
        <v>https://xhslink.com/m/4CUenr8glb6</v>
      </c>
      <c r="D3723"/>
      <c r="E3723">
        <v>939</v>
      </c>
      <c r="F3723">
        <v>258</v>
      </c>
      <c r="G3723">
        <v>198</v>
      </c>
      <c r="H3723">
        <v>100</v>
      </c>
      <c r="I3723" t="inlineStr">
        <is>
          <t>休闲鞋</t>
        </is>
      </c>
      <c r="J3723" t="inlineStr">
        <is>
          <t>0.11</t>
        </is>
      </c>
      <c r="K3723"/>
      <c r="L3723" t="inlineStr">
        <is>
          <t>奇怪的鞋店 HEQICHOU女鞋的店</t>
        </is>
      </c>
      <c r="M3723">
        <v>382000</v>
      </c>
      <c r="N3723">
        <v>4.71</v>
      </c>
      <c r="O3723">
        <v>310000</v>
      </c>
      <c r="P3723" t="inlineStr">
        <is>
          <t>690c60ec4b151d0015329641</t>
        </is>
      </c>
      <c r="Q3723" t="inlineStr">
        <is>
          <t>🚫重复</t>
        </is>
      </c>
      <c r="R3723" t="inlineStr">
        <is>
          <t>14周</t>
        </is>
      </c>
      <c r="S3723" t="inlineStr">
        <is>
          <t>0.00</t>
        </is>
      </c>
      <c r="T3723" t="inlineStr">
        <is>
          <t>服饰穿搭</t>
        </is>
      </c>
      <c r="U3723" t="inlineStr">
        <is>
          <t>鞋靴箱包</t>
        </is>
      </c>
      <c r="V3723" s="3">
        <v>46116.835335648146</v>
      </c>
      <c r="W3723" t="inlineStr">
        <is>
          <t>2026-Q2</t>
        </is>
      </c>
    </row>
    <row r="3724" ht="25.5" customHeight="1">
      <c r="A3724" t="inlineStr">
        <is>
          <t>骷髅小手｜亡灵腐核 哥特亚比挂件 配饰可拆 改耳饰/发夹备注即可</t>
        </is>
      </c>
      <c r="B3724" t="inlineStr">
        <is>
          <t>recvfP5nJfCvNa.jpg</t>
        </is>
      </c>
      <c r="C3724" s="2" t="str">
        <f>=HYPERLINK("https://xhslink.com/m/99GWnDFhv2B", "https://xhslink.com/m/99GWnDFhv2B")</f>
        <v>https://xhslink.com/m/99GWnDFhv2B</v>
      </c>
      <c r="D3724"/>
      <c r="E3724">
        <v>2489</v>
      </c>
      <c r="F3724">
        <v>33.8</v>
      </c>
      <c r="G3724">
        <v>19.8</v>
      </c>
      <c r="H3724">
        <v>100</v>
      </c>
      <c r="I3724" t="inlineStr">
        <is>
          <t>配饰</t>
        </is>
      </c>
      <c r="J3724" t="inlineStr">
        <is>
          <t>0.04</t>
        </is>
      </c>
      <c r="K3724"/>
      <c r="L3724" t="inlineStr">
        <is>
          <t>VORN的店</t>
        </is>
      </c>
      <c r="M3724">
        <v>2361</v>
      </c>
      <c r="N3724">
        <v>4.45</v>
      </c>
      <c r="O3724">
        <v>10000</v>
      </c>
      <c r="P3724" t="inlineStr">
        <is>
          <t>68e8e91317d80800018bb05e</t>
        </is>
      </c>
      <c r="Q3724" t="inlineStr">
        <is>
          <t>🚫重复</t>
        </is>
      </c>
      <c r="R3724" t="inlineStr">
        <is>
          <t>14周</t>
        </is>
      </c>
      <c r="S3724" t="inlineStr">
        <is>
          <t>1.05</t>
        </is>
      </c>
      <c r="T3724" t="inlineStr">
        <is>
          <t>服饰穿搭</t>
        </is>
      </c>
      <c r="U3724" t="inlineStr">
        <is>
          <t>配饰</t>
        </is>
      </c>
      <c r="V3724" s="3">
        <v>46116.835335648146</v>
      </c>
      <c r="W3724" t="inlineStr">
        <is>
          <t>2026-Q2</t>
        </is>
      </c>
    </row>
    <row r="3725" ht="25.5" customHeight="1">
      <c r="A3725" t="inlineStr">
        <is>
          <t>六角星芒高透粉水晶，莫粉粉水晶，手围14～16，默认有天然瑕疵</t>
        </is>
      </c>
      <c r="B3725" t="inlineStr">
        <is>
          <t>recvfP5nJf8HgP.jpg</t>
        </is>
      </c>
      <c r="C3725" s="2" t="str">
        <f>=HYPERLINK("https://xhslink.com/m/94ODzbvNspr", "https://xhslink.com/m/94ODzbvNspr")</f>
        <v>https://xhslink.com/m/94ODzbvNspr</v>
      </c>
      <c r="D3725"/>
      <c r="E3725">
        <v>971</v>
      </c>
      <c r="F3725">
        <v>16.9</v>
      </c>
      <c r="G3725">
        <v>14.87</v>
      </c>
      <c r="H3725">
        <v>100</v>
      </c>
      <c r="I3725" t="inlineStr">
        <is>
          <t>配饰</t>
        </is>
      </c>
      <c r="J3725" t="inlineStr">
        <is>
          <t>0.10</t>
        </is>
      </c>
      <c r="K3725"/>
      <c r="L3725" t="inlineStr">
        <is>
          <t>青梧水晶工作室的店</t>
        </is>
      </c>
      <c r="M3725">
        <v>8225</v>
      </c>
      <c r="N3725">
        <v>4.37</v>
      </c>
      <c r="O3725">
        <v>25000</v>
      </c>
      <c r="P3725" t="inlineStr">
        <is>
          <t>68fc7905ce94ee0001a75a1e</t>
        </is>
      </c>
      <c r="Q3725"/>
      <c r="R3725" t="inlineStr">
        <is>
          <t>14周</t>
        </is>
      </c>
      <c r="S3725" t="inlineStr">
        <is>
          <t>0.12</t>
        </is>
      </c>
      <c r="T3725" t="inlineStr">
        <is>
          <t>服饰穿搭</t>
        </is>
      </c>
      <c r="U3725" t="inlineStr">
        <is>
          <t>配饰</t>
        </is>
      </c>
      <c r="V3725" s="3">
        <v>46116.835335648146</v>
      </c>
      <c r="W3725" t="inlineStr">
        <is>
          <t>2026-Q2</t>
        </is>
      </c>
    </row>
    <row r="3726" ht="25.5" customHeight="1">
      <c r="A3726" t="inlineStr">
        <is>
          <t>[一号礼盒]原创显白精致高级首饰项链戒指手表组合</t>
        </is>
      </c>
      <c r="B3726" t="inlineStr">
        <is>
          <t>recvfP5nJfwa6R.jpg</t>
        </is>
      </c>
      <c r="C3726" s="2" t="str">
        <f>=HYPERLINK("https://xhslink.com/m/9A1kyhD3XAc", "https://xhslink.com/m/9A1kyhD3XAc")</f>
        <v>https://xhslink.com/m/9A1kyhD3XAc</v>
      </c>
      <c r="D3726"/>
      <c r="E3726">
        <v>11000</v>
      </c>
      <c r="F3726">
        <v>49.9</v>
      </c>
      <c r="G3726"/>
      <c r="H3726">
        <v>100</v>
      </c>
      <c r="I3726" t="inlineStr">
        <is>
          <t>饰品</t>
        </is>
      </c>
      <c r="J3726" t="inlineStr">
        <is>
          <t>0.01</t>
        </is>
      </c>
      <c r="K3726"/>
      <c r="L3726" t="inlineStr">
        <is>
          <t>ShiChuanDaiJia.的店</t>
        </is>
      </c>
      <c r="M3726">
        <v>188000</v>
      </c>
      <c r="N3726">
        <v>4.51</v>
      </c>
      <c r="O3726">
        <v>55000</v>
      </c>
      <c r="P3726" t="inlineStr">
        <is>
          <t>687e68eb44854600014f2b5e</t>
        </is>
      </c>
      <c r="Q3726" t="inlineStr">
        <is>
          <t>🚫重复</t>
        </is>
      </c>
      <c r="R3726" t="inlineStr">
        <is>
          <t>14周</t>
        </is>
      </c>
      <c r="S3726" t="inlineStr">
        <is>
          <t>0.06</t>
        </is>
      </c>
      <c r="T3726" t="inlineStr">
        <is>
          <t>服饰穿搭</t>
        </is>
      </c>
      <c r="U3726" t="inlineStr">
        <is>
          <t>配饰</t>
        </is>
      </c>
      <c r="V3726" s="3">
        <v>46116.835335648146</v>
      </c>
      <c r="W3726" t="inlineStr">
        <is>
          <t>2026-Q2</t>
        </is>
      </c>
    </row>
    <row r="3727" ht="25.5" customHeight="1">
      <c r="A3727" t="inlineStr">
        <is>
          <t>《糖心泡泡》原创项链 所见即所得 精致轻奢显白</t>
        </is>
      </c>
      <c r="B3727" t="inlineStr">
        <is>
          <t>recvfP5nJfS1nZ.jpg</t>
        </is>
      </c>
      <c r="C3727" s="2" t="str">
        <f>=HYPERLINK("https://xhslink.com/m/AMIOJDI7iMG", "https://xhslink.com/m/AMIOJDI7iMG")</f>
        <v>https://xhslink.com/m/AMIOJDI7iMG</v>
      </c>
      <c r="D3727"/>
      <c r="E3727">
        <v>9276</v>
      </c>
      <c r="F3727">
        <v>27.9</v>
      </c>
      <c r="G3727"/>
      <c r="H3727">
        <v>100</v>
      </c>
      <c r="I3727" t="inlineStr">
        <is>
          <t>饰品</t>
        </is>
      </c>
      <c r="J3727" t="inlineStr">
        <is>
          <t>0.01</t>
        </is>
      </c>
      <c r="K3727"/>
      <c r="L3727" t="inlineStr">
        <is>
          <t>ShiChuanDaiJia.的店</t>
        </is>
      </c>
      <c r="M3727">
        <v>188000</v>
      </c>
      <c r="N3727">
        <v>4.51</v>
      </c>
      <c r="O3727">
        <v>55000</v>
      </c>
      <c r="P3727" t="inlineStr">
        <is>
          <t>68fb95703f37a90001f2b313</t>
        </is>
      </c>
      <c r="Q3727" t="inlineStr">
        <is>
          <t>🚫重复</t>
        </is>
      </c>
      <c r="R3727" t="inlineStr">
        <is>
          <t>14周</t>
        </is>
      </c>
      <c r="S3727" t="inlineStr">
        <is>
          <t>0.05</t>
        </is>
      </c>
      <c r="T3727" t="inlineStr">
        <is>
          <t>服饰穿搭</t>
        </is>
      </c>
      <c r="U3727" t="inlineStr">
        <is>
          <t>配饰</t>
        </is>
      </c>
      <c r="V3727" s="3">
        <v>46116.835335648146</v>
      </c>
      <c r="W3727" t="inlineStr">
        <is>
          <t>2026-Q2</t>
        </is>
      </c>
    </row>
    <row r="3728" ht="25.5" customHeight="1">
      <c r="A3728" t="inlineStr">
        <is>
          <t>新款春夏秋冬四季薄脆本A4办公笔记本学生考试草稿纸高颜值错题本</t>
        </is>
      </c>
      <c r="B3728" t="inlineStr">
        <is>
          <t>recvfP5nJfF0yG.jpg</t>
        </is>
      </c>
      <c r="C3728" s="2" t="str">
        <f>=HYPERLINK("https://xhslink.com/m/Ap5Ql47DR5m", "https://xhslink.com/m/Ap5Ql47DR5m")</f>
        <v>https://xhslink.com/m/Ap5Ql47DR5m</v>
      </c>
      <c r="D3728"/>
      <c r="E3728">
        <v>52000</v>
      </c>
      <c r="F3728">
        <v>35.2</v>
      </c>
      <c r="G3728"/>
      <c r="H3728">
        <v>100</v>
      </c>
      <c r="I3728" t="inlineStr">
        <is>
          <t>文具</t>
        </is>
      </c>
      <c r="J3728" t="inlineStr">
        <is>
          <t>0.00</t>
        </is>
      </c>
      <c r="K3728"/>
      <c r="L3728" t="inlineStr">
        <is>
          <t>时光小物社（仓库清仓）的店</t>
        </is>
      </c>
      <c r="M3728">
        <v>42000</v>
      </c>
      <c r="N3728">
        <v>4.23</v>
      </c>
      <c r="O3728">
        <v>214000</v>
      </c>
      <c r="P3728" t="inlineStr">
        <is>
          <t>692abaf5581ea200153d15d5</t>
        </is>
      </c>
      <c r="Q3728" t="inlineStr">
        <is>
          <t>🚫重复</t>
        </is>
      </c>
      <c r="R3728" t="inlineStr">
        <is>
          <t>14周</t>
        </is>
      </c>
      <c r="S3728" t="inlineStr">
        <is>
          <t>1.24</t>
        </is>
      </c>
      <c r="T3728" t="inlineStr">
        <is>
          <t>运动潮玩</t>
        </is>
      </c>
      <c r="U3728" t="inlineStr">
        <is>
          <t>图书文创</t>
        </is>
      </c>
      <c r="V3728" s="3">
        <v>46116.835335648146</v>
      </c>
      <c r="W3728" t="inlineStr">
        <is>
          <t>2026-Q2</t>
        </is>
      </c>
    </row>
    <row r="3729" ht="25.5" customHeight="1">
      <c r="A3729" t="inlineStr">
        <is>
          <t>高颜值美食水果A4薄脆本笔记本学生办公考试草稿纸记事本书写本</t>
        </is>
      </c>
      <c r="B3729" t="inlineStr">
        <is>
          <t>recvfP5nJfOwI5.jpg</t>
        </is>
      </c>
      <c r="C3729" s="2" t="str">
        <f>=HYPERLINK("https://xhslink.com/m/3FHqE6krGLu", "https://xhslink.com/m/3FHqE6krGLu")</f>
        <v>https://xhslink.com/m/3FHqE6krGLu</v>
      </c>
      <c r="D3729"/>
      <c r="E3729">
        <v>6762</v>
      </c>
      <c r="F3729">
        <v>8.8</v>
      </c>
      <c r="G3729"/>
      <c r="H3729">
        <v>100</v>
      </c>
      <c r="I3729" t="inlineStr">
        <is>
          <t>文具</t>
        </is>
      </c>
      <c r="J3729" t="inlineStr">
        <is>
          <t>0.01</t>
        </is>
      </c>
      <c r="K3729"/>
      <c r="L3729" t="inlineStr">
        <is>
          <t>时光小物社（仓库清仓）的店</t>
        </is>
      </c>
      <c r="M3729">
        <v>42000</v>
      </c>
      <c r="N3729">
        <v>4.23</v>
      </c>
      <c r="O3729">
        <v>214000</v>
      </c>
      <c r="P3729" t="inlineStr">
        <is>
          <t>6971ca78b113e40015ff34e3</t>
        </is>
      </c>
      <c r="Q3729" t="inlineStr">
        <is>
          <t>🚫重复</t>
        </is>
      </c>
      <c r="R3729" t="inlineStr">
        <is>
          <t>14周</t>
        </is>
      </c>
      <c r="S3729" t="inlineStr">
        <is>
          <t>0.16</t>
        </is>
      </c>
      <c r="T3729" t="inlineStr">
        <is>
          <t>运动潮玩</t>
        </is>
      </c>
      <c r="U3729" t="inlineStr">
        <is>
          <t>图书文创</t>
        </is>
      </c>
      <c r="V3729" s="3">
        <v>46116.835335648146</v>
      </c>
      <c r="W3729" t="inlineStr">
        <is>
          <t>2026-Q2</t>
        </is>
      </c>
    </row>
    <row r="3730" ht="25.5" customHeight="1">
      <c r="A3730" t="inlineStr">
        <is>
          <t>新款A4薄脆本高颜值笔记本刷题本学生办公用纸活页记事本</t>
        </is>
      </c>
      <c r="B3730" t="inlineStr">
        <is>
          <t>recvfP5nJfQrUM.jpg</t>
        </is>
      </c>
      <c r="C3730" s="2" t="str">
        <f>=HYPERLINK("https://xhslink.com/m/2rbBhhnuxfQ", "https://xhslink.com/m/2rbBhhnuxfQ")</f>
        <v>https://xhslink.com/m/2rbBhhnuxfQ</v>
      </c>
      <c r="D3730"/>
      <c r="E3730">
        <v>1730</v>
      </c>
      <c r="F3730">
        <v>8.8</v>
      </c>
      <c r="G3730"/>
      <c r="H3730">
        <v>100</v>
      </c>
      <c r="I3730" t="inlineStr">
        <is>
          <t>文具</t>
        </is>
      </c>
      <c r="J3730" t="inlineStr">
        <is>
          <t>0.06</t>
        </is>
      </c>
      <c r="K3730"/>
      <c r="L3730" t="inlineStr">
        <is>
          <t>时光小物社（仓库清仓）的店</t>
        </is>
      </c>
      <c r="M3730">
        <v>42000</v>
      </c>
      <c r="N3730">
        <v>4.23</v>
      </c>
      <c r="O3730">
        <v>214000</v>
      </c>
      <c r="P3730" t="inlineStr">
        <is>
          <t>69b7cd2e62c5c00015e94415</t>
        </is>
      </c>
      <c r="Q3730" t="inlineStr">
        <is>
          <t>🚫重复</t>
        </is>
      </c>
      <c r="R3730" t="inlineStr">
        <is>
          <t>14周</t>
        </is>
      </c>
      <c r="S3730" t="inlineStr">
        <is>
          <t>0.04</t>
        </is>
      </c>
      <c r="T3730" t="inlineStr">
        <is>
          <t>运动潮玩</t>
        </is>
      </c>
      <c r="U3730" t="inlineStr">
        <is>
          <t>图书文创</t>
        </is>
      </c>
      <c r="V3730" s="3">
        <v>46116.835335648146</v>
      </c>
      <c r="W3730" t="inlineStr">
        <is>
          <t>2026-Q2</t>
        </is>
      </c>
    </row>
    <row r="3731" ht="25.5" customHeight="1">
      <c r="A3731" t="inlineStr">
        <is>
          <t>【顺丰发货28任选8个口味自动改价】手作碱水球</t>
        </is>
      </c>
      <c r="B3731" t="inlineStr">
        <is>
          <t>recvfP5nJfNTSl.jpg</t>
        </is>
      </c>
      <c r="C3731" s="2" t="str">
        <f>=HYPERLINK("https://xhslink.com/m/1cuY26LxArn", "https://xhslink.com/m/1cuY26LxArn")</f>
        <v>https://xhslink.com/m/1cuY26LxArn</v>
      </c>
      <c r="D3731"/>
      <c r="E3731">
        <v>3873</v>
      </c>
      <c r="F3731">
        <v>15</v>
      </c>
      <c r="G3731">
        <v>9</v>
      </c>
      <c r="H3731">
        <v>100</v>
      </c>
      <c r="I3731" t="inlineStr">
        <is>
          <t>面包</t>
        </is>
      </c>
      <c r="J3731" t="inlineStr">
        <is>
          <t>0.03</t>
        </is>
      </c>
      <c r="K3731" t="inlineStr">
        <is>
          <t>🔥低粉爆款</t>
        </is>
      </c>
      <c r="L3731" t="inlineStr">
        <is>
          <t>Bake烘焙坊的店</t>
        </is>
      </c>
      <c r="M3731">
        <v>431</v>
      </c>
      <c r="N3731">
        <v>4.39</v>
      </c>
      <c r="O3731">
        <v>5529</v>
      </c>
      <c r="P3731" t="inlineStr">
        <is>
          <t>693aa0f70ae0090001148e38</t>
        </is>
      </c>
      <c r="Q3731"/>
      <c r="R3731" t="inlineStr">
        <is>
          <t>14周</t>
        </is>
      </c>
      <c r="S3731" t="inlineStr">
        <is>
          <t>8.99</t>
        </is>
      </c>
      <c r="T3731" t="inlineStr">
        <is>
          <t>运动潮玩</t>
        </is>
      </c>
      <c r="U3731" t="inlineStr">
        <is>
          <t>潮玩手办</t>
        </is>
      </c>
      <c r="V3731" s="3">
        <v>46116.835335648146</v>
      </c>
      <c r="W3731" t="inlineStr">
        <is>
          <t>2026-Q2</t>
        </is>
      </c>
    </row>
    <row r="3732" ht="25.5" customHeight="1">
      <c r="A3732" t="inlineStr">
        <is>
          <t>手作恰巴塔意式硬面包咸口无蔗糖代餐饱腹即食早餐现做现发【包邮</t>
        </is>
      </c>
      <c r="B3732" t="inlineStr">
        <is>
          <t>recvfP5nJfJjKa.jpg</t>
        </is>
      </c>
      <c r="C3732" s="2" t="str">
        <f>=HYPERLINK("https://xhslink.com/m/88t8khKEYDG", "https://xhslink.com/m/88t8khKEYDG")</f>
        <v>https://xhslink.com/m/88t8khKEYDG</v>
      </c>
      <c r="D3732"/>
      <c r="E3732">
        <v>7175</v>
      </c>
      <c r="F3732">
        <v>38.8</v>
      </c>
      <c r="G3732">
        <v>26.8</v>
      </c>
      <c r="H3732">
        <v>100</v>
      </c>
      <c r="I3732" t="inlineStr">
        <is>
          <t>面包</t>
        </is>
      </c>
      <c r="J3732" t="inlineStr">
        <is>
          <t>0.01</t>
        </is>
      </c>
      <c r="K3732" t="inlineStr">
        <is>
          <t>🔥低粉爆款</t>
        </is>
      </c>
      <c r="L3732" t="inlineStr">
        <is>
          <t>糖师傅说的店</t>
        </is>
      </c>
      <c r="M3732">
        <v>655</v>
      </c>
      <c r="N3732">
        <v>4.77</v>
      </c>
      <c r="O3732">
        <v>8950</v>
      </c>
      <c r="P3732" t="inlineStr">
        <is>
          <t>689da07e1745f60001d64653</t>
        </is>
      </c>
      <c r="Q3732" t="inlineStr">
        <is>
          <t>🚫重复</t>
        </is>
      </c>
      <c r="R3732" t="inlineStr">
        <is>
          <t>14周</t>
        </is>
      </c>
      <c r="S3732" t="inlineStr">
        <is>
          <t>10.95</t>
        </is>
      </c>
      <c r="T3732" t="inlineStr">
        <is>
          <t>美食滋补</t>
        </is>
      </c>
      <c r="U3732" t="inlineStr">
        <is>
          <t>休闲零食</t>
        </is>
      </c>
      <c r="V3732" s="3">
        <v>46116.835335648146</v>
      </c>
      <c r="W3732" t="inlineStr">
        <is>
          <t>2026-Q2</t>
        </is>
      </c>
    </row>
    <row r="3733" ht="25.5" customHeight="1">
      <c r="A3733" t="inlineStr">
        <is>
          <t>【顺丰包邮24小时发货】无油糖手作贝果 · 均重150g带馅健康代餐</t>
        </is>
      </c>
      <c r="B3733" t="inlineStr">
        <is>
          <t>recvfP5nJf5AgV.jpg</t>
        </is>
      </c>
      <c r="C3733" s="2" t="str">
        <f>=HYPERLINK("https://xhslink.com/m/7pmbdRTiMHF", "https://xhslink.com/m/7pmbdRTiMHF")</f>
        <v>https://xhslink.com/m/7pmbdRTiMHF</v>
      </c>
      <c r="D3733"/>
      <c r="E3733">
        <v>13000</v>
      </c>
      <c r="F3733">
        <v>37.9</v>
      </c>
      <c r="G3733">
        <v>29.9</v>
      </c>
      <c r="H3733">
        <v>100</v>
      </c>
      <c r="I3733" t="inlineStr">
        <is>
          <t>面包</t>
        </is>
      </c>
      <c r="J3733" t="inlineStr">
        <is>
          <t>0.01</t>
        </is>
      </c>
      <c r="K3733"/>
      <c r="L3733" t="inlineStr">
        <is>
          <t>小新的吃包日记的店</t>
        </is>
      </c>
      <c r="M3733">
        <v>5093</v>
      </c>
      <c r="N3733">
        <v>4.66</v>
      </c>
      <c r="O3733">
        <v>93000</v>
      </c>
      <c r="P3733" t="inlineStr">
        <is>
          <t>693d208b8b11d100018af20c</t>
        </is>
      </c>
      <c r="Q3733" t="inlineStr">
        <is>
          <t>🚫重复</t>
        </is>
      </c>
      <c r="R3733" t="inlineStr">
        <is>
          <t>14周</t>
        </is>
      </c>
      <c r="S3733" t="inlineStr">
        <is>
          <t>2.55</t>
        </is>
      </c>
      <c r="T3733" t="inlineStr">
        <is>
          <t>美食滋补</t>
        </is>
      </c>
      <c r="U3733" t="inlineStr">
        <is>
          <t>休闲零食</t>
        </is>
      </c>
      <c r="V3733" s="3">
        <v>46116.835335648146</v>
      </c>
      <c r="W3733" t="inlineStr">
        <is>
          <t>2026-Q2</t>
        </is>
      </c>
    </row>
    <row r="3734" ht="25.5" customHeight="1">
      <c r="A3734" t="inlineStr">
        <is>
          <t>皮卡Pika【西装】百褶半身裙女春夏高腰显瘦a字裙小个子百搭长裙</t>
        </is>
      </c>
      <c r="B3734" t="inlineStr">
        <is>
          <t>recvfP5nJfDFA0.jpg</t>
        </is>
      </c>
      <c r="C3734" s="2" t="str">
        <f>=HYPERLINK("https://xhslink.com/m/1gaqwYDTfNE", "https://xhslink.com/m/1gaqwYDTfNE")</f>
        <v>https://xhslink.com/m/1gaqwYDTfNE</v>
      </c>
      <c r="D3734"/>
      <c r="E3734">
        <v>71000</v>
      </c>
      <c r="F3734">
        <v>79</v>
      </c>
      <c r="G3734"/>
      <c r="H3734">
        <v>100</v>
      </c>
      <c r="I3734" t="inlineStr">
        <is>
          <t>长裙</t>
        </is>
      </c>
      <c r="J3734" t="inlineStr">
        <is>
          <t>0.00</t>
        </is>
      </c>
      <c r="K3734"/>
      <c r="L3734" t="inlineStr">
        <is>
          <t>皮老板生意兴隆哦的店</t>
        </is>
      </c>
      <c r="M3734">
        <v>64000</v>
      </c>
      <c r="N3734">
        <v>4.7</v>
      </c>
      <c r="O3734">
        <v>418000</v>
      </c>
      <c r="P3734" t="inlineStr">
        <is>
          <t>65f511e9aed51c0001b718af</t>
        </is>
      </c>
      <c r="Q3734" t="inlineStr">
        <is>
          <t>🚫重复</t>
        </is>
      </c>
      <c r="R3734" t="inlineStr">
        <is>
          <t>14周</t>
        </is>
      </c>
      <c r="S3734" t="inlineStr">
        <is>
          <t>1.11</t>
        </is>
      </c>
      <c r="T3734" t="inlineStr">
        <is>
          <t>服饰穿搭</t>
        </is>
      </c>
      <c r="U3734" t="inlineStr">
        <is>
          <t>女装</t>
        </is>
      </c>
      <c r="V3734" s="3">
        <v>46116.835335648146</v>
      </c>
      <c r="W3734" t="inlineStr">
        <is>
          <t>2026-Q2</t>
        </is>
      </c>
    </row>
    <row r="3735" ht="25.5" customHeight="1">
      <c r="A3735" t="inlineStr">
        <is>
          <t>柚子美伊～韩系小清新波点半身裙a字长裙女松紧腰显瘦仙女裙</t>
        </is>
      </c>
      <c r="B3735" t="inlineStr">
        <is>
          <t>recvfP5nJfX0Gl.jpg</t>
        </is>
      </c>
      <c r="C3735" s="2" t="str">
        <f>=HYPERLINK("https://xhslink.com/m/3f3kz58tgia", "https://xhslink.com/m/3f3kz58tgia")</f>
        <v>https://xhslink.com/m/3f3kz58tgia</v>
      </c>
      <c r="D3735"/>
      <c r="E3735">
        <v>7205</v>
      </c>
      <c r="F3735">
        <v>129</v>
      </c>
      <c r="G3735"/>
      <c r="H3735">
        <v>100</v>
      </c>
      <c r="I3735" t="inlineStr">
        <is>
          <t>长裙</t>
        </is>
      </c>
      <c r="J3735" t="inlineStr">
        <is>
          <t>0.01</t>
        </is>
      </c>
      <c r="K3735"/>
      <c r="L3735" t="inlineStr">
        <is>
          <t>柚子美伊的店</t>
        </is>
      </c>
      <c r="M3735">
        <v>4207</v>
      </c>
      <c r="N3735">
        <v>4.62</v>
      </c>
      <c r="O3735">
        <v>75000</v>
      </c>
      <c r="P3735" t="inlineStr">
        <is>
          <t>67c4775e3298ba000164b1de</t>
        </is>
      </c>
      <c r="Q3735"/>
      <c r="R3735" t="inlineStr">
        <is>
          <t>14周</t>
        </is>
      </c>
      <c r="S3735" t="inlineStr">
        <is>
          <t>1.71</t>
        </is>
      </c>
      <c r="T3735" t="inlineStr">
        <is>
          <t>服饰穿搭</t>
        </is>
      </c>
      <c r="U3735" t="inlineStr">
        <is>
          <t>女装</t>
        </is>
      </c>
      <c r="V3735" s="3">
        <v>46116.835335648146</v>
      </c>
      <c r="W3735" t="inlineStr">
        <is>
          <t>2026-Q2</t>
        </is>
      </c>
    </row>
    <row r="3736" ht="25.5" customHeight="1">
      <c r="A3736" t="inlineStr">
        <is>
          <t>【大米饭】爆款归来之纯棉花苞裙高腰休闲大口袋纯色半身裙</t>
        </is>
      </c>
      <c r="B3736" t="inlineStr">
        <is>
          <t>recvfP5nJf3AnI.jpg</t>
        </is>
      </c>
      <c r="C3736" s="2" t="str">
        <f>=HYPERLINK("https://xhslink.com/m/7zNryO73Cnf", "https://xhslink.com/m/7zNryO73Cnf")</f>
        <v>https://xhslink.com/m/7zNryO73Cnf</v>
      </c>
      <c r="D3736"/>
      <c r="E3736">
        <v>3009</v>
      </c>
      <c r="F3736">
        <v>119</v>
      </c>
      <c r="G3736">
        <v>114</v>
      </c>
      <c r="H3736">
        <v>100</v>
      </c>
      <c r="I3736" t="inlineStr">
        <is>
          <t>长裙</t>
        </is>
      </c>
      <c r="J3736" t="inlineStr">
        <is>
          <t>0.03</t>
        </is>
      </c>
      <c r="K3736"/>
      <c r="L3736" t="inlineStr">
        <is>
          <t>大米饭制衣厂（厂长版）的店</t>
        </is>
      </c>
      <c r="M3736">
        <v>63000</v>
      </c>
      <c r="N3736">
        <v>4.69</v>
      </c>
      <c r="O3736">
        <v>161000</v>
      </c>
      <c r="P3736" t="inlineStr">
        <is>
          <t>65fae1f80dd1aa00010cffd9</t>
        </is>
      </c>
      <c r="Q3736" t="inlineStr">
        <is>
          <t>🚫重复</t>
        </is>
      </c>
      <c r="R3736" t="inlineStr">
        <is>
          <t>14周</t>
        </is>
      </c>
      <c r="S3736" t="inlineStr">
        <is>
          <t>0.05</t>
        </is>
      </c>
      <c r="T3736" t="inlineStr">
        <is>
          <t>服饰穿搭</t>
        </is>
      </c>
      <c r="U3736" t="inlineStr">
        <is>
          <t>女装</t>
        </is>
      </c>
      <c r="V3736" s="3">
        <v>46116.835335648146</v>
      </c>
      <c r="W3736" t="inlineStr">
        <is>
          <t>2026-Q2</t>
        </is>
      </c>
    </row>
    <row r="3737" ht="25.5" customHeight="1">
      <c r="A3737" t="inlineStr">
        <is>
          <t>皮卡Pika高腰开叉西装半身裙女韩系通勤显瘦a字长裙遮胯包臀裙</t>
        </is>
      </c>
      <c r="B3737" t="inlineStr">
        <is>
          <t>recvfP5nJfXGxQ.jpg</t>
        </is>
      </c>
      <c r="C3737" s="2" t="str">
        <f>=HYPERLINK("https://xhslink.com/m/GK9UEVuYrL", "https://xhslink.com/m/GK9UEVuYrL")</f>
        <v>https://xhslink.com/m/GK9UEVuYrL</v>
      </c>
      <c r="D3737"/>
      <c r="E3737">
        <v>8981</v>
      </c>
      <c r="F3737">
        <v>69</v>
      </c>
      <c r="G3737"/>
      <c r="H3737">
        <v>100</v>
      </c>
      <c r="I3737" t="inlineStr">
        <is>
          <t>长裙</t>
        </is>
      </c>
      <c r="J3737" t="inlineStr">
        <is>
          <t>0.01</t>
        </is>
      </c>
      <c r="K3737"/>
      <c r="L3737" t="inlineStr">
        <is>
          <t>皮老板生意兴隆哦的店</t>
        </is>
      </c>
      <c r="M3737">
        <v>64000</v>
      </c>
      <c r="N3737">
        <v>4.7</v>
      </c>
      <c r="O3737">
        <v>418000</v>
      </c>
      <c r="P3737" t="inlineStr">
        <is>
          <t>687776d7e019f20001f9d41a</t>
        </is>
      </c>
      <c r="Q3737" t="inlineStr">
        <is>
          <t>🚫重复</t>
        </is>
      </c>
      <c r="R3737" t="inlineStr">
        <is>
          <t>14周</t>
        </is>
      </c>
      <c r="S3737" t="inlineStr">
        <is>
          <t>0.14</t>
        </is>
      </c>
      <c r="T3737" t="inlineStr">
        <is>
          <t>服饰穿搭</t>
        </is>
      </c>
      <c r="U3737" t="inlineStr">
        <is>
          <t>女装</t>
        </is>
      </c>
      <c r="V3737" s="3">
        <v>46116.835335648146</v>
      </c>
      <c r="W3737" t="inlineStr">
        <is>
          <t>2026-Q2</t>
        </is>
      </c>
    </row>
    <row r="3738" ht="25.5" customHeight="1">
      <c r="A3738" t="inlineStr">
        <is>
          <t>韩系氛围感碎花裙女自带内衬半身裙</t>
        </is>
      </c>
      <c r="B3738" t="inlineStr">
        <is>
          <t>recvfP5nJfLYpj.jpg</t>
        </is>
      </c>
      <c r="C3738" s="2" t="str">
        <f>=HYPERLINK("https://xhslink.com/m/4P7MfCahOa2", "https://xhslink.com/m/4P7MfCahOa2")</f>
        <v>https://xhslink.com/m/4P7MfCahOa2</v>
      </c>
      <c r="D3738"/>
      <c r="E3738">
        <v>11000</v>
      </c>
      <c r="F3738">
        <v>89</v>
      </c>
      <c r="G3738"/>
      <c r="H3738">
        <v>100</v>
      </c>
      <c r="I3738" t="inlineStr">
        <is>
          <t>长裙</t>
        </is>
      </c>
      <c r="J3738" t="inlineStr">
        <is>
          <t>0.01</t>
        </is>
      </c>
      <c r="K3738"/>
      <c r="L3738" t="inlineStr">
        <is>
          <t>小小小叻的店</t>
        </is>
      </c>
      <c r="M3738">
        <v>14000</v>
      </c>
      <c r="N3738">
        <v>4.52</v>
      </c>
      <c r="O3738">
        <v>62000</v>
      </c>
      <c r="P3738" t="inlineStr">
        <is>
          <t>67bc3a349759260001983b06</t>
        </is>
      </c>
      <c r="Q3738" t="inlineStr">
        <is>
          <t>🚫重复</t>
        </is>
      </c>
      <c r="R3738" t="inlineStr">
        <is>
          <t>14周</t>
        </is>
      </c>
      <c r="S3738" t="inlineStr">
        <is>
          <t>0.79</t>
        </is>
      </c>
      <c r="T3738" t="inlineStr">
        <is>
          <t>服饰穿搭</t>
        </is>
      </c>
      <c r="U3738" t="inlineStr">
        <is>
          <t>女装</t>
        </is>
      </c>
      <c r="V3738" s="3">
        <v>46116.835335648146</v>
      </c>
      <c r="W3738" t="inlineStr">
        <is>
          <t>2026-Q2</t>
        </is>
      </c>
    </row>
    <row r="3739" ht="25.5" customHeight="1">
      <c r="A3739" t="inlineStr">
        <is>
          <t>【味蕾的探索】农家话梅干 潮汕半干湿话梅酸酸甜甜带点咸味儿</t>
        </is>
      </c>
      <c r="B3739" t="inlineStr">
        <is>
          <t>recvfP5nJfIe8W.jpg</t>
        </is>
      </c>
      <c r="C3739" s="2" t="str">
        <f>=HYPERLINK("https://xhslink.com/m/7OVsGNfBFbq", "https://xhslink.com/m/7OVsGNfBFbq")</f>
        <v>https://xhslink.com/m/7OVsGNfBFbq</v>
      </c>
      <c r="D3739"/>
      <c r="E3739">
        <v>88000</v>
      </c>
      <c r="F3739">
        <v>19.9</v>
      </c>
      <c r="G3739">
        <v>8.9</v>
      </c>
      <c r="H3739">
        <v>100</v>
      </c>
      <c r="I3739" t="inlineStr">
        <is>
          <t>坚果果干</t>
        </is>
      </c>
      <c r="J3739" t="inlineStr">
        <is>
          <t>0.00</t>
        </is>
      </c>
      <c r="K3739"/>
      <c r="L3739" t="inlineStr">
        <is>
          <t>味蕾的探索的店</t>
        </is>
      </c>
      <c r="M3739">
        <v>53000</v>
      </c>
      <c r="N3739">
        <v>4.51</v>
      </c>
      <c r="O3739">
        <v>556000</v>
      </c>
      <c r="P3739" t="inlineStr">
        <is>
          <t>6864e7cbc340d50001012484</t>
        </is>
      </c>
      <c r="Q3739"/>
      <c r="R3739" t="inlineStr">
        <is>
          <t>14周</t>
        </is>
      </c>
      <c r="S3739" t="inlineStr">
        <is>
          <t>1.66</t>
        </is>
      </c>
      <c r="T3739" t="inlineStr">
        <is>
          <t>美食滋补</t>
        </is>
      </c>
      <c r="U3739" t="inlineStr">
        <is>
          <t>休闲零食</t>
        </is>
      </c>
      <c r="V3739" s="3">
        <v>46116.835335648146</v>
      </c>
      <c r="W3739" t="inlineStr">
        <is>
          <t>2026-Q2</t>
        </is>
      </c>
    </row>
    <row r="3740" ht="25.5" customHeight="1">
      <c r="A3740" t="inlineStr">
        <is>
          <t>【启味林野】无核话梅肉老梅干蜜饯果脯网红零食可泡水咸酸甜回甘</t>
        </is>
      </c>
      <c r="B3740" t="inlineStr">
        <is>
          <t>recvfP5nJf7T4N.jpg</t>
        </is>
      </c>
      <c r="C3740" s="2" t="str">
        <f>=HYPERLINK("https://xhslink.com/m/2UxKhPr4ezL", "https://xhslink.com/m/2UxKhPr4ezL")</f>
        <v>https://xhslink.com/m/2UxKhPr4ezL</v>
      </c>
      <c r="D3740"/>
      <c r="E3740">
        <v>46000</v>
      </c>
      <c r="F3740">
        <v>21.8</v>
      </c>
      <c r="G3740">
        <v>17.8</v>
      </c>
      <c r="H3740">
        <v>100</v>
      </c>
      <c r="I3740" t="inlineStr">
        <is>
          <t>坚果果干</t>
        </is>
      </c>
      <c r="J3740" t="inlineStr">
        <is>
          <t>0.00</t>
        </is>
      </c>
      <c r="K3740"/>
      <c r="L3740" t="inlineStr">
        <is>
          <t>启味林野零食小铺的店</t>
        </is>
      </c>
      <c r="M3740">
        <v>25000</v>
      </c>
      <c r="N3740">
        <v>4.53</v>
      </c>
      <c r="O3740">
        <v>331000</v>
      </c>
      <c r="P3740" t="inlineStr">
        <is>
          <t>64c3ab527eb5ba0001713d44</t>
        </is>
      </c>
      <c r="Q3740"/>
      <c r="R3740" t="inlineStr">
        <is>
          <t>14周</t>
        </is>
      </c>
      <c r="S3740" t="inlineStr">
        <is>
          <t>1.84</t>
        </is>
      </c>
      <c r="T3740" t="inlineStr">
        <is>
          <t>美食滋补</t>
        </is>
      </c>
      <c r="U3740" t="inlineStr">
        <is>
          <t>休闲零食</t>
        </is>
      </c>
      <c r="V3740" s="3">
        <v>46116.835335648146</v>
      </c>
      <c r="W3740" t="inlineStr">
        <is>
          <t>2026-Q2</t>
        </is>
      </c>
    </row>
    <row r="3741" ht="25.5" customHeight="1">
      <c r="A3741" t="inlineStr">
        <is>
          <t>加厚棉麻收纳盒可折叠可视窗家用抽屉式家居衣柜衣服裤子收纳盒</t>
        </is>
      </c>
      <c r="B3741" t="inlineStr">
        <is>
          <t>recvfP5nJf6QIh.jpg</t>
        </is>
      </c>
      <c r="C3741" s="2" t="str">
        <f>=HYPERLINK("https://xhslink.com/m/2vjMuBNiWGC", "https://xhslink.com/m/2vjMuBNiWGC")</f>
        <v>https://xhslink.com/m/2vjMuBNiWGC</v>
      </c>
      <c r="D3741"/>
      <c r="E3741">
        <v>99000</v>
      </c>
      <c r="F3741">
        <v>69.9</v>
      </c>
      <c r="G3741">
        <v>49.9</v>
      </c>
      <c r="H3741">
        <v>100</v>
      </c>
      <c r="I3741" t="inlineStr">
        <is>
          <t>收纳</t>
        </is>
      </c>
      <c r="J3741" t="inlineStr">
        <is>
          <t>0.00</t>
        </is>
      </c>
      <c r="K3741" t="inlineStr">
        <is>
          <t>🔥低粉爆款</t>
        </is>
      </c>
      <c r="L3741" t="inlineStr">
        <is>
          <t>是个宝藏鸭的店</t>
        </is>
      </c>
      <c r="M3741">
        <v>7267</v>
      </c>
      <c r="N3741">
        <v>4.64</v>
      </c>
      <c r="O3741">
        <v>153000</v>
      </c>
      <c r="P3741" t="inlineStr">
        <is>
          <t>6667a46da9c8b700010281a5</t>
        </is>
      </c>
      <c r="Q3741" t="inlineStr">
        <is>
          <t>🚫重复</t>
        </is>
      </c>
      <c r="R3741" t="inlineStr">
        <is>
          <t>14周</t>
        </is>
      </c>
      <c r="S3741" t="inlineStr">
        <is>
          <t>13.62</t>
        </is>
      </c>
      <c r="T3741" t="inlineStr">
        <is>
          <t>家居生活</t>
        </is>
      </c>
      <c r="U3741" t="inlineStr">
        <is>
          <t>家居日用</t>
        </is>
      </c>
      <c r="V3741" s="3">
        <v>46116.835335648146</v>
      </c>
      <c r="W3741" t="inlineStr">
        <is>
          <t>2026-Q2</t>
        </is>
      </c>
    </row>
    <row r="3742" ht="25.5" customHeight="1">
      <c r="A3742" t="inlineStr">
        <is>
          <t>henceforth｛Dottie｝波点爱心绗缝餐垫杯垫桌面装饰隔热韩系ins</t>
        </is>
      </c>
      <c r="B3742" t="inlineStr">
        <is>
          <t>recvfP5nJfX5FT.jpg</t>
        </is>
      </c>
      <c r="C3742" s="2" t="str">
        <f>=HYPERLINK("https://xhslink.com/m/7fbhxj6CWT5", "https://xhslink.com/m/7fbhxj6CWT5")</f>
        <v>https://xhslink.com/m/7fbhxj6CWT5</v>
      </c>
      <c r="D3742"/>
      <c r="E3742">
        <v>2090</v>
      </c>
      <c r="F3742">
        <v>19.9</v>
      </c>
      <c r="G3742"/>
      <c r="H3742">
        <v>100</v>
      </c>
      <c r="I3742" t="inlineStr">
        <is>
          <t>厨房用品</t>
        </is>
      </c>
      <c r="J3742" t="inlineStr">
        <is>
          <t>0.05</t>
        </is>
      </c>
      <c r="K3742"/>
      <c r="L3742" t="inlineStr">
        <is>
          <t>henceforth的店</t>
        </is>
      </c>
      <c r="M3742">
        <v>44000</v>
      </c>
      <c r="N3742">
        <v>4.52</v>
      </c>
      <c r="O3742">
        <v>19000</v>
      </c>
      <c r="P3742" t="inlineStr">
        <is>
          <t>6858dbde8b7d6f0001e0d92c</t>
        </is>
      </c>
      <c r="Q3742" t="inlineStr">
        <is>
          <t>🚫重复</t>
        </is>
      </c>
      <c r="R3742" t="inlineStr">
        <is>
          <t>14周</t>
        </is>
      </c>
      <c r="S3742" t="inlineStr">
        <is>
          <t>0.05</t>
        </is>
      </c>
      <c r="T3742" t="inlineStr">
        <is>
          <t>家居生活</t>
        </is>
      </c>
      <c r="U3742" t="inlineStr">
        <is>
          <t>厨房餐饮</t>
        </is>
      </c>
      <c r="V3742" s="3">
        <v>46116.835335648146</v>
      </c>
      <c r="W3742" t="inlineStr">
        <is>
          <t>2026-Q2</t>
        </is>
      </c>
    </row>
    <row r="3743" ht="25.5" customHeight="1">
      <c r="A3743" t="inlineStr">
        <is>
          <t>良品故事 · 浴室不锈钢置物架免打孔洗手间洗漱洗手台壁挂快拆收纳篮</t>
        </is>
      </c>
      <c r="B3743" t="inlineStr">
        <is>
          <t>recvfP5nJf3sGs.jpg</t>
        </is>
      </c>
      <c r="C3743" s="2" t="str">
        <f>=HYPERLINK("https://xhslink.com/m/2aB7dkyHi3c", "https://xhslink.com/m/2aB7dkyHi3c")</f>
        <v>https://xhslink.com/m/2aB7dkyHi3c</v>
      </c>
      <c r="D3743"/>
      <c r="E3743">
        <v>2850</v>
      </c>
      <c r="F3743">
        <v>75.9</v>
      </c>
      <c r="G3743">
        <v>72.9</v>
      </c>
      <c r="H3743">
        <v>100</v>
      </c>
      <c r="I3743" t="inlineStr">
        <is>
          <t>卫生间用品</t>
        </is>
      </c>
      <c r="J3743" t="inlineStr">
        <is>
          <t>0.04</t>
        </is>
      </c>
      <c r="K3743"/>
      <c r="L3743" t="inlineStr">
        <is>
          <t>良品故事旗舰店</t>
        </is>
      </c>
      <c r="M3743">
        <v>13000</v>
      </c>
      <c r="N3743">
        <v>4.39</v>
      </c>
      <c r="O3743">
        <v>10000</v>
      </c>
      <c r="P3743" t="inlineStr">
        <is>
          <t>693f833963db6a0015a98e14</t>
        </is>
      </c>
      <c r="Q3743" t="inlineStr">
        <is>
          <t>🚫重复</t>
        </is>
      </c>
      <c r="R3743" t="inlineStr">
        <is>
          <t>14周</t>
        </is>
      </c>
      <c r="S3743" t="inlineStr">
        <is>
          <t>0.22</t>
        </is>
      </c>
      <c r="T3743" t="inlineStr">
        <is>
          <t>家居生活</t>
        </is>
      </c>
      <c r="U3743" t="inlineStr">
        <is>
          <t>家居日用</t>
        </is>
      </c>
      <c r="V3743" s="3">
        <v>46116.835335648146</v>
      </c>
      <c r="W3743" t="inlineStr">
        <is>
          <t>2026-Q2</t>
        </is>
      </c>
    </row>
    <row r="3744" ht="25.5" customHeight="1">
      <c r="A3744" t="inlineStr">
        <is>
          <t>【四个装】多巴胺吸盘挂钩免打孔挂衣钩壁挂卫生间强承重粘钩无痕</t>
        </is>
      </c>
      <c r="B3744" t="inlineStr">
        <is>
          <t>recvfP5nJfGAIj.jpg</t>
        </is>
      </c>
      <c r="C3744" s="2" t="str">
        <f>=HYPERLINK("https://xhslink.com/m/1Ki7D9ufL3u", "https://xhslink.com/m/1Ki7D9ufL3u")</f>
        <v>https://xhslink.com/m/1Ki7D9ufL3u</v>
      </c>
      <c r="D3744"/>
      <c r="E3744">
        <v>71000</v>
      </c>
      <c r="F3744">
        <v>19.9</v>
      </c>
      <c r="G3744">
        <v>9.9</v>
      </c>
      <c r="H3744">
        <v>100</v>
      </c>
      <c r="I3744" t="inlineStr">
        <is>
          <t>卫生间用品</t>
        </is>
      </c>
      <c r="J3744" t="inlineStr">
        <is>
          <t>0.00</t>
        </is>
      </c>
      <c r="K3744" t="inlineStr">
        <is>
          <t>🔥低粉爆款</t>
        </is>
      </c>
      <c r="L3744" t="inlineStr">
        <is>
          <t>哦耶鸭好物的店</t>
        </is>
      </c>
      <c r="M3744">
        <v>1488</v>
      </c>
      <c r="N3744">
        <v>4.52</v>
      </c>
      <c r="O3744">
        <v>109000</v>
      </c>
      <c r="P3744" t="inlineStr">
        <is>
          <t>68005cfc0c1b740015af8b47</t>
        </is>
      </c>
      <c r="Q3744"/>
      <c r="R3744" t="inlineStr">
        <is>
          <t>14周</t>
        </is>
      </c>
      <c r="S3744" t="inlineStr">
        <is>
          <t>47.72</t>
        </is>
      </c>
      <c r="T3744" t="inlineStr">
        <is>
          <t>家居生活</t>
        </is>
      </c>
      <c r="U3744" t="inlineStr">
        <is>
          <t>家居日用</t>
        </is>
      </c>
      <c r="V3744" s="3">
        <v>46116.835335648146</v>
      </c>
      <c r="W3744" t="inlineStr">
        <is>
          <t>2026-Q2</t>
        </is>
      </c>
    </row>
    <row r="3745" ht="25.5" customHeight="1">
      <c r="A3745" t="inlineStr">
        <is>
          <t>「蚊子，别嗡嗡！」天然香茅草柠檬草香薰 宠物友好型不含药</t>
        </is>
      </c>
      <c r="B3745" t="inlineStr">
        <is>
          <t>recvfP5nJfs5NY.jpg</t>
        </is>
      </c>
      <c r="C3745" s="2" t="str">
        <f>=HYPERLINK("https://xhslink.com/m/7gUHQEaktX", "https://xhslink.com/m/7gUHQEaktX")</f>
        <v>https://xhslink.com/m/7gUHQEaktX</v>
      </c>
      <c r="D3745"/>
      <c r="E3745">
        <v>14000</v>
      </c>
      <c r="F3745">
        <v>54</v>
      </c>
      <c r="G3745">
        <v>30</v>
      </c>
      <c r="H3745">
        <v>100</v>
      </c>
      <c r="I3745" t="inlineStr">
        <is>
          <t>香薰</t>
        </is>
      </c>
      <c r="J3745" t="inlineStr">
        <is>
          <t>0.01</t>
        </is>
      </c>
      <c r="K3745" t="inlineStr">
        <is>
          <t>🔥低粉爆款</t>
        </is>
      </c>
      <c r="L3745" t="inlineStr">
        <is>
          <t>臭蚊蚊别嗡嗡的店</t>
        </is>
      </c>
      <c r="M3745">
        <v>1530</v>
      </c>
      <c r="N3745">
        <v>4.64</v>
      </c>
      <c r="O3745">
        <v>14000</v>
      </c>
      <c r="P3745" t="inlineStr">
        <is>
          <t>6828673c82d86e000171e6a5</t>
        </is>
      </c>
      <c r="Q3745"/>
      <c r="R3745" t="inlineStr">
        <is>
          <t>14周</t>
        </is>
      </c>
      <c r="S3745" t="inlineStr">
        <is>
          <t>9.15</t>
        </is>
      </c>
      <c r="T3745" t="inlineStr">
        <is>
          <t>家居生活</t>
        </is>
      </c>
      <c r="U3745" t="inlineStr">
        <is>
          <t>家居日用</t>
        </is>
      </c>
      <c r="V3745" s="3">
        <v>46116.835335648146</v>
      </c>
      <c r="W3745" t="inlineStr">
        <is>
          <t>2026-Q2</t>
        </is>
      </c>
    </row>
    <row r="3746" ht="25.5" customHeight="1">
      <c r="A3746" t="inlineStr">
        <is>
          <t>静檀香·花香解语阿根廷古法天然纯手搓玫瑰花茉莉花桂花卧室香薰</t>
        </is>
      </c>
      <c r="B3746" t="inlineStr">
        <is>
          <t>recvfP5nJfkMBf.jpg</t>
        </is>
      </c>
      <c r="C3746" s="2" t="str">
        <f>=HYPERLINK("https://xhslink.com/m/3hwlAouioKP", "https://xhslink.com/m/3hwlAouioKP")</f>
        <v>https://xhslink.com/m/3hwlAouioKP</v>
      </c>
      <c r="D3746"/>
      <c r="E3746">
        <v>11000</v>
      </c>
      <c r="F3746">
        <v>88</v>
      </c>
      <c r="G3746">
        <v>36</v>
      </c>
      <c r="H3746">
        <v>100</v>
      </c>
      <c r="I3746" t="inlineStr">
        <is>
          <t>香薰</t>
        </is>
      </c>
      <c r="J3746" t="inlineStr">
        <is>
          <t>0.01</t>
        </is>
      </c>
      <c r="K3746" t="inlineStr">
        <is>
          <t>🔥低粉爆款</t>
        </is>
      </c>
      <c r="L3746" t="inlineStr">
        <is>
          <t>静檀雅轩的店</t>
        </is>
      </c>
      <c r="M3746">
        <v>496</v>
      </c>
      <c r="N3746">
        <v>4.69</v>
      </c>
      <c r="O3746">
        <v>13000</v>
      </c>
      <c r="P3746" t="inlineStr">
        <is>
          <t>68fcac3842726100015151af</t>
        </is>
      </c>
      <c r="Q3746"/>
      <c r="R3746" t="inlineStr">
        <is>
          <t>14周</t>
        </is>
      </c>
      <c r="S3746" t="inlineStr">
        <is>
          <t>22.18</t>
        </is>
      </c>
      <c r="T3746" t="inlineStr">
        <is>
          <t>家居生活</t>
        </is>
      </c>
      <c r="U3746" t="inlineStr">
        <is>
          <t>家居日用</t>
        </is>
      </c>
      <c r="V3746" s="3">
        <v>46116.835335648146</v>
      </c>
      <c r="W3746" t="inlineStr">
        <is>
          <t>2026-Q2</t>
        </is>
      </c>
    </row>
    <row r="3747" ht="25.5" customHeight="1">
      <c r="A3747" t="inlineStr">
        <is>
          <t>hetras. · 韩国hetras室内香薰植物成分无添加持久扩香除异味花香木香</t>
        </is>
      </c>
      <c r="B3747" t="inlineStr">
        <is>
          <t>recvfP5nJfZOSy.jpg</t>
        </is>
      </c>
      <c r="C3747" s="2" t="str">
        <f>=HYPERLINK("https://xhslink.com/m/8vltZFSzees", "https://xhslink.com/m/8vltZFSzees")</f>
        <v>https://xhslink.com/m/8vltZFSzees</v>
      </c>
      <c r="D3747"/>
      <c r="E3747">
        <v>2949</v>
      </c>
      <c r="F3747">
        <v>100</v>
      </c>
      <c r="G3747">
        <v>75</v>
      </c>
      <c r="H3747">
        <v>100</v>
      </c>
      <c r="I3747" t="inlineStr">
        <is>
          <t>香薰</t>
        </is>
      </c>
      <c r="J3747" t="inlineStr">
        <is>
          <t>0.03</t>
        </is>
      </c>
      <c r="K3747"/>
      <c r="L3747" t="inlineStr">
        <is>
          <t>大发in Korea的店</t>
        </is>
      </c>
      <c r="M3747">
        <v>11000</v>
      </c>
      <c r="N3747">
        <v>4.72</v>
      </c>
      <c r="O3747">
        <v>44000</v>
      </c>
      <c r="P3747" t="inlineStr">
        <is>
          <t>694d38dac13d0f00158d8938</t>
        </is>
      </c>
      <c r="Q3747"/>
      <c r="R3747" t="inlineStr">
        <is>
          <t>14周</t>
        </is>
      </c>
      <c r="S3747" t="inlineStr">
        <is>
          <t>0.27</t>
        </is>
      </c>
      <c r="T3747" t="inlineStr">
        <is>
          <t>家居生活</t>
        </is>
      </c>
      <c r="U3747" t="inlineStr">
        <is>
          <t>家居日用</t>
        </is>
      </c>
      <c r="V3747" s="3">
        <v>46116.835335648146</v>
      </c>
      <c r="W3747" t="inlineStr">
        <is>
          <t>2026-Q2</t>
        </is>
      </c>
    </row>
    <row r="3748" ht="25.5" customHeight="1">
      <c r="A3748" t="inlineStr">
        <is>
          <t>Yi JIu｜水果香薰蜡烛限定小罐试香</t>
        </is>
      </c>
      <c r="B3748" t="inlineStr">
        <is>
          <t>recvfP5nJfJZi2.jpg</t>
        </is>
      </c>
      <c r="C3748" s="2" t="str">
        <f>=HYPERLINK("https://xhslink.com/m/muf2Wi5pGa", "https://xhslink.com/m/muf2Wi5pGa")</f>
        <v>https://xhslink.com/m/muf2Wi5pGa</v>
      </c>
      <c r="D3748"/>
      <c r="E3748">
        <v>1781</v>
      </c>
      <c r="F3748">
        <v>29.9</v>
      </c>
      <c r="G3748">
        <v>27.9</v>
      </c>
      <c r="H3748">
        <v>100</v>
      </c>
      <c r="I3748" t="inlineStr">
        <is>
          <t>香薰</t>
        </is>
      </c>
      <c r="J3748" t="inlineStr">
        <is>
          <t>0.06</t>
        </is>
      </c>
      <c r="K3748"/>
      <c r="L3748" t="inlineStr">
        <is>
          <t>Yi Jiu的店</t>
        </is>
      </c>
      <c r="M3748">
        <v>4754</v>
      </c>
      <c r="N3748">
        <v>4.63</v>
      </c>
      <c r="O3748">
        <v>14000</v>
      </c>
      <c r="P3748" t="inlineStr">
        <is>
          <t>692968c8ce3eb5000143bce3</t>
        </is>
      </c>
      <c r="Q3748"/>
      <c r="R3748" t="inlineStr">
        <is>
          <t>14周</t>
        </is>
      </c>
      <c r="S3748" t="inlineStr">
        <is>
          <t>0.37</t>
        </is>
      </c>
      <c r="T3748" t="inlineStr">
        <is>
          <t>家居生活</t>
        </is>
      </c>
      <c r="U3748" t="inlineStr">
        <is>
          <t>家居日用</t>
        </is>
      </c>
      <c r="V3748" s="3">
        <v>46116.835335648146</v>
      </c>
      <c r="W3748" t="inlineStr">
        <is>
          <t>2026-Q2</t>
        </is>
      </c>
    </row>
    <row r="3749" ht="25.5" customHeight="1">
      <c r="A3749" t="inlineStr">
        <is>
          <t>海派甜心釉下彩苹果碗陶瓷碗具餐盘套装</t>
        </is>
      </c>
      <c r="B3749" t="inlineStr">
        <is>
          <t>recvfP5nJfG4bj.jpg</t>
        </is>
      </c>
      <c r="C3749" s="2" t="str">
        <f>=HYPERLINK("https://xhslink.com/m/7MxUWLhOEni", "https://xhslink.com/m/7MxUWLhOEni")</f>
        <v>https://xhslink.com/m/7MxUWLhOEni</v>
      </c>
      <c r="D3749"/>
      <c r="E3749">
        <v>13000</v>
      </c>
      <c r="F3749">
        <v>148</v>
      </c>
      <c r="G3749">
        <v>125.8</v>
      </c>
      <c r="H3749">
        <v>100</v>
      </c>
      <c r="I3749" t="inlineStr">
        <is>
          <t>厨房用品</t>
        </is>
      </c>
      <c r="J3749" t="inlineStr">
        <is>
          <t>0.01</t>
        </is>
      </c>
      <c r="K3749" t="inlineStr">
        <is>
          <t>🔥低粉爆款</t>
        </is>
      </c>
      <c r="L3749" t="inlineStr">
        <is>
          <t>I77 HOME（乾誉）的店</t>
        </is>
      </c>
      <c r="M3749">
        <v>794</v>
      </c>
      <c r="N3749">
        <v>4.48</v>
      </c>
      <c r="O3749">
        <v>16000</v>
      </c>
      <c r="P3749" t="inlineStr">
        <is>
          <t>6925478db644e400016e9c3b</t>
        </is>
      </c>
      <c r="Q3749" t="inlineStr">
        <is>
          <t>🚫重复</t>
        </is>
      </c>
      <c r="R3749" t="inlineStr">
        <is>
          <t>14周</t>
        </is>
      </c>
      <c r="S3749" t="inlineStr">
        <is>
          <t>16.37</t>
        </is>
      </c>
      <c r="T3749" t="inlineStr">
        <is>
          <t>家居生活</t>
        </is>
      </c>
      <c r="U3749" t="inlineStr">
        <is>
          <t>厨房餐饮</t>
        </is>
      </c>
      <c r="V3749" s="3">
        <v>46116.835335648146</v>
      </c>
      <c r="W3749" t="inlineStr">
        <is>
          <t>2026-Q2</t>
        </is>
      </c>
    </row>
    <row r="3750" ht="25.5" customHeight="1">
      <c r="A3750" t="inlineStr">
        <is>
          <t>HonJohn · 【重磅升级】大绿锅聚油煎炒锅不粘平底家用炒菜燃气灶电磁炉通用</t>
        </is>
      </c>
      <c r="B3750" t="inlineStr">
        <is>
          <t>recvfP5nJf2IPE.jpg</t>
        </is>
      </c>
      <c r="C3750" s="2" t="str">
        <f>=HYPERLINK("https://xhslink.com/m/5uQDbgLgDw8", "https://xhslink.com/m/5uQDbgLgDw8")</f>
        <v>https://xhslink.com/m/5uQDbgLgDw8</v>
      </c>
      <c r="D3750"/>
      <c r="E3750">
        <v>5467</v>
      </c>
      <c r="F3750">
        <v>269</v>
      </c>
      <c r="G3750">
        <v>168</v>
      </c>
      <c r="H3750">
        <v>100</v>
      </c>
      <c r="I3750" t="inlineStr">
        <is>
          <t>厨房用品</t>
        </is>
      </c>
      <c r="J3750" t="inlineStr">
        <is>
          <t>0.02</t>
        </is>
      </c>
      <c r="K3750"/>
      <c r="L3750" t="inlineStr">
        <is>
          <t>HonJohn的店</t>
        </is>
      </c>
      <c r="M3750">
        <v>7360</v>
      </c>
      <c r="N3750">
        <v>4.55</v>
      </c>
      <c r="O3750">
        <v>35000</v>
      </c>
      <c r="P3750" t="inlineStr">
        <is>
          <t>68774e6de019f20001f5f68e</t>
        </is>
      </c>
      <c r="Q3750" t="inlineStr">
        <is>
          <t>🚫重复</t>
        </is>
      </c>
      <c r="R3750" t="inlineStr">
        <is>
          <t>14周</t>
        </is>
      </c>
      <c r="S3750" t="inlineStr">
        <is>
          <t>0.74</t>
        </is>
      </c>
      <c r="T3750" t="inlineStr">
        <is>
          <t>家居生活</t>
        </is>
      </c>
      <c r="U3750" t="inlineStr">
        <is>
          <t>厨房餐饮</t>
        </is>
      </c>
      <c r="V3750" s="3">
        <v>46116.835335648146</v>
      </c>
      <c r="W3750" t="inlineStr">
        <is>
          <t>2026-Q2</t>
        </is>
      </c>
    </row>
    <row r="3751" ht="25.5" customHeight="1">
      <c r="A3751" t="inlineStr">
        <is>
          <t>直筒运动卫裤女春季2026新款高腰宽松女装窄版阔腿裤显瘦休闲裤子</t>
        </is>
      </c>
      <c r="B3751" t="inlineStr">
        <is>
          <t>recvfP5nJfGl2C.jpg</t>
        </is>
      </c>
      <c r="C3751" s="2" t="str">
        <f>=HYPERLINK("https://xhslink.com/m/A6Ve4js1qp7", "https://xhslink.com/m/A6Ve4js1qp7")</f>
        <v>https://xhslink.com/m/A6Ve4js1qp7</v>
      </c>
      <c r="D3751"/>
      <c r="E3751">
        <v>87000</v>
      </c>
      <c r="F3751">
        <v>114.2</v>
      </c>
      <c r="G3751">
        <v>79.9</v>
      </c>
      <c r="H3751">
        <v>100</v>
      </c>
      <c r="I3751" t="inlineStr">
        <is>
          <t>运动裤</t>
        </is>
      </c>
      <c r="J3751" t="inlineStr">
        <is>
          <t>0.00</t>
        </is>
      </c>
      <c r="K3751"/>
      <c r="L3751" t="inlineStr">
        <is>
          <t>小薯崽的店</t>
        </is>
      </c>
      <c r="M3751">
        <v>43000</v>
      </c>
      <c r="N3751">
        <v>4.58</v>
      </c>
      <c r="O3751">
        <v>341000</v>
      </c>
      <c r="P3751" t="inlineStr">
        <is>
          <t>67ec9fa95d35ce0001b32c51</t>
        </is>
      </c>
      <c r="Q3751" t="inlineStr">
        <is>
          <t>🚫重复</t>
        </is>
      </c>
      <c r="R3751" t="inlineStr">
        <is>
          <t>14周</t>
        </is>
      </c>
      <c r="S3751" t="inlineStr">
        <is>
          <t>2.02</t>
        </is>
      </c>
      <c r="T3751" t="inlineStr">
        <is>
          <t>服饰穿搭</t>
        </is>
      </c>
      <c r="U3751" t="inlineStr">
        <is>
          <t>女装</t>
        </is>
      </c>
      <c r="V3751" s="3">
        <v>46116.835335648146</v>
      </c>
      <c r="W3751" t="inlineStr">
        <is>
          <t>2026-Q2</t>
        </is>
      </c>
    </row>
    <row r="3752" ht="25.5" customHeight="1">
      <c r="A3752" t="inlineStr">
        <is>
          <t>MAIA ACTIVE · 友好市集 【虞书欣同款】 腰精裤4.0 收腹提臀瑜伽健身运动裤子</t>
        </is>
      </c>
      <c r="B3752" t="inlineStr">
        <is>
          <t>recvfP5nJfISYj.jpg</t>
        </is>
      </c>
      <c r="C3752" s="2" t="str">
        <f>=HYPERLINK("https://xhslink.com/m/A0V7Va3dzBN", "https://xhslink.com/m/A0V7Va3dzBN")</f>
        <v>https://xhslink.com/m/A0V7Va3dzBN</v>
      </c>
      <c r="D3752"/>
      <c r="E3752">
        <v>11000</v>
      </c>
      <c r="F3752">
        <v>399</v>
      </c>
      <c r="G3752">
        <v>339</v>
      </c>
      <c r="H3752">
        <v>100</v>
      </c>
      <c r="I3752" t="inlineStr">
        <is>
          <t>运动裤</t>
        </is>
      </c>
      <c r="J3752" t="inlineStr">
        <is>
          <t>0.01</t>
        </is>
      </c>
      <c r="K3752"/>
      <c r="L3752" t="inlineStr">
        <is>
          <t>MAIA ACTIVE旗舰店</t>
        </is>
      </c>
      <c r="M3752">
        <v>226000</v>
      </c>
      <c r="N3752">
        <v>4.66</v>
      </c>
      <c r="O3752">
        <v>578000</v>
      </c>
      <c r="P3752" t="inlineStr">
        <is>
          <t>683b37b3db573700019768c1</t>
        </is>
      </c>
      <c r="Q3752" t="inlineStr">
        <is>
          <t>🚫重复</t>
        </is>
      </c>
      <c r="R3752" t="inlineStr">
        <is>
          <t>14周</t>
        </is>
      </c>
      <c r="S3752" t="inlineStr">
        <is>
          <t>0.05</t>
        </is>
      </c>
      <c r="T3752" t="inlineStr">
        <is>
          <t>运动潮玩</t>
        </is>
      </c>
      <c r="U3752" t="inlineStr">
        <is>
          <t>运动户外装备</t>
        </is>
      </c>
      <c r="V3752" s="3">
        <v>46116.835335648146</v>
      </c>
      <c r="W3752" t="inlineStr">
        <is>
          <t>2026-Q2</t>
        </is>
      </c>
    </row>
    <row r="3753" ht="25.5" customHeight="1">
      <c r="A3753" t="inlineStr">
        <is>
          <t>前1w单特价.yukio丑娃娃富士山三日橘许愿星美人鱼四叶草挂件玩偶</t>
        </is>
      </c>
      <c r="B3753" t="inlineStr">
        <is>
          <t>recvfP5nJfEPQ3.jpg</t>
        </is>
      </c>
      <c r="C3753" s="2" t="str">
        <f>=HYPERLINK("https://xhslink.com/m/AZsdmhwm1H7", "https://xhslink.com/m/AZsdmhwm1H7")</f>
        <v>https://xhslink.com/m/AZsdmhwm1H7</v>
      </c>
      <c r="D3753"/>
      <c r="E3753">
        <v>4007</v>
      </c>
      <c r="F3753">
        <v>39</v>
      </c>
      <c r="G3753">
        <v>24.8</v>
      </c>
      <c r="H3753">
        <v>100</v>
      </c>
      <c r="I3753" t="inlineStr">
        <is>
          <t>毛线玩偶</t>
        </is>
      </c>
      <c r="J3753" t="inlineStr">
        <is>
          <t>0.02</t>
        </is>
      </c>
      <c r="K3753" t="inlineStr">
        <is>
          <t>🔥低粉爆款</t>
        </is>
      </c>
      <c r="L3753" t="inlineStr">
        <is>
          <t>万物皆可盼的店</t>
        </is>
      </c>
      <c r="M3753">
        <v>75</v>
      </c>
      <c r="N3753">
        <v>4.65</v>
      </c>
      <c r="O3753">
        <v>5888</v>
      </c>
      <c r="P3753" t="inlineStr">
        <is>
          <t>696b7f1497279300015f51e5</t>
        </is>
      </c>
      <c r="Q3753" t="inlineStr">
        <is>
          <t>🚫重复</t>
        </is>
      </c>
      <c r="R3753" t="inlineStr">
        <is>
          <t>14周</t>
        </is>
      </c>
      <c r="S3753" t="inlineStr">
        <is>
          <t>53.43</t>
        </is>
      </c>
      <c r="T3753" t="inlineStr">
        <is>
          <t>母婴亲子</t>
        </is>
      </c>
      <c r="U3753" t="inlineStr">
        <is>
          <t>玩具早教</t>
        </is>
      </c>
      <c r="V3753" s="3">
        <v>46116.835335648146</v>
      </c>
      <c r="W3753" t="inlineStr">
        <is>
          <t>2026-Q2</t>
        </is>
      </c>
    </row>
    <row r="3754" ht="25.5" customHeight="1">
      <c r="A3754" t="inlineStr">
        <is>
          <t>宠物定制3D浮雕茸仔叠叠乐挂件猫咪狗狗生日纪念礼物</t>
        </is>
      </c>
      <c r="B3754" t="inlineStr">
        <is>
          <t>recvfP5nJflH1D.jpg</t>
        </is>
      </c>
      <c r="C3754" s="2" t="str">
        <f>=HYPERLINK("https://xhslink.com/m/3CXOLczomDv", "https://xhslink.com/m/3CXOLczomDv")</f>
        <v>https://xhslink.com/m/3CXOLczomDv</v>
      </c>
      <c r="D3754"/>
      <c r="E3754">
        <v>2146</v>
      </c>
      <c r="F3754">
        <v>999.9</v>
      </c>
      <c r="G3754"/>
      <c r="H3754">
        <v>100</v>
      </c>
      <c r="I3754" t="inlineStr">
        <is>
          <t>小物件</t>
        </is>
      </c>
      <c r="J3754" t="inlineStr">
        <is>
          <t>0.05</t>
        </is>
      </c>
      <c r="K3754"/>
      <c r="L3754" t="inlineStr">
        <is>
          <t>茸仔AI手办_Ronronland的店</t>
        </is>
      </c>
      <c r="M3754">
        <v>3008</v>
      </c>
      <c r="N3754">
        <v>4.62</v>
      </c>
      <c r="O3754">
        <v>2347</v>
      </c>
      <c r="P3754" t="inlineStr">
        <is>
          <t>699d1d54880da20001fc36d2</t>
        </is>
      </c>
      <c r="Q3754"/>
      <c r="R3754" t="inlineStr">
        <is>
          <t>14周</t>
        </is>
      </c>
      <c r="S3754" t="inlineStr">
        <is>
          <t>0.71</t>
        </is>
      </c>
      <c r="T3754" t="inlineStr">
        <is>
          <t>家居生活</t>
        </is>
      </c>
      <c r="U3754" t="inlineStr">
        <is>
          <t>宠物用品</t>
        </is>
      </c>
      <c r="V3754" s="3">
        <v>46116.835335648146</v>
      </c>
      <c r="W3754" t="inlineStr">
        <is>
          <t>2026-Q2</t>
        </is>
      </c>
    </row>
    <row r="3755" ht="25.5" customHeight="1">
      <c r="A3755" t="inlineStr">
        <is>
          <t>流行周日 · 【清仓特价】小心老腰MINI警示牌抱枕创意礼物靠枕办公室实用</t>
        </is>
      </c>
      <c r="B3755" t="inlineStr">
        <is>
          <t>recvfP5nJf8ps1.jpg</t>
        </is>
      </c>
      <c r="C3755" s="2" t="str">
        <f>=HYPERLINK("https://xhslink.com/m/3aATOYxRWNy", "https://xhslink.com/m/3aATOYxRWNy")</f>
        <v>https://xhslink.com/m/3aATOYxRWNy</v>
      </c>
      <c r="D3755"/>
      <c r="E3755">
        <v>3057</v>
      </c>
      <c r="F3755">
        <v>29</v>
      </c>
      <c r="G3755"/>
      <c r="H3755">
        <v>100</v>
      </c>
      <c r="I3755" t="inlineStr">
        <is>
          <t>小物件</t>
        </is>
      </c>
      <c r="J3755" t="inlineStr">
        <is>
          <t>0.03</t>
        </is>
      </c>
      <c r="K3755"/>
      <c r="L3755" t="inlineStr">
        <is>
          <t>POP SUNDAY流行周日的店</t>
        </is>
      </c>
      <c r="M3755">
        <v>57000</v>
      </c>
      <c r="N3755">
        <v>4.67</v>
      </c>
      <c r="O3755">
        <v>70000</v>
      </c>
      <c r="P3755" t="inlineStr">
        <is>
          <t>6948e498f17edd0001e215d9</t>
        </is>
      </c>
      <c r="Q3755"/>
      <c r="R3755" t="inlineStr">
        <is>
          <t>14周</t>
        </is>
      </c>
      <c r="S3755" t="inlineStr">
        <is>
          <t>0.05</t>
        </is>
      </c>
      <c r="T3755" t="inlineStr">
        <is>
          <t>家居生活</t>
        </is>
      </c>
      <c r="U3755" t="inlineStr">
        <is>
          <t>家居日用</t>
        </is>
      </c>
      <c r="V3755" s="3">
        <v>46116.835335648146</v>
      </c>
      <c r="W3755" t="inlineStr">
        <is>
          <t>2026-Q2</t>
        </is>
      </c>
    </row>
    <row r="3756" ht="25.5" customHeight="1">
      <c r="A3756" t="inlineStr">
        <is>
          <t>原创苹果桌面ipad笔记本电脑支架书立侧立办公室收纳洞洞板小物件</t>
        </is>
      </c>
      <c r="B3756" t="inlineStr">
        <is>
          <t>recvfP5nJftM7z.jpg</t>
        </is>
      </c>
      <c r="C3756" s="2" t="str">
        <f>=HYPERLINK("https://xhslink.com/m/4uHVchD6elY", "https://xhslink.com/m/4uHVchD6elY")</f>
        <v>https://xhslink.com/m/4uHVchD6elY</v>
      </c>
      <c r="D3756"/>
      <c r="E3756">
        <v>735</v>
      </c>
      <c r="F3756">
        <v>188</v>
      </c>
      <c r="G3756">
        <v>168</v>
      </c>
      <c r="H3756">
        <v>100</v>
      </c>
      <c r="I3756" t="inlineStr">
        <is>
          <t>小物件</t>
        </is>
      </c>
      <c r="J3756" t="inlineStr">
        <is>
          <t>0.14</t>
        </is>
      </c>
      <c r="K3756"/>
      <c r="L3756" t="inlineStr">
        <is>
          <t>Buy me color！给点颜色的店</t>
        </is>
      </c>
      <c r="M3756">
        <v>1027</v>
      </c>
      <c r="N3756">
        <v>4.55</v>
      </c>
      <c r="O3756">
        <v>1372</v>
      </c>
      <c r="P3756" t="inlineStr">
        <is>
          <t>690a00af9509c1000135fc93</t>
        </is>
      </c>
      <c r="Q3756"/>
      <c r="R3756" t="inlineStr">
        <is>
          <t>14周</t>
        </is>
      </c>
      <c r="S3756" t="inlineStr">
        <is>
          <t>0.72</t>
        </is>
      </c>
      <c r="T3756" t="inlineStr">
        <is>
          <t>运动潮玩</t>
        </is>
      </c>
      <c r="U3756" t="inlineStr">
        <is>
          <t>图书文创</t>
        </is>
      </c>
      <c r="V3756" s="3">
        <v>46116.835335648146</v>
      </c>
      <c r="W3756" t="inlineStr">
        <is>
          <t>2026-Q2</t>
        </is>
      </c>
    </row>
    <row r="3757" ht="25.5" customHeight="1">
      <c r="A3757" t="inlineStr">
        <is>
          <t>卓正儿康 · 易缓舒橘红膏儿童宝宝罗汉果陈皮甘草化州四季清润橘红膏成人</t>
        </is>
      </c>
      <c r="B3757" t="inlineStr">
        <is>
          <t>recvfP5nJfYmKf.jpg</t>
        </is>
      </c>
      <c r="C3757" s="2" t="str">
        <f>=HYPERLINK("https://xhslink.com/m/6dYXdvzuwyO", "https://xhslink.com/m/6dYXdvzuwyO")</f>
        <v>https://xhslink.com/m/6dYXdvzuwyO</v>
      </c>
      <c r="D3757"/>
      <c r="E3757">
        <v>29000</v>
      </c>
      <c r="F3757">
        <v>128</v>
      </c>
      <c r="G3757">
        <v>104</v>
      </c>
      <c r="H3757">
        <v>100</v>
      </c>
      <c r="I3757" t="inlineStr">
        <is>
          <t>儿童食品</t>
        </is>
      </c>
      <c r="J3757" t="inlineStr">
        <is>
          <t>0.00</t>
        </is>
      </c>
      <c r="K3757" t="inlineStr">
        <is>
          <t>🔥低粉爆款</t>
        </is>
      </c>
      <c r="L3757" t="inlineStr">
        <is>
          <t>卓正儿康旗舰店</t>
        </is>
      </c>
      <c r="M3757">
        <v>8630</v>
      </c>
      <c r="N3757">
        <v>4.67</v>
      </c>
      <c r="O3757">
        <v>78000</v>
      </c>
      <c r="P3757" t="inlineStr">
        <is>
          <t>66e2621e17128e000164689c</t>
        </is>
      </c>
      <c r="Q3757" t="inlineStr">
        <is>
          <t>🚫重复</t>
        </is>
      </c>
      <c r="R3757" t="inlineStr">
        <is>
          <t>14周</t>
        </is>
      </c>
      <c r="S3757" t="inlineStr">
        <is>
          <t>3.36</t>
        </is>
      </c>
      <c r="T3757" t="inlineStr">
        <is>
          <t>母婴亲子</t>
        </is>
      </c>
      <c r="U3757" t="inlineStr">
        <is>
          <t>童装童鞋</t>
        </is>
      </c>
      <c r="V3757" s="3">
        <v>46116.835335648146</v>
      </c>
      <c r="W3757" t="inlineStr">
        <is>
          <t>2026-Q2</t>
        </is>
      </c>
    </row>
    <row r="3758" ht="25.5" customHeight="1">
      <c r="A3758" t="inlineStr">
        <is>
          <t>正宗山东烟台栖霞红富士苹果水果脆甜果园直发优质农产品</t>
        </is>
      </c>
      <c r="B3758" t="inlineStr">
        <is>
          <t>recvfVt9jWE4IW.jpg</t>
        </is>
      </c>
      <c r="C3758" s="2" t="str">
        <f>=HYPERLINK("https://xhslink.com/m/2nIhXTd2qFD", "https://xhslink.com/m/2nIhXTd2qFD")</f>
        <v>https://xhslink.com/m/2nIhXTd2qFD</v>
      </c>
      <c r="D3758"/>
      <c r="E3758">
        <v>355000</v>
      </c>
      <c r="F3758">
        <v>69.8</v>
      </c>
      <c r="G3758">
        <v>56.8</v>
      </c>
      <c r="H3758">
        <v>100</v>
      </c>
      <c r="I3758" t="inlineStr">
        <is>
          <t>水果</t>
        </is>
      </c>
      <c r="J3758" t="inlineStr">
        <is>
          <t>0.00</t>
        </is>
      </c>
      <c r="K3758" t="inlineStr">
        <is>
          <t>🔥低粉爆款</t>
        </is>
      </c>
      <c r="L3758" t="inlineStr">
        <is>
          <t>小媛果果的店</t>
        </is>
      </c>
      <c r="M3758">
        <v>5391</v>
      </c>
      <c r="N3758">
        <v>4.6</v>
      </c>
      <c r="O3758">
        <v>105000</v>
      </c>
      <c r="P3758" t="inlineStr">
        <is>
          <t>670b5d1dd97c76000173be23</t>
        </is>
      </c>
      <c r="Q3758"/>
      <c r="R3758" t="inlineStr">
        <is>
          <t>14周</t>
        </is>
      </c>
      <c r="S3758" t="inlineStr">
        <is>
          <t>65.85</t>
        </is>
      </c>
      <c r="T3758" t="inlineStr">
        <is>
          <t>美食滋补</t>
        </is>
      </c>
      <c r="U3758" t="inlineStr">
        <is>
          <t>生鲜特产</t>
        </is>
      </c>
      <c r="V3758" s="3">
        <v>46117.927083333336</v>
      </c>
      <c r="W3758" t="inlineStr">
        <is>
          <t>2026-Q2</t>
        </is>
      </c>
    </row>
    <row r="3759" ht="25.5" customHeight="1">
      <c r="A3759" t="inlineStr">
        <is>
          <t>源味十二季 · 瑞香红苹果 香甜艳丽 国审新品种 减脂期解馋  顺丰JD随机</t>
        </is>
      </c>
      <c r="B3759" t="inlineStr">
        <is>
          <t>recvfVt9jWTL5a.jpg</t>
        </is>
      </c>
      <c r="C3759" s="2" t="str">
        <f>=HYPERLINK("https://xhslink.com/m/4sKeHWTEZHz", "https://xhslink.com/m/4sKeHWTEZHz")</f>
        <v>https://xhslink.com/m/4sKeHWTEZHz</v>
      </c>
      <c r="D3759"/>
      <c r="E3759">
        <v>107000</v>
      </c>
      <c r="F3759">
        <v>79.9</v>
      </c>
      <c r="G3759">
        <v>59.9</v>
      </c>
      <c r="H3759">
        <v>100</v>
      </c>
      <c r="I3759" t="inlineStr">
        <is>
          <t>水果</t>
        </is>
      </c>
      <c r="J3759" t="inlineStr">
        <is>
          <t>0.00</t>
        </is>
      </c>
      <c r="K3759" t="inlineStr">
        <is>
          <t>🔥低粉爆款</t>
        </is>
      </c>
      <c r="L3759" t="inlineStr">
        <is>
          <t>源味十二季旗舰店</t>
        </is>
      </c>
      <c r="M3759">
        <v>13000</v>
      </c>
      <c r="N3759">
        <v>4.64</v>
      </c>
      <c r="O3759">
        <v>184000</v>
      </c>
      <c r="P3759" t="inlineStr">
        <is>
          <t>691d9027e78d990001b6d9ab</t>
        </is>
      </c>
      <c r="Q3759" t="inlineStr">
        <is>
          <t>🚫重复</t>
        </is>
      </c>
      <c r="R3759" t="inlineStr">
        <is>
          <t>14周</t>
        </is>
      </c>
      <c r="S3759" t="inlineStr">
        <is>
          <t>8.23</t>
        </is>
      </c>
      <c r="T3759" t="inlineStr">
        <is>
          <t>美食滋补</t>
        </is>
      </c>
      <c r="U3759" t="inlineStr">
        <is>
          <t>生鲜特产</t>
        </is>
      </c>
      <c r="V3759" s="3">
        <v>46117.927083333336</v>
      </c>
      <c r="W3759" t="inlineStr">
        <is>
          <t>2026-Q2</t>
        </is>
      </c>
    </row>
    <row r="3760" ht="25.5" customHeight="1">
      <c r="A3760" t="inlineStr">
        <is>
          <t>山东维纳斯黄金苹果脆甜不酸</t>
        </is>
      </c>
      <c r="B3760" t="inlineStr">
        <is>
          <t>recvfVt9jWujt9.jpg</t>
        </is>
      </c>
      <c r="C3760" s="2" t="str">
        <f>=HYPERLINK("https://xhslink.com/m/3E49Vszdrz3", "https://xhslink.com/m/3E49Vszdrz3")</f>
        <v>https://xhslink.com/m/3E49Vszdrz3</v>
      </c>
      <c r="D3760"/>
      <c r="E3760">
        <v>99000</v>
      </c>
      <c r="F3760">
        <v>55.8</v>
      </c>
      <c r="G3760">
        <v>46.8</v>
      </c>
      <c r="H3760">
        <v>100</v>
      </c>
      <c r="I3760" t="inlineStr">
        <is>
          <t>水果</t>
        </is>
      </c>
      <c r="J3760" t="inlineStr">
        <is>
          <t>0.00</t>
        </is>
      </c>
      <c r="K3760"/>
      <c r="L3760" t="inlineStr">
        <is>
          <t>农妈罗萍的店</t>
        </is>
      </c>
      <c r="M3760">
        <v>60000</v>
      </c>
      <c r="N3760">
        <v>4.66</v>
      </c>
      <c r="O3760">
        <v>613000</v>
      </c>
      <c r="P3760" t="inlineStr">
        <is>
          <t>6565df9d52ae0b0001b556ae</t>
        </is>
      </c>
      <c r="Q3760" t="inlineStr">
        <is>
          <t>🚫重复</t>
        </is>
      </c>
      <c r="R3760" t="inlineStr">
        <is>
          <t>14周</t>
        </is>
      </c>
      <c r="S3760" t="inlineStr">
        <is>
          <t>1.65</t>
        </is>
      </c>
      <c r="T3760" t="inlineStr">
        <is>
          <t>美食滋补</t>
        </is>
      </c>
      <c r="U3760" t="inlineStr">
        <is>
          <t>生鲜特产</t>
        </is>
      </c>
      <c r="V3760" s="3">
        <v>46117.927083333336</v>
      </c>
      <c r="W3760" t="inlineStr">
        <is>
          <t>2026-Q2</t>
        </is>
      </c>
    </row>
    <row r="3761" ht="25.5" customHeight="1">
      <c r="A3761" t="inlineStr">
        <is>
          <t>正宗春雪水蜜桃产地直发新鲜水果毛桃现摘非催熟孕妇可吃脆甜桃子</t>
        </is>
      </c>
      <c r="B3761" t="inlineStr">
        <is>
          <t>recvfVt9jWeQdV.jpg</t>
        </is>
      </c>
      <c r="C3761" s="2" t="str">
        <f>=HYPERLINK("https://xhslink.com/m/r7aDwc7bW", "https://xhslink.com/m/r7aDwc7bW")</f>
        <v>https://xhslink.com/m/r7aDwc7bW</v>
      </c>
      <c r="D3761"/>
      <c r="E3761">
        <v>2511</v>
      </c>
      <c r="F3761">
        <v>73.8</v>
      </c>
      <c r="G3761">
        <v>53.8</v>
      </c>
      <c r="H3761">
        <v>100</v>
      </c>
      <c r="I3761" t="inlineStr">
        <is>
          <t>水果</t>
        </is>
      </c>
      <c r="J3761" t="inlineStr">
        <is>
          <t>0.04</t>
        </is>
      </c>
      <c r="K3761" t="inlineStr">
        <is>
          <t>🔥低粉爆款</t>
        </is>
      </c>
      <c r="L3761" t="inlineStr">
        <is>
          <t>莉莉果园的店</t>
        </is>
      </c>
      <c r="M3761">
        <v>195</v>
      </c>
      <c r="N3761">
        <v>4.38</v>
      </c>
      <c r="O3761">
        <v>4785</v>
      </c>
      <c r="P3761" t="inlineStr">
        <is>
          <t>69a7d97d70850a00019d00a4</t>
        </is>
      </c>
      <c r="Q3761"/>
      <c r="R3761" t="inlineStr">
        <is>
          <t>14周</t>
        </is>
      </c>
      <c r="S3761" t="inlineStr">
        <is>
          <t>12.88</t>
        </is>
      </c>
      <c r="T3761" t="inlineStr">
        <is>
          <t>美食滋补</t>
        </is>
      </c>
      <c r="U3761" t="inlineStr">
        <is>
          <t>生鲜特产</t>
        </is>
      </c>
      <c r="V3761" s="3">
        <v>46117.927083333336</v>
      </c>
      <c r="W3761" t="inlineStr">
        <is>
          <t>2026-Q2</t>
        </is>
      </c>
    </row>
    <row r="3762" ht="25.5" customHeight="1">
      <c r="A3762" t="inlineStr">
        <is>
          <t>隐于闹市 · 【新品福利】智利三文鱼菲力 三文鱼块海鲜独立包装</t>
        </is>
      </c>
      <c r="B3762" t="inlineStr">
        <is>
          <t>recvfVt9jWbQFl.jpg</t>
        </is>
      </c>
      <c r="C3762" s="2" t="str">
        <f>=HYPERLINK("https://xhslink.com/m/81W2k918ISR", "https://xhslink.com/m/81W2k918ISR")</f>
        <v>https://xhslink.com/m/81W2k918ISR</v>
      </c>
      <c r="D3762"/>
      <c r="E3762">
        <v>15000</v>
      </c>
      <c r="F3762">
        <v>129</v>
      </c>
      <c r="G3762">
        <v>99</v>
      </c>
      <c r="H3762">
        <v>100</v>
      </c>
      <c r="I3762" t="inlineStr">
        <is>
          <t>海鲜</t>
        </is>
      </c>
      <c r="J3762" t="inlineStr">
        <is>
          <t>0.01</t>
        </is>
      </c>
      <c r="K3762"/>
      <c r="L3762" t="inlineStr">
        <is>
          <t>隐于闹市旗舰店</t>
        </is>
      </c>
      <c r="M3762">
        <v>17000</v>
      </c>
      <c r="N3762">
        <v>4.62</v>
      </c>
      <c r="O3762">
        <v>131000</v>
      </c>
      <c r="P3762" t="inlineStr">
        <is>
          <t>66ac71c86c38840001caf15d</t>
        </is>
      </c>
      <c r="Q3762"/>
      <c r="R3762" t="inlineStr">
        <is>
          <t>14周</t>
        </is>
      </c>
      <c r="S3762" t="inlineStr">
        <is>
          <t>0.88</t>
        </is>
      </c>
      <c r="T3762" t="inlineStr">
        <is>
          <t>美食滋补</t>
        </is>
      </c>
      <c r="U3762" t="inlineStr">
        <is>
          <t>生鲜特产</t>
        </is>
      </c>
      <c r="V3762" s="3">
        <v>46117.927083333336</v>
      </c>
      <c r="W3762" t="inlineStr">
        <is>
          <t>2026-Q2</t>
        </is>
      </c>
    </row>
    <row r="3763" ht="25.5" customHeight="1">
      <c r="A3763" t="inlineStr">
        <is>
          <t>芳语 FANGWORD · 小汤圆推荐巨实用单支套刷组合粉底刷腮红刷眼影刷沧州刷子</t>
        </is>
      </c>
      <c r="B3763" t="inlineStr">
        <is>
          <t>recvfVt9jW1XKI.jpg</t>
        </is>
      </c>
      <c r="C3763" s="2" t="str">
        <f>=HYPERLINK("https://xhslink.com/m/1sNRAVVPCgA", "https://xhslink.com/m/1sNRAVVPCgA")</f>
        <v>https://xhslink.com/m/1sNRAVVPCgA</v>
      </c>
      <c r="D3763"/>
      <c r="E3763">
        <v>10000</v>
      </c>
      <c r="F3763">
        <v>109</v>
      </c>
      <c r="G3763">
        <v>89</v>
      </c>
      <c r="H3763">
        <v>100</v>
      </c>
      <c r="I3763" t="inlineStr">
        <is>
          <t>化妆刷</t>
        </is>
      </c>
      <c r="J3763" t="inlineStr">
        <is>
          <t>0.01</t>
        </is>
      </c>
      <c r="K3763"/>
      <c r="L3763" t="inlineStr">
        <is>
          <t>芳语旗舰店</t>
        </is>
      </c>
      <c r="M3763">
        <v>14000</v>
      </c>
      <c r="N3763">
        <v>4.71</v>
      </c>
      <c r="O3763">
        <v>382000</v>
      </c>
      <c r="P3763" t="inlineStr">
        <is>
          <t>684647612dd29c00018f98a8</t>
        </is>
      </c>
      <c r="Q3763" t="inlineStr">
        <is>
          <t>🚫重复</t>
        </is>
      </c>
      <c r="R3763" t="inlineStr">
        <is>
          <t>14周</t>
        </is>
      </c>
      <c r="S3763" t="inlineStr">
        <is>
          <t>0.71</t>
        </is>
      </c>
      <c r="T3763" t="inlineStr">
        <is>
          <t>美妆个护</t>
        </is>
      </c>
      <c r="U3763" t="inlineStr">
        <is>
          <t>护肤彩妆</t>
        </is>
      </c>
      <c r="V3763" s="3">
        <v>46117.927083333336</v>
      </c>
      <c r="W3763" t="inlineStr">
        <is>
          <t>2026-Q2</t>
        </is>
      </c>
    </row>
    <row r="3764" ht="25.5" customHeight="1">
      <c r="A3764" t="inlineStr">
        <is>
          <t>Heaven pink · 【达人推荐2支减98】胶原有色面霜妆前初恋霜隔离霜蛋白精华遮瑕</t>
        </is>
      </c>
      <c r="B3764" t="inlineStr">
        <is>
          <t>recvfVt9jWoqMQ.jpg</t>
        </is>
      </c>
      <c r="C3764" s="2" t="str">
        <f>=HYPERLINK("https://xhslink.com/m/5Bz90utsCCc", "https://xhslink.com/m/5Bz90utsCCc")</f>
        <v>https://xhslink.com/m/5Bz90utsCCc</v>
      </c>
      <c r="D3764"/>
      <c r="E3764">
        <v>6928</v>
      </c>
      <c r="F3764">
        <v>148</v>
      </c>
      <c r="G3764"/>
      <c r="H3764">
        <v>100</v>
      </c>
      <c r="I3764" t="inlineStr">
        <is>
          <t>彩妆</t>
        </is>
      </c>
      <c r="J3764" t="inlineStr">
        <is>
          <t>0.01</t>
        </is>
      </c>
      <c r="K3764"/>
      <c r="L3764" t="inlineStr">
        <is>
          <t>Heaven pink旗舰店</t>
        </is>
      </c>
      <c r="M3764">
        <v>5862</v>
      </c>
      <c r="N3764">
        <v>4.45</v>
      </c>
      <c r="O3764">
        <v>45000</v>
      </c>
      <c r="P3764" t="inlineStr">
        <is>
          <t>67fdea9526cdaf00018b271f</t>
        </is>
      </c>
      <c r="Q3764" t="inlineStr">
        <is>
          <t>🚫重复</t>
        </is>
      </c>
      <c r="R3764" t="inlineStr">
        <is>
          <t>14周</t>
        </is>
      </c>
      <c r="S3764" t="inlineStr">
        <is>
          <t>1.18</t>
        </is>
      </c>
      <c r="T3764" t="inlineStr">
        <is>
          <t>美妆个护</t>
        </is>
      </c>
      <c r="U3764" t="inlineStr">
        <is>
          <t>护肤彩妆</t>
        </is>
      </c>
      <c r="V3764" s="3">
        <v>46117.927083333336</v>
      </c>
      <c r="W3764" t="inlineStr">
        <is>
          <t>2026-Q2</t>
        </is>
      </c>
    </row>
    <row r="3765" ht="25.5" customHeight="1">
      <c r="A3765" t="inlineStr">
        <is>
          <t>青涩色彩 · 液体遮瑕 高光 修容  都是15克·拆封不退不换</t>
        </is>
      </c>
      <c r="B3765" t="inlineStr">
        <is>
          <t>recvfVt9jWdnF8.jpg</t>
        </is>
      </c>
      <c r="C3765" s="2" t="str">
        <f>=HYPERLINK("https://xhslink.com/m/8cw6N4684Uq", "https://xhslink.com/m/8cw6N4684Uq")</f>
        <v>https://xhslink.com/m/8cw6N4684Uq</v>
      </c>
      <c r="D3765"/>
      <c r="E3765">
        <v>39000</v>
      </c>
      <c r="F3765">
        <v>29</v>
      </c>
      <c r="G3765"/>
      <c r="H3765">
        <v>100</v>
      </c>
      <c r="I3765" t="inlineStr">
        <is>
          <t>彩妆</t>
        </is>
      </c>
      <c r="J3765" t="inlineStr">
        <is>
          <t>0.00</t>
        </is>
      </c>
      <c r="K3765"/>
      <c r="L3765" t="inlineStr">
        <is>
          <t>青涩色彩的店</t>
        </is>
      </c>
      <c r="M3765">
        <v>124000</v>
      </c>
      <c r="N3765">
        <v>4.61</v>
      </c>
      <c r="O3765">
        <v>459000</v>
      </c>
      <c r="P3765" t="inlineStr">
        <is>
          <t>69c4f395916f6b00013cb0b9</t>
        </is>
      </c>
      <c r="Q3765" t="inlineStr">
        <is>
          <t>🚫重复</t>
        </is>
      </c>
      <c r="R3765" t="inlineStr">
        <is>
          <t>14周</t>
        </is>
      </c>
      <c r="S3765" t="inlineStr">
        <is>
          <t>0.31</t>
        </is>
      </c>
      <c r="T3765" t="inlineStr">
        <is>
          <t>美妆个护</t>
        </is>
      </c>
      <c r="U3765" t="inlineStr">
        <is>
          <t>护肤彩妆</t>
        </is>
      </c>
      <c r="V3765" s="3">
        <v>46117.927083333336</v>
      </c>
      <c r="W3765" t="inlineStr">
        <is>
          <t>2026-Q2</t>
        </is>
      </c>
    </row>
    <row r="3766" ht="25.5" customHeight="1">
      <c r="A3766" t="inlineStr">
        <is>
          <t>CAR MELA · 卡梅拉西部粉底液侧影美黑黄黑皮深肤色欧美亚裔妆小麦色古铜色</t>
        </is>
      </c>
      <c r="B3766" t="inlineStr">
        <is>
          <t>recvfVt9jWemQU.jpg</t>
        </is>
      </c>
      <c r="C3766" s="2" t="str">
        <f>=HYPERLINK("https://xhslink.com/m/8PLX6KeyKee", "https://xhslink.com/m/8PLX6KeyKee")</f>
        <v>https://xhslink.com/m/8PLX6KeyKee</v>
      </c>
      <c r="D3766"/>
      <c r="E3766">
        <v>9649</v>
      </c>
      <c r="F3766">
        <v>55</v>
      </c>
      <c r="G3766">
        <v>45</v>
      </c>
      <c r="H3766">
        <v>100</v>
      </c>
      <c r="I3766" t="inlineStr">
        <is>
          <t>彩妆</t>
        </is>
      </c>
      <c r="J3766" t="inlineStr">
        <is>
          <t>0.01</t>
        </is>
      </c>
      <c r="K3766"/>
      <c r="L3766" t="inlineStr">
        <is>
          <t>CARMELA卡梅拉彩妆旗舰店</t>
        </is>
      </c>
      <c r="M3766">
        <v>17000</v>
      </c>
      <c r="N3766">
        <v>4.62</v>
      </c>
      <c r="O3766">
        <v>116000</v>
      </c>
      <c r="P3766" t="inlineStr">
        <is>
          <t>67bbd96aeef1820001f8f198</t>
        </is>
      </c>
      <c r="Q3766"/>
      <c r="R3766" t="inlineStr">
        <is>
          <t>14周</t>
        </is>
      </c>
      <c r="S3766" t="inlineStr">
        <is>
          <t>0.57</t>
        </is>
      </c>
      <c r="T3766" t="inlineStr">
        <is>
          <t>美妆个护</t>
        </is>
      </c>
      <c r="U3766" t="inlineStr">
        <is>
          <t>护肤彩妆</t>
        </is>
      </c>
      <c r="V3766" s="3">
        <v>46117.927083333336</v>
      </c>
      <c r="W3766" t="inlineStr">
        <is>
          <t>2026-Q2</t>
        </is>
      </c>
    </row>
    <row r="3767" ht="25.5" customHeight="1">
      <c r="A3767" t="inlineStr">
        <is>
          <t>Haa · 玫瑰素颜霜自然持久裸装懒人学生提亮肤色隔离防水遮瑕妆前乳平价</t>
        </is>
      </c>
      <c r="B3767" t="inlineStr">
        <is>
          <t>recvfVt9jWAlZH.jpg</t>
        </is>
      </c>
      <c r="C3767" s="2" t="str">
        <f>=HYPERLINK("https://xhslink.com/m/6c1ZgebZlUu", "https://xhslink.com/m/6c1ZgebZlUu")</f>
        <v>https://xhslink.com/m/6c1ZgebZlUu</v>
      </c>
      <c r="D3767"/>
      <c r="E3767">
        <v>53000</v>
      </c>
      <c r="F3767">
        <v>59.9</v>
      </c>
      <c r="G3767">
        <v>39.9</v>
      </c>
      <c r="H3767">
        <v>100</v>
      </c>
      <c r="I3767" t="inlineStr">
        <is>
          <t>彩妆</t>
        </is>
      </c>
      <c r="J3767" t="inlineStr">
        <is>
          <t>0.00</t>
        </is>
      </c>
      <c r="K3767"/>
      <c r="L3767" t="inlineStr">
        <is>
          <t>Haa旗舰店</t>
        </is>
      </c>
      <c r="M3767">
        <v>435000</v>
      </c>
      <c r="N3767">
        <v>4.61</v>
      </c>
      <c r="O3767">
        <v>1913000</v>
      </c>
      <c r="P3767" t="inlineStr">
        <is>
          <t>66603c7fad71560001066a5b</t>
        </is>
      </c>
      <c r="Q3767" t="inlineStr">
        <is>
          <t>🚫重复</t>
        </is>
      </c>
      <c r="R3767" t="inlineStr">
        <is>
          <t>14周</t>
        </is>
      </c>
      <c r="S3767" t="inlineStr">
        <is>
          <t>0.12</t>
        </is>
      </c>
      <c r="T3767" t="inlineStr">
        <is>
          <t>美妆个护</t>
        </is>
      </c>
      <c r="U3767" t="inlineStr">
        <is>
          <t>护肤彩妆</t>
        </is>
      </c>
      <c r="V3767" s="3">
        <v>46117.927083333336</v>
      </c>
      <c r="W3767" t="inlineStr">
        <is>
          <t>2026-Q2</t>
        </is>
      </c>
    </row>
    <row r="3768" ht="25.5" customHeight="1">
      <c r="A3768" t="inlineStr">
        <is>
          <t>SKIN1004 理肤天使 · 【官方授权】韩国skin1004放晒透明质酸水感化学仿晒积雪草物理</t>
        </is>
      </c>
      <c r="B3768" t="inlineStr">
        <is>
          <t>recvfVt9jWZbFG.jpg</t>
        </is>
      </c>
      <c r="C3768" s="2" t="str">
        <f>=HYPERLINK("https://xhslink.com/m/JFMRHVd3eD", "https://xhslink.com/m/JFMRHVd3eD")</f>
        <v>https://xhslink.com/m/JFMRHVd3eD</v>
      </c>
      <c r="D3768"/>
      <c r="E3768">
        <v>9782</v>
      </c>
      <c r="F3768">
        <v>90.81</v>
      </c>
      <c r="G3768">
        <v>79</v>
      </c>
      <c r="H3768">
        <v>100</v>
      </c>
      <c r="I3768" t="inlineStr">
        <is>
          <t>防晒</t>
        </is>
      </c>
      <c r="J3768" t="inlineStr">
        <is>
          <t>0.01</t>
        </is>
      </c>
      <c r="K3768"/>
      <c r="L3768" t="inlineStr">
        <is>
          <t>小王不胖(好价版)的店</t>
        </is>
      </c>
      <c r="M3768">
        <v>72000</v>
      </c>
      <c r="N3768">
        <v>4.7</v>
      </c>
      <c r="O3768">
        <v>246000</v>
      </c>
      <c r="P3768" t="inlineStr">
        <is>
          <t>67ee432ef0efe50001842a23</t>
        </is>
      </c>
      <c r="Q3768" t="inlineStr">
        <is>
          <t>🚫重复</t>
        </is>
      </c>
      <c r="R3768" t="inlineStr">
        <is>
          <t>14周</t>
        </is>
      </c>
      <c r="S3768" t="inlineStr">
        <is>
          <t>0.14</t>
        </is>
      </c>
      <c r="T3768" t="inlineStr">
        <is>
          <t>美妆个护</t>
        </is>
      </c>
      <c r="U3768" t="inlineStr">
        <is>
          <t>护肤彩妆</t>
        </is>
      </c>
      <c r="V3768" s="3">
        <v>46117.927083333336</v>
      </c>
      <c r="W3768" t="inlineStr">
        <is>
          <t>2026-Q2</t>
        </is>
      </c>
    </row>
    <row r="3769" ht="25.5" customHeight="1">
      <c r="A3769" t="inlineStr">
        <is>
          <t>BABI · 美白防晒防紫外线身体男女防晒喷雾ZB2</t>
        </is>
      </c>
      <c r="B3769" t="inlineStr">
        <is>
          <t>recvfVt9jWNACz.jpg</t>
        </is>
      </c>
      <c r="C3769" s="2" t="str">
        <f>=HYPERLINK("https://xhslink.com/m/62eBDQ0fRLJ", "https://xhslink.com/m/62eBDQ0fRLJ")</f>
        <v>https://xhslink.com/m/62eBDQ0fRLJ</v>
      </c>
      <c r="D3769"/>
      <c r="E3769">
        <v>26000</v>
      </c>
      <c r="F3769">
        <v>79</v>
      </c>
      <c r="G3769"/>
      <c r="H3769">
        <v>100</v>
      </c>
      <c r="I3769" t="inlineStr">
        <is>
          <t>防晒</t>
        </is>
      </c>
      <c r="J3769" t="inlineStr">
        <is>
          <t>0.00</t>
        </is>
      </c>
      <c r="K3769"/>
      <c r="L3769" t="inlineStr">
        <is>
          <t>BABI旗舰店</t>
        </is>
      </c>
      <c r="M3769">
        <v>31000</v>
      </c>
      <c r="N3769">
        <v>4.66</v>
      </c>
      <c r="O3769">
        <v>257000</v>
      </c>
      <c r="P3769" t="inlineStr">
        <is>
          <t>684bdfa7a89f4f0001bfdf9c</t>
        </is>
      </c>
      <c r="Q3769" t="inlineStr">
        <is>
          <t>🚫重复</t>
        </is>
      </c>
      <c r="R3769" t="inlineStr">
        <is>
          <t>14周</t>
        </is>
      </c>
      <c r="S3769" t="inlineStr">
        <is>
          <t>0.84</t>
        </is>
      </c>
      <c r="T3769" t="inlineStr">
        <is>
          <t>美妆个护</t>
        </is>
      </c>
      <c r="U3769" t="inlineStr">
        <is>
          <t>护肤彩妆</t>
        </is>
      </c>
      <c r="V3769" s="3">
        <v>46117.927083333336</v>
      </c>
      <c r="W3769" t="inlineStr">
        <is>
          <t>2026-Q2</t>
        </is>
      </c>
    </row>
    <row r="3770" ht="25.5" customHeight="1">
      <c r="A3770" t="inlineStr">
        <is>
          <t>丽颜兰诗 · 小粉帽美白防晒霜防水防紫外线防晒喷雾遮瑕隔离霜身体防晒乳</t>
        </is>
      </c>
      <c r="B3770" t="inlineStr">
        <is>
          <t>recvfVt9jWZS27.jpg</t>
        </is>
      </c>
      <c r="C3770" s="2" t="str">
        <f>=HYPERLINK("https://xhslink.com/m/7Qp297Z4ai2", "https://xhslink.com/m/7Qp297Z4ai2")</f>
        <v>https://xhslink.com/m/7Qp297Z4ai2</v>
      </c>
      <c r="D3770"/>
      <c r="E3770">
        <v>438</v>
      </c>
      <c r="F3770">
        <v>49</v>
      </c>
      <c r="G3770">
        <v>9.9</v>
      </c>
      <c r="H3770">
        <v>100</v>
      </c>
      <c r="I3770" t="inlineStr">
        <is>
          <t>防晒</t>
        </is>
      </c>
      <c r="J3770" t="inlineStr">
        <is>
          <t>0.23</t>
        </is>
      </c>
      <c r="K3770"/>
      <c r="L3770" t="inlineStr">
        <is>
          <t>DADK的店</t>
        </is>
      </c>
      <c r="M3770">
        <v>6598</v>
      </c>
      <c r="N3770">
        <v>4.54</v>
      </c>
      <c r="O3770">
        <v>46000</v>
      </c>
      <c r="P3770" t="inlineStr">
        <is>
          <t>69c379787dd4a10001cd8cec</t>
        </is>
      </c>
      <c r="Q3770"/>
      <c r="R3770" t="inlineStr">
        <is>
          <t>14周</t>
        </is>
      </c>
      <c r="S3770" t="inlineStr">
        <is>
          <t>0.07</t>
        </is>
      </c>
      <c r="T3770" t="inlineStr">
        <is>
          <t>美妆个护</t>
        </is>
      </c>
      <c r="U3770" t="inlineStr">
        <is>
          <t>护肤彩妆</t>
        </is>
      </c>
      <c r="V3770" s="3">
        <v>46117.927083333336</v>
      </c>
      <c r="W3770" t="inlineStr">
        <is>
          <t>2026-Q2</t>
        </is>
      </c>
    </row>
    <row r="3771" ht="25.5" customHeight="1">
      <c r="A3771" t="inlineStr">
        <is>
          <t>3E · 【白桃乌龙】奶犹水蜜桃豆沙粉渐变自然不透甲穿戴甲渐变裸纯欲风</t>
        </is>
      </c>
      <c r="B3771" t="inlineStr">
        <is>
          <t>recvfVt9jWDEn2.jpg</t>
        </is>
      </c>
      <c r="C3771" s="2" t="str">
        <f>=HYPERLINK("https://xhslink.com/m/pxycQKYAtJ", "https://xhslink.com/m/pxycQKYAtJ")</f>
        <v>https://xhslink.com/m/pxycQKYAtJ</v>
      </c>
      <c r="D3771"/>
      <c r="E3771">
        <v>16000</v>
      </c>
      <c r="F3771">
        <v>21.9</v>
      </c>
      <c r="G3771">
        <v>11.9</v>
      </c>
      <c r="H3771">
        <v>100</v>
      </c>
      <c r="I3771" t="inlineStr">
        <is>
          <t>穿戴甲</t>
        </is>
      </c>
      <c r="J3771" t="inlineStr">
        <is>
          <t>0.01</t>
        </is>
      </c>
      <c r="K3771" t="inlineStr">
        <is>
          <t>🔥低粉爆款</t>
        </is>
      </c>
      <c r="L3771" t="inlineStr">
        <is>
          <t>小知手工穿戴甲的店</t>
        </is>
      </c>
      <c r="M3771">
        <v>1547</v>
      </c>
      <c r="N3771">
        <v>4.55</v>
      </c>
      <c r="O3771">
        <v>19000</v>
      </c>
      <c r="P3771" t="inlineStr">
        <is>
          <t>6819a8ebc883af00013e475c</t>
        </is>
      </c>
      <c r="Q3771" t="inlineStr">
        <is>
          <t>🚫重复</t>
        </is>
      </c>
      <c r="R3771" t="inlineStr">
        <is>
          <t>14周</t>
        </is>
      </c>
      <c r="S3771" t="inlineStr">
        <is>
          <t>10.34</t>
        </is>
      </c>
      <c r="T3771" t="inlineStr">
        <is>
          <t>美妆个护</t>
        </is>
      </c>
      <c r="U3771" t="inlineStr">
        <is>
          <t>护肤彩妆</t>
        </is>
      </c>
      <c r="V3771" s="3">
        <v>46117.927083333336</v>
      </c>
      <c r="W3771" t="inlineStr">
        <is>
          <t>2026-Q2</t>
        </is>
      </c>
    </row>
    <row r="3772" ht="25.5" customHeight="1">
      <c r="A3772" t="inlineStr">
        <is>
          <t>乌蔓 · WOMO弹力素护卷塑型定型保湿轻盈蓬松卷发造型烫头发护发改善毛糙</t>
        </is>
      </c>
      <c r="B3772" t="inlineStr">
        <is>
          <t>recvfVt9jWA8zu.jpg</t>
        </is>
      </c>
      <c r="C3772" s="2" t="str">
        <f>=HYPERLINK("https://xhslink.com/m/4hy2wBZqrrN", "https://xhslink.com/m/4hy2wBZqrrN")</f>
        <v>https://xhslink.com/m/4hy2wBZqrrN</v>
      </c>
      <c r="D3772"/>
      <c r="E3772">
        <v>73000</v>
      </c>
      <c r="F3772">
        <v>133.5</v>
      </c>
      <c r="G3772"/>
      <c r="H3772">
        <v>100</v>
      </c>
      <c r="I3772" t="inlineStr">
        <is>
          <t>美发养发</t>
        </is>
      </c>
      <c r="J3772" t="inlineStr">
        <is>
          <t>0.00</t>
        </is>
      </c>
      <c r="K3772" t="inlineStr">
        <is>
          <t>🔥低粉爆款</t>
        </is>
      </c>
      <c r="L3772" t="inlineStr">
        <is>
          <t>乌蔓旗舰店</t>
        </is>
      </c>
      <c r="M3772">
        <v>15000</v>
      </c>
      <c r="N3772">
        <v>4.56</v>
      </c>
      <c r="O3772">
        <v>731000</v>
      </c>
      <c r="P3772" t="inlineStr">
        <is>
          <t>6576d0c7152a7600016d0752</t>
        </is>
      </c>
      <c r="Q3772" t="inlineStr">
        <is>
          <t>🚫重复</t>
        </is>
      </c>
      <c r="R3772" t="inlineStr">
        <is>
          <t>14周</t>
        </is>
      </c>
      <c r="S3772" t="inlineStr">
        <is>
          <t>4.87</t>
        </is>
      </c>
      <c r="T3772" t="inlineStr">
        <is>
          <t>美妆个护</t>
        </is>
      </c>
      <c r="U3772" t="inlineStr">
        <is>
          <t>个人护理</t>
        </is>
      </c>
      <c r="V3772" s="3">
        <v>46117.927083333336</v>
      </c>
      <c r="W3772" t="inlineStr">
        <is>
          <t>2026-Q2</t>
        </is>
      </c>
    </row>
    <row r="3773" ht="25.5" customHeight="1">
      <c r="A3773" t="inlineStr">
        <is>
          <t>Off&amp;Relax · 【巨折！！】枯发回春洗发水！强韧修护柔顺蓬松清爽22/23批次</t>
        </is>
      </c>
      <c r="B3773" t="inlineStr">
        <is>
          <t>recvfVt9jWVVpl.jpg</t>
        </is>
      </c>
      <c r="C3773" s="2" t="str">
        <f>=HYPERLINK("https://xhslink.com/m/6YvFc4ScQBk", "https://xhslink.com/m/6YvFc4ScQBk")</f>
        <v>https://xhslink.com/m/6YvFc4ScQBk</v>
      </c>
      <c r="D3773"/>
      <c r="E3773">
        <v>46000</v>
      </c>
      <c r="F3773">
        <v>19.9</v>
      </c>
      <c r="G3773">
        <v>17.51</v>
      </c>
      <c r="H3773">
        <v>100</v>
      </c>
      <c r="I3773" t="inlineStr">
        <is>
          <t>美发养发</t>
        </is>
      </c>
      <c r="J3773" t="inlineStr">
        <is>
          <t>0.00</t>
        </is>
      </c>
      <c r="K3773"/>
      <c r="L3773" t="inlineStr">
        <is>
          <t>闪闪发光的Anne的店</t>
        </is>
      </c>
      <c r="M3773">
        <v>18000</v>
      </c>
      <c r="N3773">
        <v>4.58</v>
      </c>
      <c r="O3773">
        <v>129000</v>
      </c>
      <c r="P3773" t="inlineStr">
        <is>
          <t>697826388a6b8a0001bf6ea9</t>
        </is>
      </c>
      <c r="Q3773" t="inlineStr">
        <is>
          <t>🚫重复</t>
        </is>
      </c>
      <c r="R3773" t="inlineStr">
        <is>
          <t>14周</t>
        </is>
      </c>
      <c r="S3773" t="inlineStr">
        <is>
          <t>2.56</t>
        </is>
      </c>
      <c r="T3773" t="inlineStr">
        <is>
          <t>美妆个护</t>
        </is>
      </c>
      <c r="U3773" t="inlineStr">
        <is>
          <t>个人护理</t>
        </is>
      </c>
      <c r="V3773" s="3">
        <v>46117.927083333336</v>
      </c>
      <c r="W3773" t="inlineStr">
        <is>
          <t>2026-Q2</t>
        </is>
      </c>
    </row>
    <row r="3774" ht="25.5" customHeight="1">
      <c r="A3774" t="inlineStr">
        <is>
          <t>sameuoo culture散养文化 · “烟灰”交叉连身领正肩修身短袖t恤女肌理感透气针织通勤上衣</t>
        </is>
      </c>
      <c r="B3774" t="inlineStr">
        <is>
          <t>recvfVt9jWQHcf.jpg</t>
        </is>
      </c>
      <c r="C3774" s="2" t="str">
        <f>=HYPERLINK("https://xhslink.com/m/6uf0ckb9xxO", "https://xhslink.com/m/6uf0ckb9xxO")</f>
        <v>https://xhslink.com/m/6uf0ckb9xxO</v>
      </c>
      <c r="D3774"/>
      <c r="E3774">
        <v>6906</v>
      </c>
      <c r="F3774">
        <v>119.9</v>
      </c>
      <c r="G3774">
        <v>107.91</v>
      </c>
      <c r="H3774">
        <v>100</v>
      </c>
      <c r="I3774" t="inlineStr">
        <is>
          <t>短袖</t>
        </is>
      </c>
      <c r="J3774" t="inlineStr">
        <is>
          <t>0.01</t>
        </is>
      </c>
      <c r="K3774"/>
      <c r="L3774" t="inlineStr">
        <is>
          <t>sameuoo散养文化旗舰店</t>
        </is>
      </c>
      <c r="M3774">
        <v>57000</v>
      </c>
      <c r="N3774">
        <v>4.68</v>
      </c>
      <c r="O3774">
        <v>84000</v>
      </c>
      <c r="P3774" t="inlineStr">
        <is>
          <t>690c4f2f7071920001ca4311</t>
        </is>
      </c>
      <c r="Q3774"/>
      <c r="R3774" t="inlineStr">
        <is>
          <t>14周</t>
        </is>
      </c>
      <c r="S3774" t="inlineStr">
        <is>
          <t>0.12</t>
        </is>
      </c>
      <c r="T3774" t="inlineStr">
        <is>
          <t>服饰穿搭</t>
        </is>
      </c>
      <c r="U3774" t="inlineStr">
        <is>
          <t>女装</t>
        </is>
      </c>
      <c r="V3774" s="3">
        <v>46117.927083333336</v>
      </c>
      <c r="W3774" t="inlineStr">
        <is>
          <t>2026-Q2</t>
        </is>
      </c>
    </row>
    <row r="3775" ht="25.5" customHeight="1">
      <c r="A3775" t="inlineStr">
        <is>
          <t>CORAZON DEL ALMA · 【酥茶】干爽亲肤天丝棉麻面料 百搭圆领卷边微修身短袖T恤-7243</t>
        </is>
      </c>
      <c r="B3775" t="inlineStr">
        <is>
          <t>recvfVt9jWJv0V.jpg</t>
        </is>
      </c>
      <c r="C3775" s="2" t="str">
        <f>=HYPERLINK("https://xhslink.com/m/5tmFD1Baih3", "https://xhslink.com/m/5tmFD1Baih3")</f>
        <v>https://xhslink.com/m/5tmFD1Baih3</v>
      </c>
      <c r="D3775"/>
      <c r="E3775">
        <v>2859</v>
      </c>
      <c r="F3775">
        <v>168</v>
      </c>
      <c r="G3775">
        <v>158</v>
      </c>
      <c r="H3775">
        <v>100</v>
      </c>
      <c r="I3775" t="inlineStr">
        <is>
          <t>短袖</t>
        </is>
      </c>
      <c r="J3775" t="inlineStr">
        <is>
          <t>0.03</t>
        </is>
      </c>
      <c r="K3775"/>
      <c r="L3775" t="inlineStr">
        <is>
          <t>CORAZON DEL ALMA的店</t>
        </is>
      </c>
      <c r="M3775">
        <v>254000</v>
      </c>
      <c r="N3775">
        <v>4.78</v>
      </c>
      <c r="O3775">
        <v>1085000</v>
      </c>
      <c r="P3775" t="inlineStr">
        <is>
          <t>697193d48a7838001546ab6a</t>
        </is>
      </c>
      <c r="Q3775" t="inlineStr">
        <is>
          <t>🚫重复</t>
        </is>
      </c>
      <c r="R3775" t="inlineStr">
        <is>
          <t>14周</t>
        </is>
      </c>
      <c r="S3775" t="inlineStr">
        <is>
          <t>0.01</t>
        </is>
      </c>
      <c r="T3775" t="inlineStr">
        <is>
          <t>服饰穿搭</t>
        </is>
      </c>
      <c r="U3775" t="inlineStr">
        <is>
          <t>女装</t>
        </is>
      </c>
      <c r="V3775" s="3">
        <v>46117.927083333336</v>
      </c>
      <c r="W3775" t="inlineStr">
        <is>
          <t>2026-Q2</t>
        </is>
      </c>
    </row>
    <row r="3776" ht="25.5" customHeight="1">
      <c r="A3776" t="inlineStr">
        <is>
          <t>Hellooo Eat 通勤百搭天丝亚麻短袖EM3249</t>
        </is>
      </c>
      <c r="B3776" t="inlineStr">
        <is>
          <t>recvfVt9jWuI1N.jpg</t>
        </is>
      </c>
      <c r="C3776" s="2" t="str">
        <f>=HYPERLINK("https://xhslink.com/m/3QbisLwQBKG", "https://xhslink.com/m/3QbisLwQBKG")</f>
        <v>https://xhslink.com/m/3QbisLwQBKG</v>
      </c>
      <c r="D3776"/>
      <c r="E3776">
        <v>5472</v>
      </c>
      <c r="F3776">
        <v>115</v>
      </c>
      <c r="G3776"/>
      <c r="H3776">
        <v>100</v>
      </c>
      <c r="I3776" t="inlineStr">
        <is>
          <t>短袖</t>
        </is>
      </c>
      <c r="J3776" t="inlineStr">
        <is>
          <t>0.02</t>
        </is>
      </c>
      <c r="K3776"/>
      <c r="L3776" t="inlineStr">
        <is>
          <t>HelloooEat online的店</t>
        </is>
      </c>
      <c r="M3776">
        <v>183000</v>
      </c>
      <c r="N3776">
        <v>4.65</v>
      </c>
      <c r="O3776">
        <v>271000</v>
      </c>
      <c r="P3776" t="inlineStr">
        <is>
          <t>6870b0a6ef11920015182a47</t>
        </is>
      </c>
      <c r="Q3776" t="inlineStr">
        <is>
          <t>🚫重复</t>
        </is>
      </c>
      <c r="R3776" t="inlineStr">
        <is>
          <t>14周</t>
        </is>
      </c>
      <c r="S3776" t="inlineStr">
        <is>
          <t>0.03</t>
        </is>
      </c>
      <c r="T3776" t="inlineStr">
        <is>
          <t>服饰穿搭</t>
        </is>
      </c>
      <c r="U3776" t="inlineStr">
        <is>
          <t>女装</t>
        </is>
      </c>
      <c r="V3776" s="3">
        <v>46117.927083333336</v>
      </c>
      <c r="W3776" t="inlineStr">
        <is>
          <t>2026-Q2</t>
        </is>
      </c>
    </row>
    <row r="3777" ht="25.5" customHeight="1">
      <c r="A3777" t="inlineStr">
        <is>
          <t>韩系芋泥紫色短袖t恤女夏季2026年新款u领修身收腰短款正肩上衣</t>
        </is>
      </c>
      <c r="B3777" t="inlineStr">
        <is>
          <t>recvfVt9jWnBmg.jpg</t>
        </is>
      </c>
      <c r="C3777" s="2" t="str">
        <f>=HYPERLINK("https://xhslink.com/m/SwUudbnrpX", "https://xhslink.com/m/SwUudbnrpX")</f>
        <v>https://xhslink.com/m/SwUudbnrpX</v>
      </c>
      <c r="D3777"/>
      <c r="E3777">
        <v>1162</v>
      </c>
      <c r="F3777">
        <v>59</v>
      </c>
      <c r="G3777">
        <v>39</v>
      </c>
      <c r="H3777">
        <v>100</v>
      </c>
      <c r="I3777" t="inlineStr">
        <is>
          <t>短袖</t>
        </is>
      </c>
      <c r="J3777" t="inlineStr">
        <is>
          <t>0.09</t>
        </is>
      </c>
      <c r="K3777"/>
      <c r="L3777" t="inlineStr">
        <is>
          <t>小鹿穿搭分享的店</t>
        </is>
      </c>
      <c r="M3777">
        <v>7049</v>
      </c>
      <c r="N3777">
        <v>4.64</v>
      </c>
      <c r="O3777">
        <v>33000</v>
      </c>
      <c r="P3777" t="inlineStr">
        <is>
          <t>683ebee9db57370001a9eca3</t>
        </is>
      </c>
      <c r="Q3777" t="inlineStr">
        <is>
          <t>🚫重复</t>
        </is>
      </c>
      <c r="R3777" t="inlineStr">
        <is>
          <t>14周</t>
        </is>
      </c>
      <c r="S3777" t="inlineStr">
        <is>
          <t>0.16</t>
        </is>
      </c>
      <c r="T3777" t="inlineStr">
        <is>
          <t>服饰穿搭</t>
        </is>
      </c>
      <c r="U3777" t="inlineStr">
        <is>
          <t>女装</t>
        </is>
      </c>
      <c r="V3777" s="3">
        <v>46117.927083333336</v>
      </c>
      <c r="W3777" t="inlineStr">
        <is>
          <t>2026-Q2</t>
        </is>
      </c>
    </row>
    <row r="3778" ht="25.5" customHeight="1">
      <c r="A3778" t="inlineStr">
        <is>
          <t>酒心微胖定制 循环心动 纯欲荡领长袖上衣显瘦短袖弹力针织衫春夏</t>
        </is>
      </c>
      <c r="B3778" t="inlineStr">
        <is>
          <t>recvfVt9jWGeGc.jpg</t>
        </is>
      </c>
      <c r="C3778" s="2" t="str">
        <f>=HYPERLINK("https://xhslink.com/m/3C86xZUztqj", "https://xhslink.com/m/3C86xZUztqj")</f>
        <v>https://xhslink.com/m/3C86xZUztqj</v>
      </c>
      <c r="D3778"/>
      <c r="E3778">
        <v>1028</v>
      </c>
      <c r="F3778">
        <v>109</v>
      </c>
      <c r="G3778">
        <v>85.02</v>
      </c>
      <c r="H3778">
        <v>100</v>
      </c>
      <c r="I3778" t="inlineStr">
        <is>
          <t>短袖</t>
        </is>
      </c>
      <c r="J3778" t="inlineStr">
        <is>
          <t>0.10</t>
        </is>
      </c>
      <c r="K3778"/>
      <c r="L3778" t="inlineStr">
        <is>
          <t>酒心Jiuxin Couture定制的店</t>
        </is>
      </c>
      <c r="M3778">
        <v>5645</v>
      </c>
      <c r="N3778">
        <v>4.71</v>
      </c>
      <c r="O3778">
        <v>8728</v>
      </c>
      <c r="P3778" t="inlineStr">
        <is>
          <t>69a55c21a39d65000182e616</t>
        </is>
      </c>
      <c r="Q3778"/>
      <c r="R3778" t="inlineStr">
        <is>
          <t>14周</t>
        </is>
      </c>
      <c r="S3778" t="inlineStr">
        <is>
          <t>0.18</t>
        </is>
      </c>
      <c r="T3778" t="inlineStr">
        <is>
          <t>服饰穿搭</t>
        </is>
      </c>
      <c r="U3778" t="inlineStr">
        <is>
          <t>女装</t>
        </is>
      </c>
      <c r="V3778" s="3">
        <v>46117.927083333336</v>
      </c>
      <c r="W3778" t="inlineStr">
        <is>
          <t>2026-Q2</t>
        </is>
      </c>
    </row>
    <row r="3779" ht="25.5" customHeight="1">
      <c r="A3779" t="inlineStr">
        <is>
          <t>【晚秋浅蓝色】春季不贴腿微喇牛仔裤女宽松弹力显瘦百搭直筒裤</t>
        </is>
      </c>
      <c r="B3779" t="inlineStr">
        <is>
          <t>recvfVt9jWVDIx.jpg</t>
        </is>
      </c>
      <c r="C3779" s="2" t="str">
        <f>=HYPERLINK("https://xhslink.com/m/AwLmakFHqq9", "https://xhslink.com/m/AwLmakFHqq9")</f>
        <v>https://xhslink.com/m/AwLmakFHqq9</v>
      </c>
      <c r="D3779"/>
      <c r="E3779">
        <v>23000</v>
      </c>
      <c r="F3779">
        <v>99.99</v>
      </c>
      <c r="G3779"/>
      <c r="H3779">
        <v>100</v>
      </c>
      <c r="I3779" t="inlineStr">
        <is>
          <t>裤子</t>
        </is>
      </c>
      <c r="J3779" t="inlineStr">
        <is>
          <t>0.00</t>
        </is>
      </c>
      <c r="K3779"/>
      <c r="L3779" t="inlineStr">
        <is>
          <t>李空空的店</t>
        </is>
      </c>
      <c r="M3779">
        <v>103000</v>
      </c>
      <c r="N3779">
        <v>4.59</v>
      </c>
      <c r="O3779">
        <v>565000</v>
      </c>
      <c r="P3779" t="inlineStr">
        <is>
          <t>67baca4e97592600018ada99</t>
        </is>
      </c>
      <c r="Q3779" t="inlineStr">
        <is>
          <t>🚫重复</t>
        </is>
      </c>
      <c r="R3779" t="inlineStr">
        <is>
          <t>14周</t>
        </is>
      </c>
      <c r="S3779" t="inlineStr">
        <is>
          <t>0.22</t>
        </is>
      </c>
      <c r="T3779" t="inlineStr">
        <is>
          <t>服饰穿搭</t>
        </is>
      </c>
      <c r="U3779" t="inlineStr">
        <is>
          <t>女装</t>
        </is>
      </c>
      <c r="V3779" s="3">
        <v>46117.927083333336</v>
      </c>
      <c r="W3779" t="inlineStr">
        <is>
          <t>2026-Q2</t>
        </is>
      </c>
    </row>
    <row r="3780" ht="25.5" customHeight="1">
      <c r="A3780" t="inlineStr">
        <is>
          <t>水洗蓝微喇叭牛仔裤2025年春夏浅色微喇高腰显瘦显高马蹄裤子</t>
        </is>
      </c>
      <c r="B3780" t="inlineStr">
        <is>
          <t>recvfVt9jWBw0x.jpg</t>
        </is>
      </c>
      <c r="C3780" s="2" t="str">
        <f>=HYPERLINK("https://xhslink.com/m/7vaua1tcbsJ", "https://xhslink.com/m/7vaua1tcbsJ")</f>
        <v>https://xhslink.com/m/7vaua1tcbsJ</v>
      </c>
      <c r="D3780"/>
      <c r="E3780">
        <v>12000</v>
      </c>
      <c r="F3780">
        <v>99</v>
      </c>
      <c r="G3780">
        <v>87.12</v>
      </c>
      <c r="H3780">
        <v>100</v>
      </c>
      <c r="I3780" t="inlineStr">
        <is>
          <t>裤子</t>
        </is>
      </c>
      <c r="J3780" t="inlineStr">
        <is>
          <t>0.01</t>
        </is>
      </c>
      <c r="K3780" t="inlineStr">
        <is>
          <t>🔥低粉爆款</t>
        </is>
      </c>
      <c r="L3780" t="inlineStr">
        <is>
          <t>宸茹丨DUooYI工作室的店</t>
        </is>
      </c>
      <c r="M3780">
        <v>1654</v>
      </c>
      <c r="N3780">
        <v>4.68</v>
      </c>
      <c r="O3780">
        <v>64000</v>
      </c>
      <c r="P3780" t="inlineStr">
        <is>
          <t>65de9b57977fd9000142e514</t>
        </is>
      </c>
      <c r="Q3780" t="inlineStr">
        <is>
          <t>🚫重复</t>
        </is>
      </c>
      <c r="R3780" t="inlineStr">
        <is>
          <t>14周</t>
        </is>
      </c>
      <c r="S3780" t="inlineStr">
        <is>
          <t>7.26</t>
        </is>
      </c>
      <c r="T3780" t="inlineStr">
        <is>
          <t>服饰穿搭</t>
        </is>
      </c>
      <c r="U3780" t="inlineStr">
        <is>
          <t>女装</t>
        </is>
      </c>
      <c r="V3780" s="3">
        <v>46117.927083333336</v>
      </c>
      <c r="W3780" t="inlineStr">
        <is>
          <t>2026-Q2</t>
        </is>
      </c>
    </row>
    <row r="3781" ht="25.5" customHeight="1">
      <c r="A3781" t="inlineStr">
        <is>
          <t>水泥灰牛仔裤女春季2026年新款直筒宽松高腰显瘦弹力窄版阔腿裤子</t>
        </is>
      </c>
      <c r="B3781" t="inlineStr">
        <is>
          <t>recvfVt9jWFtDy.jpg</t>
        </is>
      </c>
      <c r="C3781" s="2" t="str">
        <f>=HYPERLINK("https://xhslink.com/m/35NuLKRPLFP", "https://xhslink.com/m/35NuLKRPLFP")</f>
        <v>https://xhslink.com/m/35NuLKRPLFP</v>
      </c>
      <c r="D3781"/>
      <c r="E3781">
        <v>9079</v>
      </c>
      <c r="F3781">
        <v>99</v>
      </c>
      <c r="G3781">
        <v>79</v>
      </c>
      <c r="H3781">
        <v>100</v>
      </c>
      <c r="I3781" t="inlineStr">
        <is>
          <t>裤子</t>
        </is>
      </c>
      <c r="J3781" t="inlineStr">
        <is>
          <t>0.01</t>
        </is>
      </c>
      <c r="K3781"/>
      <c r="L3781" t="inlineStr">
        <is>
          <t>饱饱的女装服饰店的店</t>
        </is>
      </c>
      <c r="M3781">
        <v>7756</v>
      </c>
      <c r="N3781">
        <v>4.69</v>
      </c>
      <c r="O3781">
        <v>149000</v>
      </c>
      <c r="P3781" t="inlineStr">
        <is>
          <t>66c9d3165c80460001da1a5f</t>
        </is>
      </c>
      <c r="Q3781" t="inlineStr">
        <is>
          <t>🚫重复</t>
        </is>
      </c>
      <c r="R3781" t="inlineStr">
        <is>
          <t>14周</t>
        </is>
      </c>
      <c r="S3781" t="inlineStr">
        <is>
          <t>1.17</t>
        </is>
      </c>
      <c r="T3781" t="inlineStr">
        <is>
          <t>服饰穿搭</t>
        </is>
      </c>
      <c r="U3781" t="inlineStr">
        <is>
          <t>女装</t>
        </is>
      </c>
      <c r="V3781" s="3">
        <v>46117.927083333336</v>
      </c>
      <c r="W3781" t="inlineStr">
        <is>
          <t>2026-Q2</t>
        </is>
      </c>
    </row>
    <row r="3782" ht="25.5" customHeight="1">
      <c r="A3782" t="inlineStr">
        <is>
          <t>【经典百搭】软牛仔窄版直筒裤三裤长高腰显瘦阔腿通勤牛仔裤</t>
        </is>
      </c>
      <c r="B3782" t="inlineStr">
        <is>
          <t>recvfVt9jW3H6I.jpg</t>
        </is>
      </c>
      <c r="C3782" s="2" t="str">
        <f>=HYPERLINK("https://xhslink.com/m/9t8Jz5R5ssO", "https://xhslink.com/m/9t8Jz5R5ssO")</f>
        <v>https://xhslink.com/m/9t8Jz5R5ssO</v>
      </c>
      <c r="D3782"/>
      <c r="E3782">
        <v>31000</v>
      </c>
      <c r="F3782">
        <v>109.99</v>
      </c>
      <c r="G3782">
        <v>89.99</v>
      </c>
      <c r="H3782">
        <v>100</v>
      </c>
      <c r="I3782" t="inlineStr">
        <is>
          <t>裤子</t>
        </is>
      </c>
      <c r="J3782" t="inlineStr">
        <is>
          <t>0.00</t>
        </is>
      </c>
      <c r="K3782" t="inlineStr">
        <is>
          <t>🔥低粉爆款</t>
        </is>
      </c>
      <c r="L3782" t="inlineStr">
        <is>
          <t>小晴天1的店</t>
        </is>
      </c>
      <c r="M3782">
        <v>4413</v>
      </c>
      <c r="N3782">
        <v>4.4</v>
      </c>
      <c r="O3782">
        <v>69000</v>
      </c>
      <c r="P3782" t="inlineStr">
        <is>
          <t>671614cd52e2cf000193c224</t>
        </is>
      </c>
      <c r="Q3782" t="inlineStr">
        <is>
          <t>🚫重复</t>
        </is>
      </c>
      <c r="R3782" t="inlineStr">
        <is>
          <t>14周</t>
        </is>
      </c>
      <c r="S3782" t="inlineStr">
        <is>
          <t>7.02</t>
        </is>
      </c>
      <c r="T3782" t="inlineStr">
        <is>
          <t>服饰穿搭</t>
        </is>
      </c>
      <c r="U3782" t="inlineStr">
        <is>
          <t>女装</t>
        </is>
      </c>
      <c r="V3782" s="3">
        <v>46117.927083333336</v>
      </c>
      <c r="W3782" t="inlineStr">
        <is>
          <t>2026-Q2</t>
        </is>
      </c>
    </row>
    <row r="3783" ht="25.5" customHeight="1">
      <c r="A3783" t="inlineStr">
        <is>
          <t>直筒裤窄版阔腿裤显瘦牛仔裤女加长版</t>
        </is>
      </c>
      <c r="B3783" t="inlineStr">
        <is>
          <t>recvfVt9jWiOeD.jpg</t>
        </is>
      </c>
      <c r="C3783" s="2" t="str">
        <f>=HYPERLINK("https://xhslink.com/m/9qubISzXKTg", "https://xhslink.com/m/9qubISzXKTg")</f>
        <v>https://xhslink.com/m/9qubISzXKTg</v>
      </c>
      <c r="D3783"/>
      <c r="E3783">
        <v>54000</v>
      </c>
      <c r="F3783">
        <v>90</v>
      </c>
      <c r="G3783">
        <v>79</v>
      </c>
      <c r="H3783">
        <v>100</v>
      </c>
      <c r="I3783" t="inlineStr">
        <is>
          <t>裤子</t>
        </is>
      </c>
      <c r="J3783" t="inlineStr">
        <is>
          <t>0.00</t>
        </is>
      </c>
      <c r="K3783"/>
      <c r="L3783" t="inlineStr">
        <is>
          <t>a奶爸小店的店</t>
        </is>
      </c>
      <c r="M3783">
        <v>25000</v>
      </c>
      <c r="N3783">
        <v>4.61</v>
      </c>
      <c r="O3783">
        <v>284000</v>
      </c>
      <c r="P3783" t="inlineStr">
        <is>
          <t>66deee81b39d0f00013ae6ee</t>
        </is>
      </c>
      <c r="Q3783" t="inlineStr">
        <is>
          <t>🚫重复</t>
        </is>
      </c>
      <c r="R3783" t="inlineStr">
        <is>
          <t>14周</t>
        </is>
      </c>
      <c r="S3783" t="inlineStr">
        <is>
          <t>2.16</t>
        </is>
      </c>
      <c r="T3783" t="inlineStr">
        <is>
          <t>服饰穿搭</t>
        </is>
      </c>
      <c r="U3783" t="inlineStr">
        <is>
          <t>女装</t>
        </is>
      </c>
      <c r="V3783" s="3">
        <v>46117.927083333336</v>
      </c>
      <c r="W3783" t="inlineStr">
        <is>
          <t>2026-Q2</t>
        </is>
      </c>
    </row>
    <row r="3784" ht="25.5" customHeight="1">
      <c r="A3784" t="inlineStr">
        <is>
          <t>【Vancci】万老板最爱牛仔裤！全面弹可拆卸胯垫黑色紧身微喇裤</t>
        </is>
      </c>
      <c r="B3784" t="inlineStr">
        <is>
          <t>recvfVt9jWf2cG.jpg</t>
        </is>
      </c>
      <c r="C3784" s="2" t="str">
        <f>=HYPERLINK("https://xhslink.com/m/4B5ramln0rM", "https://xhslink.com/m/4B5ramln0rM")</f>
        <v>https://xhslink.com/m/4B5ramln0rM</v>
      </c>
      <c r="D3784"/>
      <c r="E3784">
        <v>17000</v>
      </c>
      <c r="F3784">
        <v>239</v>
      </c>
      <c r="G3784"/>
      <c r="H3784">
        <v>100</v>
      </c>
      <c r="I3784" t="inlineStr">
        <is>
          <t>裤子</t>
        </is>
      </c>
      <c r="J3784" t="inlineStr">
        <is>
          <t>0.01</t>
        </is>
      </c>
      <c r="K3784"/>
      <c r="L3784" t="inlineStr">
        <is>
          <t>Vancci美衣的店</t>
        </is>
      </c>
      <c r="M3784">
        <v>72000</v>
      </c>
      <c r="N3784">
        <v>4.58</v>
      </c>
      <c r="O3784">
        <v>104000</v>
      </c>
      <c r="P3784" t="inlineStr">
        <is>
          <t>68bfea60a3033000011880be</t>
        </is>
      </c>
      <c r="Q3784" t="inlineStr">
        <is>
          <t>🚫重复</t>
        </is>
      </c>
      <c r="R3784" t="inlineStr">
        <is>
          <t>14周</t>
        </is>
      </c>
      <c r="S3784" t="inlineStr">
        <is>
          <t>0.24</t>
        </is>
      </c>
      <c r="T3784" t="inlineStr">
        <is>
          <t>服饰穿搭</t>
        </is>
      </c>
      <c r="U3784" t="inlineStr">
        <is>
          <t>女装</t>
        </is>
      </c>
      <c r="V3784" s="3">
        <v>46117.927083333336</v>
      </c>
      <c r="W3784" t="inlineStr">
        <is>
          <t>2026-Q2</t>
        </is>
      </c>
    </row>
    <row r="3785" ht="25.5" customHeight="1">
      <c r="A3785" t="inlineStr">
        <is>
          <t>Goo大吉·复古蓝烫钻微喇阔腿牛仔裤女高腰显瘦垂感百搭拖地长裤子</t>
        </is>
      </c>
      <c r="B3785" t="inlineStr">
        <is>
          <t>recvfVt9jW0ZQF.jpg</t>
        </is>
      </c>
      <c r="C3785" s="2" t="str">
        <f>=HYPERLINK("https://xhslink.com/m/12Dn8moFy1l", "https://xhslink.com/m/12Dn8moFy1l")</f>
        <v>https://xhslink.com/m/12Dn8moFy1l</v>
      </c>
      <c r="D3785"/>
      <c r="E3785">
        <v>4288</v>
      </c>
      <c r="F3785">
        <v>168</v>
      </c>
      <c r="G3785">
        <v>117</v>
      </c>
      <c r="H3785">
        <v>100</v>
      </c>
      <c r="I3785" t="inlineStr">
        <is>
          <t>裤子</t>
        </is>
      </c>
      <c r="J3785" t="inlineStr">
        <is>
          <t>0.02</t>
        </is>
      </c>
      <c r="K3785"/>
      <c r="L3785" t="inlineStr">
        <is>
          <t>Goo大吉的店</t>
        </is>
      </c>
      <c r="M3785">
        <v>60000</v>
      </c>
      <c r="N3785">
        <v>4.55</v>
      </c>
      <c r="O3785">
        <v>257000</v>
      </c>
      <c r="P3785" t="inlineStr">
        <is>
          <t>69a64741094aed0001594e9b</t>
        </is>
      </c>
      <c r="Q3785" t="inlineStr">
        <is>
          <t>🚫重复</t>
        </is>
      </c>
      <c r="R3785" t="inlineStr">
        <is>
          <t>14周</t>
        </is>
      </c>
      <c r="S3785" t="inlineStr">
        <is>
          <t>0.07</t>
        </is>
      </c>
      <c r="T3785" t="inlineStr">
        <is>
          <t>服饰穿搭</t>
        </is>
      </c>
      <c r="U3785" t="inlineStr">
        <is>
          <t>女装</t>
        </is>
      </c>
      <c r="V3785" s="3">
        <v>46117.927083333336</v>
      </c>
      <c r="W3785" t="inlineStr">
        <is>
          <t>2026-Q2</t>
        </is>
      </c>
    </row>
    <row r="3786" ht="25.5" customHeight="1">
      <c r="A3786" t="inlineStr">
        <is>
          <t>高端质感微喇牛仔裤女春夏新疆长绒棉高腰显瘦显腿长喇叭裤</t>
        </is>
      </c>
      <c r="B3786" t="inlineStr">
        <is>
          <t>recvfVt9jWrhBI.jpg</t>
        </is>
      </c>
      <c r="C3786" s="2" t="str">
        <f>=HYPERLINK("https://xhslink.com/m/5PK0JaYVtnN", "https://xhslink.com/m/5PK0JaYVtnN")</f>
        <v>https://xhslink.com/m/5PK0JaYVtnN</v>
      </c>
      <c r="D3786"/>
      <c r="E3786">
        <v>16000</v>
      </c>
      <c r="F3786">
        <v>189</v>
      </c>
      <c r="G3786"/>
      <c r="H3786">
        <v>100</v>
      </c>
      <c r="I3786" t="inlineStr">
        <is>
          <t>裤子</t>
        </is>
      </c>
      <c r="J3786" t="inlineStr">
        <is>
          <t>0.01</t>
        </is>
      </c>
      <c r="K3786" t="inlineStr">
        <is>
          <t>🔥低粉爆款</t>
        </is>
      </c>
      <c r="L3786" t="inlineStr">
        <is>
          <t>SEVEN柒 STUDIO的店</t>
        </is>
      </c>
      <c r="M3786">
        <v>2768</v>
      </c>
      <c r="N3786">
        <v>4.58</v>
      </c>
      <c r="O3786">
        <v>17000</v>
      </c>
      <c r="P3786" t="inlineStr">
        <is>
          <t>67b5801bdb1dc1000115f98e</t>
        </is>
      </c>
      <c r="Q3786"/>
      <c r="R3786" t="inlineStr">
        <is>
          <t>14周</t>
        </is>
      </c>
      <c r="S3786" t="inlineStr">
        <is>
          <t>5.78</t>
        </is>
      </c>
      <c r="T3786" t="inlineStr">
        <is>
          <t>服饰穿搭</t>
        </is>
      </c>
      <c r="U3786" t="inlineStr">
        <is>
          <t>女装</t>
        </is>
      </c>
      <c r="V3786" s="3">
        <v>46117.927083333336</v>
      </c>
      <c r="W3786" t="inlineStr">
        <is>
          <t>2026-Q2</t>
        </is>
      </c>
    </row>
    <row r="3787" ht="25.5" customHeight="1">
      <c r="A3787" t="inlineStr">
        <is>
          <t>不想失业原创熊猫卷卷挂件红眼镜古早味可爱包包挂饰钥匙扣</t>
        </is>
      </c>
      <c r="B3787" t="inlineStr">
        <is>
          <t>recvfVt9jWjauI.jpg</t>
        </is>
      </c>
      <c r="C3787" s="2" t="str">
        <f>=HYPERLINK("https://xhslink.com/m/9BqfApGnY13", "https://xhslink.com/m/9BqfApGnY13")</f>
        <v>https://xhslink.com/m/9BqfApGnY13</v>
      </c>
      <c r="D3787"/>
      <c r="E3787">
        <v>12000</v>
      </c>
      <c r="F3787">
        <v>28.8</v>
      </c>
      <c r="G3787">
        <v>25.34</v>
      </c>
      <c r="H3787">
        <v>100</v>
      </c>
      <c r="I3787" t="inlineStr">
        <is>
          <t>钥匙扣挂件</t>
        </is>
      </c>
      <c r="J3787" t="inlineStr">
        <is>
          <t>0.01</t>
        </is>
      </c>
      <c r="K3787"/>
      <c r="L3787" t="inlineStr">
        <is>
          <t>不想失业的店</t>
        </is>
      </c>
      <c r="M3787">
        <v>98000</v>
      </c>
      <c r="N3787">
        <v>4.67</v>
      </c>
      <c r="O3787">
        <v>180000</v>
      </c>
      <c r="P3787" t="inlineStr">
        <is>
          <t>68049b9b1374670001c81f95</t>
        </is>
      </c>
      <c r="Q3787" t="inlineStr">
        <is>
          <t>🚫重复</t>
        </is>
      </c>
      <c r="R3787" t="inlineStr">
        <is>
          <t>14周</t>
        </is>
      </c>
      <c r="S3787" t="inlineStr">
        <is>
          <t>0.12</t>
        </is>
      </c>
      <c r="T3787" t="inlineStr">
        <is>
          <t>服饰穿搭</t>
        </is>
      </c>
      <c r="U3787" t="inlineStr">
        <is>
          <t>鞋靴箱包</t>
        </is>
      </c>
      <c r="V3787" s="3">
        <v>46117.927083333336</v>
      </c>
      <c r="W3787" t="inlineStr">
        <is>
          <t>2026-Q2</t>
        </is>
      </c>
    </row>
    <row r="3788" ht="25.5" customHeight="1">
      <c r="A3788" t="inlineStr">
        <is>
          <t>Unique blue波点挂件轻亚风韩系原创小众布艺字母包包挂件钥匙扣</t>
        </is>
      </c>
      <c r="B3788" t="inlineStr">
        <is>
          <t>recvfVt9jWreCJ.jpg</t>
        </is>
      </c>
      <c r="C3788" s="2" t="str">
        <f>=HYPERLINK("https://xhslink.com/m/7uSTQLulxqA", "https://xhslink.com/m/7uSTQLulxqA")</f>
        <v>https://xhslink.com/m/7uSTQLulxqA</v>
      </c>
      <c r="D3788"/>
      <c r="E3788">
        <v>18000</v>
      </c>
      <c r="F3788">
        <v>25.9</v>
      </c>
      <c r="G3788">
        <v>9.9</v>
      </c>
      <c r="H3788">
        <v>100</v>
      </c>
      <c r="I3788" t="inlineStr">
        <is>
          <t>钥匙扣挂件</t>
        </is>
      </c>
      <c r="J3788" t="inlineStr">
        <is>
          <t>0.01</t>
        </is>
      </c>
      <c r="K3788"/>
      <c r="L3788" t="inlineStr">
        <is>
          <t>Unique blue 独特的蓝色（双休日）的店</t>
        </is>
      </c>
      <c r="M3788">
        <v>26000</v>
      </c>
      <c r="N3788">
        <v>4.52</v>
      </c>
      <c r="O3788">
        <v>33000</v>
      </c>
      <c r="P3788" t="inlineStr">
        <is>
          <t>69afd85b5a55b80001f3c4a6</t>
        </is>
      </c>
      <c r="Q3788"/>
      <c r="R3788" t="inlineStr">
        <is>
          <t>14周</t>
        </is>
      </c>
      <c r="S3788" t="inlineStr">
        <is>
          <t>0.69</t>
        </is>
      </c>
      <c r="T3788" t="inlineStr">
        <is>
          <t>服饰穿搭</t>
        </is>
      </c>
      <c r="U3788" t="inlineStr">
        <is>
          <t>鞋靴箱包</t>
        </is>
      </c>
      <c r="V3788" s="3">
        <v>46117.927083333336</v>
      </c>
      <c r="W3788" t="inlineStr">
        <is>
          <t>2026-Q2</t>
        </is>
      </c>
    </row>
    <row r="3789" ht="25.5" customHeight="1">
      <c r="A3789" t="inlineStr">
        <is>
          <t>软萌兔子毛绒公仔可爱玩偶钥匙扣挂饰包包挂件女生礼物推荐胡萝卜</t>
        </is>
      </c>
      <c r="B3789" t="inlineStr">
        <is>
          <t>recvfVt9jWJZk0.jpg</t>
        </is>
      </c>
      <c r="C3789" s="2" t="str">
        <f>=HYPERLINK("https://xhslink.com/m/6i68JT8g5ap", "https://xhslink.com/m/6i68JT8g5ap")</f>
        <v>https://xhslink.com/m/6i68JT8g5ap</v>
      </c>
      <c r="D3789"/>
      <c r="E3789">
        <v>54000</v>
      </c>
      <c r="F3789">
        <v>75</v>
      </c>
      <c r="G3789">
        <v>29.9</v>
      </c>
      <c r="H3789">
        <v>100</v>
      </c>
      <c r="I3789" t="inlineStr">
        <is>
          <t>挂件公仔</t>
        </is>
      </c>
      <c r="J3789" t="inlineStr">
        <is>
          <t>0.00</t>
        </is>
      </c>
      <c r="K3789" t="inlineStr">
        <is>
          <t>🔥低粉爆款</t>
        </is>
      </c>
      <c r="L3789" t="inlineStr">
        <is>
          <t>nice聚优阁的店</t>
        </is>
      </c>
      <c r="M3789">
        <v>17000</v>
      </c>
      <c r="N3789">
        <v>4.65</v>
      </c>
      <c r="O3789">
        <v>348000</v>
      </c>
      <c r="P3789" t="inlineStr">
        <is>
          <t>67b071bf132d2d0015dea1fd</t>
        </is>
      </c>
      <c r="Q3789" t="inlineStr">
        <is>
          <t>🚫重复</t>
        </is>
      </c>
      <c r="R3789" t="inlineStr">
        <is>
          <t>14周</t>
        </is>
      </c>
      <c r="S3789" t="inlineStr">
        <is>
          <t>3.18</t>
        </is>
      </c>
      <c r="T3789" t="inlineStr">
        <is>
          <t>服饰穿搭</t>
        </is>
      </c>
      <c r="U3789" t="inlineStr">
        <is>
          <t>鞋靴箱包</t>
        </is>
      </c>
      <c r="V3789" s="3">
        <v>46117.927083333336</v>
      </c>
      <c r="W3789" t="inlineStr">
        <is>
          <t>2026-Q2</t>
        </is>
      </c>
    </row>
    <row r="3790" ht="25.5" customHeight="1">
      <c r="A3790" t="inlineStr">
        <is>
          <t>yukio热门款丑娃娃富士山咖啡许愿星美人鱼四叶草挂件</t>
        </is>
      </c>
      <c r="B3790" t="inlineStr">
        <is>
          <t>recvfVt9jW6132.jpg</t>
        </is>
      </c>
      <c r="C3790" s="2" t="str">
        <f>=HYPERLINK("https://xhslink.com/m/AG4zOaKSO5Y", "https://xhslink.com/m/AG4zOaKSO5Y")</f>
        <v>https://xhslink.com/m/AG4zOaKSO5Y</v>
      </c>
      <c r="D3790"/>
      <c r="E3790">
        <v>23000</v>
      </c>
      <c r="F3790">
        <v>32.9</v>
      </c>
      <c r="G3790">
        <v>24.96</v>
      </c>
      <c r="H3790">
        <v>100</v>
      </c>
      <c r="I3790" t="inlineStr">
        <is>
          <t>挂件公仔</t>
        </is>
      </c>
      <c r="J3790" t="inlineStr">
        <is>
          <t>0.00</t>
        </is>
      </c>
      <c r="K3790" t="inlineStr">
        <is>
          <t>🔥低粉爆款</t>
        </is>
      </c>
      <c r="L3790" t="inlineStr">
        <is>
          <t>萌物统治世界了吗的店</t>
        </is>
      </c>
      <c r="M3790">
        <v>2814</v>
      </c>
      <c r="N3790">
        <v>4.64</v>
      </c>
      <c r="O3790">
        <v>42000</v>
      </c>
      <c r="P3790" t="inlineStr">
        <is>
          <t>69564f8408cd9000018da367</t>
        </is>
      </c>
      <c r="Q3790" t="inlineStr">
        <is>
          <t>🚫重复</t>
        </is>
      </c>
      <c r="R3790" t="inlineStr">
        <is>
          <t>14周</t>
        </is>
      </c>
      <c r="S3790" t="inlineStr">
        <is>
          <t>8.17</t>
        </is>
      </c>
      <c r="T3790" t="inlineStr">
        <is>
          <t>服饰穿搭</t>
        </is>
      </c>
      <c r="U3790" t="inlineStr">
        <is>
          <t>配饰</t>
        </is>
      </c>
      <c r="V3790" s="3">
        <v>46117.927083333336</v>
      </c>
      <c r="W3790" t="inlineStr">
        <is>
          <t>2026-Q2</t>
        </is>
      </c>
    </row>
    <row r="3791" ht="25.5" customHeight="1">
      <c r="A3791" t="inlineStr">
        <is>
          <t>【甜玉米毛绒手机挂件】毛绒玩偶/手机挂绳/礼物推荐</t>
        </is>
      </c>
      <c r="B3791" t="inlineStr">
        <is>
          <t>recvfVt9jWE1eS.jpg</t>
        </is>
      </c>
      <c r="C3791" s="2" t="str">
        <f>=HYPERLINK("https://xhslink.com/m/6kUr8Saj7zp", "https://xhslink.com/m/6kUr8Saj7zp")</f>
        <v>https://xhslink.com/m/6kUr8Saj7zp</v>
      </c>
      <c r="D3791"/>
      <c r="E3791">
        <v>85000</v>
      </c>
      <c r="F3791">
        <v>35.9</v>
      </c>
      <c r="G3791"/>
      <c r="H3791">
        <v>100</v>
      </c>
      <c r="I3791" t="inlineStr">
        <is>
          <t>挂件公仔</t>
        </is>
      </c>
      <c r="J3791" t="inlineStr">
        <is>
          <t>0.00</t>
        </is>
      </c>
      <c r="K3791"/>
      <c r="L3791" t="inlineStr">
        <is>
          <t>Rays潮玩的店</t>
        </is>
      </c>
      <c r="M3791">
        <v>385000</v>
      </c>
      <c r="N3791">
        <v>4.62</v>
      </c>
      <c r="O3791">
        <v>916000</v>
      </c>
      <c r="P3791" t="inlineStr">
        <is>
          <t>69b00bc79b4aae0001c9c472</t>
        </is>
      </c>
      <c r="Q3791" t="inlineStr">
        <is>
          <t>🚫重复</t>
        </is>
      </c>
      <c r="R3791" t="inlineStr">
        <is>
          <t>14周</t>
        </is>
      </c>
      <c r="S3791" t="inlineStr">
        <is>
          <t>0.22</t>
        </is>
      </c>
      <c r="T3791" t="inlineStr">
        <is>
          <t>母婴亲子</t>
        </is>
      </c>
      <c r="U3791" t="inlineStr">
        <is>
          <t>玩具早教</t>
        </is>
      </c>
      <c r="V3791" s="3">
        <v>46117.927083333336</v>
      </c>
      <c r="W3791" t="inlineStr">
        <is>
          <t>2026-Q2</t>
        </is>
      </c>
    </row>
    <row r="3792" ht="25.5" customHeight="1">
      <c r="A3792" t="inlineStr">
        <is>
          <t>【部分现货】恋与深空原创同人5cm抱抱团子挂件棉花娃娃</t>
        </is>
      </c>
      <c r="B3792" t="inlineStr">
        <is>
          <t>recvfVt9jWbbMQ.jpg</t>
        </is>
      </c>
      <c r="C3792" s="2" t="str">
        <f>=HYPERLINK("https://xhslink.com/m/2dl707Wh8tO", "https://xhslink.com/m/2dl707Wh8tO")</f>
        <v>https://xhslink.com/m/2dl707Wh8tO</v>
      </c>
      <c r="D3792"/>
      <c r="E3792">
        <v>3247</v>
      </c>
      <c r="F3792">
        <v>26.9</v>
      </c>
      <c r="G3792"/>
      <c r="H3792">
        <v>100</v>
      </c>
      <c r="I3792" t="inlineStr">
        <is>
          <t>挂件</t>
        </is>
      </c>
      <c r="J3792" t="inlineStr">
        <is>
          <t>0.03</t>
        </is>
      </c>
      <c r="K3792"/>
      <c r="L3792" t="inlineStr">
        <is>
          <t>Wawa同人社的店</t>
        </is>
      </c>
      <c r="M3792">
        <v>67000</v>
      </c>
      <c r="N3792">
        <v>4.61</v>
      </c>
      <c r="O3792">
        <v>84000</v>
      </c>
      <c r="P3792" t="inlineStr">
        <is>
          <t>698cc57e7db7d20001c3c8c6</t>
        </is>
      </c>
      <c r="Q3792" t="inlineStr">
        <is>
          <t>🚫重复</t>
        </is>
      </c>
      <c r="R3792" t="inlineStr">
        <is>
          <t>14周</t>
        </is>
      </c>
      <c r="S3792" t="inlineStr">
        <is>
          <t>0.05</t>
        </is>
      </c>
      <c r="T3792" t="inlineStr">
        <is>
          <t>服饰穿搭</t>
        </is>
      </c>
      <c r="U3792" t="inlineStr">
        <is>
          <t>配饰</t>
        </is>
      </c>
      <c r="V3792" s="3">
        <v>46117.927083333336</v>
      </c>
      <c r="W3792" t="inlineStr">
        <is>
          <t>2026-Q2</t>
        </is>
      </c>
    </row>
    <row r="3793" ht="25.5" customHeight="1">
      <c r="A3793" t="inlineStr">
        <is>
          <t>慕斯浮梦15cm10cm兔子可爱连帽衣无属性棉花娃娃送鞋子20cm</t>
        </is>
      </c>
      <c r="B3793" t="inlineStr">
        <is>
          <t>recvfVt9jWuYZa.jpg</t>
        </is>
      </c>
      <c r="C3793" s="2" t="str">
        <f>=HYPERLINK("https://xhslink.com/m/38uNO4cGMSm", "https://xhslink.com/m/38uNO4cGMSm")</f>
        <v>https://xhslink.com/m/38uNO4cGMSm</v>
      </c>
      <c r="D3793"/>
      <c r="E3793">
        <v>3061</v>
      </c>
      <c r="F3793">
        <v>14.9</v>
      </c>
      <c r="G3793"/>
      <c r="H3793">
        <v>100</v>
      </c>
      <c r="I3793" t="inlineStr">
        <is>
          <t>挂件</t>
        </is>
      </c>
      <c r="J3793" t="inlineStr">
        <is>
          <t>0.03</t>
        </is>
      </c>
      <c r="K3793"/>
      <c r="L3793" t="inlineStr">
        <is>
          <t>小兔的换装衣橱🐰的店</t>
        </is>
      </c>
      <c r="M3793">
        <v>4180</v>
      </c>
      <c r="N3793">
        <v>4.4</v>
      </c>
      <c r="O3793">
        <v>54000</v>
      </c>
      <c r="P3793" t="inlineStr">
        <is>
          <t>694266b348f0e30001e39ce1</t>
        </is>
      </c>
      <c r="Q3793"/>
      <c r="R3793" t="inlineStr">
        <is>
          <t>14周</t>
        </is>
      </c>
      <c r="S3793" t="inlineStr">
        <is>
          <t>0.73</t>
        </is>
      </c>
      <c r="T3793" t="inlineStr">
        <is>
          <t>服饰穿搭</t>
        </is>
      </c>
      <c r="U3793" t="inlineStr">
        <is>
          <t>配饰</t>
        </is>
      </c>
      <c r="V3793" s="3">
        <v>46117.927083333336</v>
      </c>
      <c r="W3793" t="inlineStr">
        <is>
          <t>2026-Q2</t>
        </is>
      </c>
    </row>
    <row r="3794" ht="25.5" customHeight="1">
      <c r="A3794" t="inlineStr">
        <is>
          <t>西瓜少女撞色蝴蝶美背训练健身文胸固定胸垫运动内衣</t>
        </is>
      </c>
      <c r="B3794" t="inlineStr">
        <is>
          <t>recvfVt9jWWEvc.jpg</t>
        </is>
      </c>
      <c r="C3794" s="2" t="str">
        <f>=HYPERLINK("https://xhslink.com/m/RwNYftmmiV", "https://xhslink.com/m/RwNYftmmiV")</f>
        <v>https://xhslink.com/m/RwNYftmmiV</v>
      </c>
      <c r="D3794"/>
      <c r="E3794">
        <v>8105</v>
      </c>
      <c r="F3794">
        <v>72.9</v>
      </c>
      <c r="G3794">
        <v>59.9</v>
      </c>
      <c r="H3794">
        <v>100</v>
      </c>
      <c r="I3794" t="inlineStr">
        <is>
          <t>运动内衣</t>
        </is>
      </c>
      <c r="J3794" t="inlineStr">
        <is>
          <t>0.01</t>
        </is>
      </c>
      <c r="K3794"/>
      <c r="L3794" t="inlineStr">
        <is>
          <t>🍉西瓜瑜伽少女的店</t>
        </is>
      </c>
      <c r="M3794">
        <v>4033</v>
      </c>
      <c r="N3794">
        <v>4.6</v>
      </c>
      <c r="O3794">
        <v>34000</v>
      </c>
      <c r="P3794" t="inlineStr">
        <is>
          <t>68c6215655f59b0001f95269</t>
        </is>
      </c>
      <c r="Q3794" t="inlineStr">
        <is>
          <t>🚫重复</t>
        </is>
      </c>
      <c r="R3794" t="inlineStr">
        <is>
          <t>14周</t>
        </is>
      </c>
      <c r="S3794" t="inlineStr">
        <is>
          <t>2.01</t>
        </is>
      </c>
      <c r="T3794" t="inlineStr">
        <is>
          <t>运动潮玩</t>
        </is>
      </c>
      <c r="U3794" t="inlineStr">
        <is>
          <t>运动户外装备</t>
        </is>
      </c>
      <c r="V3794" s="3">
        <v>46117.927083333336</v>
      </c>
      <c r="W3794" t="inlineStr">
        <is>
          <t>2026-Q2</t>
        </is>
      </c>
    </row>
    <row r="3795" ht="25.5" customHeight="1">
      <c r="A3795" t="inlineStr">
        <is>
          <t>【单肩】拼色运动文胸</t>
        </is>
      </c>
      <c r="B3795" t="inlineStr">
        <is>
          <t>recvfVt9jWL0hz.jpg</t>
        </is>
      </c>
      <c r="C3795" s="2" t="str">
        <f>=HYPERLINK("https://xhslink.com/m/6l7kjXhgjxG", "https://xhslink.com/m/6l7kjXhgjxG")</f>
        <v>https://xhslink.com/m/6l7kjXhgjxG</v>
      </c>
      <c r="D3795"/>
      <c r="E3795">
        <v>1644</v>
      </c>
      <c r="F3795">
        <v>85</v>
      </c>
      <c r="G3795">
        <v>75</v>
      </c>
      <c r="H3795">
        <v>100</v>
      </c>
      <c r="I3795" t="inlineStr">
        <is>
          <t>运动内衣</t>
        </is>
      </c>
      <c r="J3795" t="inlineStr">
        <is>
          <t>0.06</t>
        </is>
      </c>
      <c r="K3795"/>
      <c r="L3795" t="inlineStr">
        <is>
          <t>肖大大 Chic Sport的店</t>
        </is>
      </c>
      <c r="M3795">
        <v>36000</v>
      </c>
      <c r="N3795">
        <v>4.6</v>
      </c>
      <c r="O3795">
        <v>16000</v>
      </c>
      <c r="P3795" t="inlineStr">
        <is>
          <t>68b44e488ec6fa000172156c</t>
        </is>
      </c>
      <c r="Q3795" t="inlineStr">
        <is>
          <t>🚫重复</t>
        </is>
      </c>
      <c r="R3795" t="inlineStr">
        <is>
          <t>14周</t>
        </is>
      </c>
      <c r="S3795" t="inlineStr">
        <is>
          <t>0.05</t>
        </is>
      </c>
      <c r="T3795" t="inlineStr">
        <is>
          <t>服饰穿搭</t>
        </is>
      </c>
      <c r="U3795" t="inlineStr">
        <is>
          <t>女装</t>
        </is>
      </c>
      <c r="V3795" s="3">
        <v>46117.927083333336</v>
      </c>
      <c r="W3795" t="inlineStr">
        <is>
          <t>2026-Q2</t>
        </is>
      </c>
    </row>
    <row r="3796" ht="25.5" customHeight="1">
      <c r="A3796" t="inlineStr">
        <is>
          <t>116女孩工字瑜伽背心带胸垫外穿防震运动内衣显瘦普拉提训练上衣</t>
        </is>
      </c>
      <c r="B3796" t="inlineStr">
        <is>
          <t>recvfVt9jW0YtX.jpg</t>
        </is>
      </c>
      <c r="C3796" s="2" t="str">
        <f>=HYPERLINK("https://xhslink.com/m/fx35lCiGGl", "https://xhslink.com/m/fx35lCiGGl")</f>
        <v>https://xhslink.com/m/fx35lCiGGl</v>
      </c>
      <c r="D3796"/>
      <c r="E3796">
        <v>1004</v>
      </c>
      <c r="F3796">
        <v>49.9</v>
      </c>
      <c r="G3796"/>
      <c r="H3796">
        <v>100</v>
      </c>
      <c r="I3796" t="inlineStr">
        <is>
          <t>运动内衣</t>
        </is>
      </c>
      <c r="J3796" t="inlineStr">
        <is>
          <t>0.10</t>
        </is>
      </c>
      <c r="K3796"/>
      <c r="L3796" t="inlineStr">
        <is>
          <t>瑜伽少女Yoga的店</t>
        </is>
      </c>
      <c r="M3796">
        <v>10000</v>
      </c>
      <c r="N3796">
        <v>4.71</v>
      </c>
      <c r="O3796">
        <v>254000</v>
      </c>
      <c r="P3796" t="inlineStr">
        <is>
          <t>695e51d4a351230001963d77</t>
        </is>
      </c>
      <c r="Q3796" t="inlineStr">
        <is>
          <t>🚫重复</t>
        </is>
      </c>
      <c r="R3796" t="inlineStr">
        <is>
          <t>14周</t>
        </is>
      </c>
      <c r="S3796" t="inlineStr">
        <is>
          <t>0.10</t>
        </is>
      </c>
      <c r="T3796" t="inlineStr">
        <is>
          <t>服饰穿搭</t>
        </is>
      </c>
      <c r="U3796" t="inlineStr">
        <is>
          <t>女装</t>
        </is>
      </c>
      <c r="V3796" s="3">
        <v>46117.927083333336</v>
      </c>
      <c r="W3796" t="inlineStr">
        <is>
          <t>2026-Q2</t>
        </is>
      </c>
    </row>
    <row r="3797" ht="25.5" customHeight="1">
      <c r="A3797" t="inlineStr">
        <is>
          <t>大容量手提旅行包女短途出差登机包男斜挎包随身行李包收纳待产包</t>
        </is>
      </c>
      <c r="B3797" t="inlineStr">
        <is>
          <t>recvfVt9jW1Nly.jpg</t>
        </is>
      </c>
      <c r="C3797" s="2" t="str">
        <f>=HYPERLINK("https://xhslink.com/m/81ePBQTIxQK", "https://xhslink.com/m/81ePBQTIxQK")</f>
        <v>https://xhslink.com/m/81ePBQTIxQK</v>
      </c>
      <c r="D3797"/>
      <c r="E3797">
        <v>18000</v>
      </c>
      <c r="F3797">
        <v>79</v>
      </c>
      <c r="G3797">
        <v>59</v>
      </c>
      <c r="H3797">
        <v>100</v>
      </c>
      <c r="I3797" t="inlineStr">
        <is>
          <t>旅行包</t>
        </is>
      </c>
      <c r="J3797" t="inlineStr">
        <is>
          <t>0.01</t>
        </is>
      </c>
      <c r="K3797" t="inlineStr">
        <is>
          <t>🔥低粉爆款</t>
        </is>
      </c>
      <c r="L3797" t="inlineStr">
        <is>
          <t>慢客箱包的店</t>
        </is>
      </c>
      <c r="M3797">
        <v>3018</v>
      </c>
      <c r="N3797">
        <v>4.8</v>
      </c>
      <c r="O3797">
        <v>80000</v>
      </c>
      <c r="P3797" t="inlineStr">
        <is>
          <t>6971a7be3067f40001324c42</t>
        </is>
      </c>
      <c r="Q3797" t="inlineStr">
        <is>
          <t>🚫重复</t>
        </is>
      </c>
      <c r="R3797" t="inlineStr">
        <is>
          <t>14周</t>
        </is>
      </c>
      <c r="S3797" t="inlineStr">
        <is>
          <t>5.96</t>
        </is>
      </c>
      <c r="T3797" t="inlineStr">
        <is>
          <t>运动潮玩</t>
        </is>
      </c>
      <c r="U3797" t="inlineStr">
        <is>
          <t>旅行出行</t>
        </is>
      </c>
      <c r="V3797" s="3">
        <v>46117.927083333336</v>
      </c>
      <c r="W3797" t="inlineStr">
        <is>
          <t>2026-Q2</t>
        </is>
      </c>
    </row>
    <row r="3798" ht="25.5" customHeight="1">
      <c r="A3798" t="inlineStr">
        <is>
          <t>Keep Baufine · 护踝脚踝防扭固定加压专业运动防崴脚踝腕关节保护套男女轻薄运动</t>
        </is>
      </c>
      <c r="B3798" t="inlineStr">
        <is>
          <t>recvfVt9jW2Ey2.jpg</t>
        </is>
      </c>
      <c r="C3798" s="2" t="str">
        <f>=HYPERLINK("https://xhslink.com/m/1KVk560W8L", "https://xhslink.com/m/1KVk560W8L")</f>
        <v>https://xhslink.com/m/1KVk560W8L</v>
      </c>
      <c r="D3798"/>
      <c r="E3798">
        <v>17000</v>
      </c>
      <c r="F3798">
        <v>59</v>
      </c>
      <c r="G3798">
        <v>39</v>
      </c>
      <c r="H3798">
        <v>100</v>
      </c>
      <c r="I3798" t="inlineStr">
        <is>
          <t>运动</t>
        </is>
      </c>
      <c r="J3798" t="inlineStr">
        <is>
          <t>0.01</t>
        </is>
      </c>
      <c r="K3798"/>
      <c r="L3798" t="inlineStr">
        <is>
          <t>国际运动户外的店</t>
        </is>
      </c>
      <c r="M3798">
        <v>7044</v>
      </c>
      <c r="N3798">
        <v>4.65</v>
      </c>
      <c r="O3798">
        <v>86000</v>
      </c>
      <c r="P3798" t="inlineStr">
        <is>
          <t>666846af5f1a0a00013d44b9</t>
        </is>
      </c>
      <c r="Q3798" t="inlineStr">
        <is>
          <t>🚫重复</t>
        </is>
      </c>
      <c r="R3798" t="inlineStr">
        <is>
          <t>14周</t>
        </is>
      </c>
      <c r="S3798" t="inlineStr">
        <is>
          <t>2.41</t>
        </is>
      </c>
      <c r="T3798" t="inlineStr">
        <is>
          <t>运动潮玩</t>
        </is>
      </c>
      <c r="U3798" t="inlineStr">
        <is>
          <t>运动户外装备</t>
        </is>
      </c>
      <c r="V3798" s="3">
        <v>46117.927083333336</v>
      </c>
      <c r="W3798" t="inlineStr">
        <is>
          <t>2026-Q2</t>
        </is>
      </c>
    </row>
    <row r="3799" ht="25.5" customHeight="1">
      <c r="A3799" t="inlineStr">
        <is>
          <t>髌骨带跳绳护膝女专业跑步羽毛球运动膝盖男保护半月板关节损伤夏</t>
        </is>
      </c>
      <c r="B3799" t="inlineStr">
        <is>
          <t>recvfVt9jWyhBl.jpg</t>
        </is>
      </c>
      <c r="C3799" s="2" t="str">
        <f>=HYPERLINK("https://xhslink.com/m/4YyFq6y8HJ8", "https://xhslink.com/m/4YyFq6y8HJ8")</f>
        <v>https://xhslink.com/m/4YyFq6y8HJ8</v>
      </c>
      <c r="D3799"/>
      <c r="E3799">
        <v>8528</v>
      </c>
      <c r="F3799">
        <v>58.6</v>
      </c>
      <c r="G3799">
        <v>26.8</v>
      </c>
      <c r="H3799">
        <v>100</v>
      </c>
      <c r="I3799" t="inlineStr">
        <is>
          <t>运动</t>
        </is>
      </c>
      <c r="J3799" t="inlineStr">
        <is>
          <t>0.01</t>
        </is>
      </c>
      <c r="K3799" t="inlineStr">
        <is>
          <t>🔥低粉爆款</t>
        </is>
      </c>
      <c r="L3799" t="inlineStr">
        <is>
          <t>玉米唧唧的店</t>
        </is>
      </c>
      <c r="M3799">
        <v>275</v>
      </c>
      <c r="N3799">
        <v>4.57</v>
      </c>
      <c r="O3799">
        <v>35000</v>
      </c>
      <c r="P3799" t="inlineStr">
        <is>
          <t>68d8fa80c75361000174c9d9</t>
        </is>
      </c>
      <c r="Q3799" t="inlineStr">
        <is>
          <t>🚫重复</t>
        </is>
      </c>
      <c r="R3799" t="inlineStr">
        <is>
          <t>14周</t>
        </is>
      </c>
      <c r="S3799" t="inlineStr">
        <is>
          <t>31.01</t>
        </is>
      </c>
      <c r="T3799" t="inlineStr">
        <is>
          <t>运动潮玩</t>
        </is>
      </c>
      <c r="U3799" t="inlineStr">
        <is>
          <t>运动户外装备</t>
        </is>
      </c>
      <c r="V3799" s="3">
        <v>46117.927083333336</v>
      </c>
      <c r="W3799" t="inlineStr">
        <is>
          <t>2026-Q2</t>
        </is>
      </c>
    </row>
    <row r="3800" ht="25.5" customHeight="1">
      <c r="A3800" t="inlineStr">
        <is>
          <t>牧场直发【任选3罐32】希腊冷萃干噎酸奶 顺丰包邮 超瓷实</t>
        </is>
      </c>
      <c r="B3800" t="inlineStr">
        <is>
          <t>recvfVt9jW2vfW.jpg</t>
        </is>
      </c>
      <c r="C3800" s="2" t="str">
        <f>=HYPERLINK("https://xhslink.com/m/3OOfteAd1Qm", "https://xhslink.com/m/3OOfteAd1Qm")</f>
        <v>https://xhslink.com/m/3OOfteAd1Qm</v>
      </c>
      <c r="D3800"/>
      <c r="E3800">
        <v>16000</v>
      </c>
      <c r="F3800">
        <v>20</v>
      </c>
      <c r="G3800"/>
      <c r="H3800">
        <v>100</v>
      </c>
      <c r="I3800" t="inlineStr">
        <is>
          <t>酸奶</t>
        </is>
      </c>
      <c r="J3800" t="inlineStr">
        <is>
          <t>0.01</t>
        </is>
      </c>
      <c r="K3800" t="inlineStr">
        <is>
          <t>🔥低粉爆款</t>
        </is>
      </c>
      <c r="L3800" t="inlineStr">
        <is>
          <t>fafa达美的店</t>
        </is>
      </c>
      <c r="M3800">
        <v>1068</v>
      </c>
      <c r="N3800">
        <v>4.32</v>
      </c>
      <c r="O3800">
        <v>34000</v>
      </c>
      <c r="P3800" t="inlineStr">
        <is>
          <t>68ecb8229176f500014ad0b1</t>
        </is>
      </c>
      <c r="Q3800"/>
      <c r="R3800" t="inlineStr">
        <is>
          <t>14周</t>
        </is>
      </c>
      <c r="S3800" t="inlineStr">
        <is>
          <t>14.98</t>
        </is>
      </c>
      <c r="T3800" t="inlineStr">
        <is>
          <t>美食滋补</t>
        </is>
      </c>
      <c r="U3800" t="inlineStr">
        <is>
          <t>酒水冲饮</t>
        </is>
      </c>
      <c r="V3800" s="3">
        <v>46117.927083333336</v>
      </c>
      <c r="W3800" t="inlineStr">
        <is>
          <t>2026-Q2</t>
        </is>
      </c>
    </row>
    <row r="3801" ht="25.5" customHeight="1">
      <c r="A3801" t="inlineStr">
        <is>
          <t>极客农场 · 极客生态木瓜 | 晚下树滋味足 香甜丝滑细腻 常温变黄后冷藏储存</t>
        </is>
      </c>
      <c r="B3801" t="inlineStr">
        <is>
          <t>recvfVt9jWfjvh.jpg</t>
        </is>
      </c>
      <c r="C3801" s="2" t="str">
        <f>=HYPERLINK("https://xhslink.com/m/8O3TGaA6786", "https://xhslink.com/m/8O3TGaA6786")</f>
        <v>https://xhslink.com/m/8O3TGaA6786</v>
      </c>
      <c r="D3801"/>
      <c r="E3801">
        <v>12000</v>
      </c>
      <c r="F3801">
        <v>44.9</v>
      </c>
      <c r="G3801">
        <v>39.9</v>
      </c>
      <c r="H3801">
        <v>100</v>
      </c>
      <c r="I3801" t="inlineStr">
        <is>
          <t>水果</t>
        </is>
      </c>
      <c r="J3801" t="inlineStr">
        <is>
          <t>0.01</t>
        </is>
      </c>
      <c r="K3801"/>
      <c r="L3801" t="inlineStr">
        <is>
          <t>极客农场旗舰店</t>
        </is>
      </c>
      <c r="M3801">
        <v>121000</v>
      </c>
      <c r="N3801">
        <v>4.51</v>
      </c>
      <c r="O3801">
        <v>594000</v>
      </c>
      <c r="P3801" t="inlineStr">
        <is>
          <t>696debe48b93420001023afa</t>
        </is>
      </c>
      <c r="Q3801" t="inlineStr">
        <is>
          <t>🚫重复</t>
        </is>
      </c>
      <c r="R3801" t="inlineStr">
        <is>
          <t>14周</t>
        </is>
      </c>
      <c r="S3801" t="inlineStr">
        <is>
          <t>0.10</t>
        </is>
      </c>
      <c r="T3801" t="inlineStr">
        <is>
          <t>美食滋补</t>
        </is>
      </c>
      <c r="U3801" t="inlineStr">
        <is>
          <t>生鲜特产</t>
        </is>
      </c>
      <c r="V3801" s="3">
        <v>46117.927083333336</v>
      </c>
      <c r="W3801" t="inlineStr">
        <is>
          <t>2026-Q2</t>
        </is>
      </c>
    </row>
    <row r="3802" ht="25.5" customHeight="1">
      <c r="A3802" t="inlineStr">
        <is>
          <t>【不定时限量】坚果全麦吐司边角料边皮0蔗糖粗粮代餐宿舍早餐</t>
        </is>
      </c>
      <c r="B3802" t="inlineStr">
        <is>
          <t>recvfVt9jWzQ0w.jpg</t>
        </is>
      </c>
      <c r="C3802" s="2" t="str">
        <f>=HYPERLINK("https://xhslink.com/m/4UEpdSMO4zr", "https://xhslink.com/m/4UEpdSMO4zr")</f>
        <v>https://xhslink.com/m/4UEpdSMO4zr</v>
      </c>
      <c r="D3802"/>
      <c r="E3802">
        <v>20000</v>
      </c>
      <c r="F3802">
        <v>20.9</v>
      </c>
      <c r="G3802">
        <v>9.9</v>
      </c>
      <c r="H3802">
        <v>100</v>
      </c>
      <c r="I3802" t="inlineStr">
        <is>
          <t>低卡食物</t>
        </is>
      </c>
      <c r="J3802" t="inlineStr">
        <is>
          <t>0.01</t>
        </is>
      </c>
      <c r="K3802" t="inlineStr">
        <is>
          <t>🔥低粉爆款</t>
        </is>
      </c>
      <c r="L3802" t="inlineStr">
        <is>
          <t>吐司掉地上了的店</t>
        </is>
      </c>
      <c r="M3802">
        <v>642</v>
      </c>
      <c r="N3802">
        <v>4.62</v>
      </c>
      <c r="O3802">
        <v>44000</v>
      </c>
      <c r="P3802" t="inlineStr">
        <is>
          <t>6978205ad0b05c0001ad18c5</t>
        </is>
      </c>
      <c r="Q3802" t="inlineStr">
        <is>
          <t>🚫重复</t>
        </is>
      </c>
      <c r="R3802" t="inlineStr">
        <is>
          <t>14周</t>
        </is>
      </c>
      <c r="S3802" t="inlineStr">
        <is>
          <t>31.15</t>
        </is>
      </c>
      <c r="T3802" t="inlineStr">
        <is>
          <t>美食滋补</t>
        </is>
      </c>
      <c r="U3802" t="inlineStr">
        <is>
          <t>休闲零食</t>
        </is>
      </c>
      <c r="V3802" s="3">
        <v>46117.927083333336</v>
      </c>
      <c r="W3802" t="inlineStr">
        <is>
          <t>2026-Q2</t>
        </is>
      </c>
    </row>
    <row r="3803" ht="25.5" customHeight="1">
      <c r="A3803" t="inlineStr">
        <is>
          <t>山西吕梁纯碱养胃烤馍无蔗糖低脂烤馍纯手工干馍馒碱水烤馍酥脆</t>
        </is>
      </c>
      <c r="B3803" t="inlineStr">
        <is>
          <t>recvfVt9jWPobh.jpg</t>
        </is>
      </c>
      <c r="C3803" s="2" t="str">
        <f>=HYPERLINK("https://xhslink.com/m/2a9pHHyJucC", "https://xhslink.com/m/2a9pHHyJucC")</f>
        <v>https://xhslink.com/m/2a9pHHyJucC</v>
      </c>
      <c r="D3803"/>
      <c r="E3803">
        <v>20000</v>
      </c>
      <c r="F3803">
        <v>17.9</v>
      </c>
      <c r="G3803">
        <v>13.75</v>
      </c>
      <c r="H3803">
        <v>100</v>
      </c>
      <c r="I3803" t="inlineStr">
        <is>
          <t>低卡食物</t>
        </is>
      </c>
      <c r="J3803" t="inlineStr">
        <is>
          <t>0.01</t>
        </is>
      </c>
      <c r="K3803" t="inlineStr">
        <is>
          <t>🔥低粉爆款</t>
        </is>
      </c>
      <c r="L3803" t="inlineStr">
        <is>
          <t>小麦零食铺的店</t>
        </is>
      </c>
      <c r="M3803">
        <v>463</v>
      </c>
      <c r="N3803">
        <v>4.51</v>
      </c>
      <c r="O3803">
        <v>23000</v>
      </c>
      <c r="P3803" t="inlineStr">
        <is>
          <t>659f8360fdf2180001afc47e</t>
        </is>
      </c>
      <c r="Q3803" t="inlineStr">
        <is>
          <t>🚫重复</t>
        </is>
      </c>
      <c r="R3803" t="inlineStr">
        <is>
          <t>14周</t>
        </is>
      </c>
      <c r="S3803" t="inlineStr">
        <is>
          <t>43.20</t>
        </is>
      </c>
      <c r="T3803" t="inlineStr">
        <is>
          <t>美食滋补</t>
        </is>
      </c>
      <c r="U3803" t="inlineStr">
        <is>
          <t>休闲零食</t>
        </is>
      </c>
      <c r="V3803" s="3">
        <v>46117.927083333336</v>
      </c>
      <c r="W3803" t="inlineStr">
        <is>
          <t>2026-Q2</t>
        </is>
      </c>
    </row>
    <row r="3804" ht="25.5" customHeight="1">
      <c r="A3804" t="inlineStr">
        <is>
          <t>全麦饼干手作粗粮低脂零食0添加高饱腹【买2送1-加购车3件立减】</t>
        </is>
      </c>
      <c r="B3804" t="inlineStr">
        <is>
          <t>recvfVt9jW7ZGd.jpg</t>
        </is>
      </c>
      <c r="C3804" s="2" t="str">
        <f>=HYPERLINK("https://xhslink.com/m/8062V91Bj81", "https://xhslink.com/m/8062V91Bj81")</f>
        <v>https://xhslink.com/m/8062V91Bj81</v>
      </c>
      <c r="D3804"/>
      <c r="E3804">
        <v>23000</v>
      </c>
      <c r="F3804">
        <v>18</v>
      </c>
      <c r="G3804"/>
      <c r="H3804">
        <v>100</v>
      </c>
      <c r="I3804" t="inlineStr">
        <is>
          <t>低卡食物</t>
        </is>
      </c>
      <c r="J3804" t="inlineStr">
        <is>
          <t>0.00</t>
        </is>
      </c>
      <c r="K3804" t="inlineStr">
        <is>
          <t>🔥低粉爆款</t>
        </is>
      </c>
      <c r="L3804" t="inlineStr">
        <is>
          <t>小鱼的轻食光的店</t>
        </is>
      </c>
      <c r="M3804">
        <v>415</v>
      </c>
      <c r="N3804">
        <v>4.79</v>
      </c>
      <c r="O3804">
        <v>23000</v>
      </c>
      <c r="P3804" t="inlineStr">
        <is>
          <t>68c0ef85f71ffd001594d3e8</t>
        </is>
      </c>
      <c r="Q3804" t="inlineStr">
        <is>
          <t>🚫重复</t>
        </is>
      </c>
      <c r="R3804" t="inlineStr">
        <is>
          <t>14周</t>
        </is>
      </c>
      <c r="S3804" t="inlineStr">
        <is>
          <t>55.42</t>
        </is>
      </c>
      <c r="T3804" t="inlineStr">
        <is>
          <t>美食滋补</t>
        </is>
      </c>
      <c r="U3804" t="inlineStr">
        <is>
          <t>休闲零食</t>
        </is>
      </c>
      <c r="V3804" s="3">
        <v>46117.927083333336</v>
      </c>
      <c r="W3804" t="inlineStr">
        <is>
          <t>2026-Q2</t>
        </is>
      </c>
    </row>
    <row r="3805" ht="25.5" customHeight="1">
      <c r="A3805" t="inlineStr">
        <is>
          <t>《四月物语》夏日嫩绿色串珠项链叠戴锁骨链女小众夏天新中式</t>
        </is>
      </c>
      <c r="B3805" t="inlineStr">
        <is>
          <t>recvfVt9jWP6ee.jpg</t>
        </is>
      </c>
      <c r="C3805" s="2" t="str">
        <f>=HYPERLINK("https://xhslink.com/m/4qj97qShd06", "https://xhslink.com/m/4qj97qShd06")</f>
        <v>https://xhslink.com/m/4qj97qShd06</v>
      </c>
      <c r="D3805"/>
      <c r="E3805">
        <v>9834</v>
      </c>
      <c r="F3805">
        <v>36.9</v>
      </c>
      <c r="G3805">
        <v>28.23</v>
      </c>
      <c r="H3805">
        <v>100</v>
      </c>
      <c r="I3805" t="inlineStr">
        <is>
          <t>配饰</t>
        </is>
      </c>
      <c r="J3805" t="inlineStr">
        <is>
          <t>0.01</t>
        </is>
      </c>
      <c r="K3805"/>
      <c r="L3805" t="inlineStr">
        <is>
          <t>Coisinii心动商店的店</t>
        </is>
      </c>
      <c r="M3805">
        <v>12000</v>
      </c>
      <c r="N3805">
        <v>4.47</v>
      </c>
      <c r="O3805">
        <v>23000</v>
      </c>
      <c r="P3805" t="inlineStr">
        <is>
          <t>66cd699e45cb940001f88dd1</t>
        </is>
      </c>
      <c r="Q3805" t="inlineStr">
        <is>
          <t>🚫重复</t>
        </is>
      </c>
      <c r="R3805" t="inlineStr">
        <is>
          <t>14周</t>
        </is>
      </c>
      <c r="S3805" t="inlineStr">
        <is>
          <t>0.82</t>
        </is>
      </c>
      <c r="T3805" t="inlineStr">
        <is>
          <t>服饰穿搭</t>
        </is>
      </c>
      <c r="U3805" t="inlineStr">
        <is>
          <t>配饰</t>
        </is>
      </c>
      <c r="V3805" s="3">
        <v>46117.927083333336</v>
      </c>
      <c r="W3805" t="inlineStr">
        <is>
          <t>2026-Q2</t>
        </is>
      </c>
    </row>
    <row r="3806" ht="25.5" customHeight="1">
      <c r="A3806" t="inlineStr">
        <is>
          <t>七七家 · 浴室地垫卫生间吸水垫厕所门口防滑垫子脚垫洗手间进门垫速干地毯</t>
        </is>
      </c>
      <c r="B3806" t="inlineStr">
        <is>
          <t>recvfVt9jWI60k.jpg</t>
        </is>
      </c>
      <c r="C3806" s="2" t="str">
        <f>=HYPERLINK("https://xhslink.com/m/c2A6Ium8FF", "https://xhslink.com/m/c2A6Ium8FF")</f>
        <v>https://xhslink.com/m/c2A6Ium8FF</v>
      </c>
      <c r="D3806"/>
      <c r="E3806">
        <v>16000</v>
      </c>
      <c r="F3806">
        <v>27.05</v>
      </c>
      <c r="G3806">
        <v>26.05</v>
      </c>
      <c r="H3806">
        <v>100</v>
      </c>
      <c r="I3806" t="inlineStr">
        <is>
          <t>吸水地垫</t>
        </is>
      </c>
      <c r="J3806" t="inlineStr">
        <is>
          <t>0.01</t>
        </is>
      </c>
      <c r="K3806" t="inlineStr">
        <is>
          <t>🔥低粉爆款</t>
        </is>
      </c>
      <c r="L3806" t="inlineStr">
        <is>
          <t>七七家旗舰店</t>
        </is>
      </c>
      <c r="M3806">
        <v>3956</v>
      </c>
      <c r="N3806">
        <v>4.48</v>
      </c>
      <c r="O3806">
        <v>29000</v>
      </c>
      <c r="P3806" t="inlineStr">
        <is>
          <t>66b2e53cd695e30001ea59f8</t>
        </is>
      </c>
      <c r="Q3806" t="inlineStr">
        <is>
          <t>🚫重复</t>
        </is>
      </c>
      <c r="R3806" t="inlineStr">
        <is>
          <t>14周</t>
        </is>
      </c>
      <c r="S3806" t="inlineStr">
        <is>
          <t>4.04</t>
        </is>
      </c>
      <c r="T3806" t="inlineStr">
        <is>
          <t>家居生活</t>
        </is>
      </c>
      <c r="U3806" t="inlineStr">
        <is>
          <t>家居日用</t>
        </is>
      </c>
      <c r="V3806" s="3">
        <v>46117.927083333336</v>
      </c>
      <c r="W3806" t="inlineStr">
        <is>
          <t>2026-Q2</t>
        </is>
      </c>
    </row>
    <row r="3807" ht="25.5" customHeight="1">
      <c r="A3807" t="inlineStr">
        <is>
          <t>软萌兔子毛绒公仔可爱玩偶钥匙扣挂饰包包挂件女生礼物推荐胡萝卜</t>
        </is>
      </c>
      <c r="B3807" t="inlineStr">
        <is>
          <t>recvfVt9jWLsdG.jpg</t>
        </is>
      </c>
      <c r="C3807" s="2" t="str">
        <f>=HYPERLINK("https://xhslink.com/m/2odxjlBwGUM", "https://xhslink.com/m/2odxjlBwGUM")</f>
        <v>https://xhslink.com/m/2odxjlBwGUM</v>
      </c>
      <c r="D3807"/>
      <c r="E3807">
        <v>54000</v>
      </c>
      <c r="F3807">
        <v>75</v>
      </c>
      <c r="G3807">
        <v>29.9</v>
      </c>
      <c r="H3807">
        <v>100</v>
      </c>
      <c r="I3807" t="inlineStr">
        <is>
          <t>小玩偶</t>
        </is>
      </c>
      <c r="J3807" t="inlineStr">
        <is>
          <t>0.00</t>
        </is>
      </c>
      <c r="K3807" t="inlineStr">
        <is>
          <t>🔥低粉爆款</t>
        </is>
      </c>
      <c r="L3807" t="inlineStr">
        <is>
          <t>nice聚优阁的店</t>
        </is>
      </c>
      <c r="M3807">
        <v>17000</v>
      </c>
      <c r="N3807">
        <v>4.65</v>
      </c>
      <c r="O3807">
        <v>348000</v>
      </c>
      <c r="P3807" t="inlineStr">
        <is>
          <t>67b071bf6dd9a6001572f9e2</t>
        </is>
      </c>
      <c r="Q3807" t="inlineStr">
        <is>
          <t>🚫重复</t>
        </is>
      </c>
      <c r="R3807" t="inlineStr">
        <is>
          <t>14周</t>
        </is>
      </c>
      <c r="S3807" t="inlineStr">
        <is>
          <t>3.18</t>
        </is>
      </c>
      <c r="T3807" t="inlineStr">
        <is>
          <t>服饰穿搭</t>
        </is>
      </c>
      <c r="U3807" t="inlineStr">
        <is>
          <t>鞋靴箱包</t>
        </is>
      </c>
      <c r="V3807" s="3">
        <v>46117.927083333336</v>
      </c>
      <c r="W3807" t="inlineStr">
        <is>
          <t>2026-Q2</t>
        </is>
      </c>
    </row>
    <row r="3808" ht="25.5" customHeight="1">
      <c r="A3808" t="inlineStr">
        <is>
          <t>ESTEE LAUDER · 干油皮救星 雅诗兰黛 持久保湿遮瑕dw粉底液7ml·沁水10ml粉底小</t>
        </is>
      </c>
      <c r="B3808" t="inlineStr">
        <is>
          <t>recvfVt9jWbMDY.jpg</t>
        </is>
      </c>
      <c r="C3808" s="2" t="str">
        <f>=HYPERLINK("https://xhslink.com/m/40FcBDZksSi", "https://xhslink.com/m/40FcBDZksSi")</f>
        <v>https://xhslink.com/m/40FcBDZksSi</v>
      </c>
      <c r="D3808"/>
      <c r="E3808">
        <v>4774</v>
      </c>
      <c r="F3808">
        <v>105.9</v>
      </c>
      <c r="G3808">
        <v>23.8</v>
      </c>
      <c r="H3808">
        <v>100</v>
      </c>
      <c r="I3808" t="inlineStr">
        <is>
          <t>粉底液</t>
        </is>
      </c>
      <c r="J3808" t="inlineStr">
        <is>
          <t>0.02</t>
        </is>
      </c>
      <c r="K3808" t="inlineStr">
        <is>
          <t>🔥低粉爆款</t>
        </is>
      </c>
      <c r="L3808" t="inlineStr">
        <is>
          <t>苹果彩妆的店</t>
        </is>
      </c>
      <c r="M3808">
        <v>371</v>
      </c>
      <c r="N3808">
        <v>4.65</v>
      </c>
      <c r="O3808">
        <v>21000</v>
      </c>
      <c r="P3808" t="inlineStr">
        <is>
          <t>68cac90702b98c00158d297e</t>
        </is>
      </c>
      <c r="Q3808"/>
      <c r="R3808" t="inlineStr">
        <is>
          <t>14周</t>
        </is>
      </c>
      <c r="S3808" t="inlineStr">
        <is>
          <t>12.87</t>
        </is>
      </c>
      <c r="T3808" t="inlineStr">
        <is>
          <t>美妆个护</t>
        </is>
      </c>
      <c r="U3808" t="inlineStr">
        <is>
          <t>护肤彩妆</t>
        </is>
      </c>
      <c r="V3808" s="3">
        <v>46117.927083333336</v>
      </c>
      <c r="W3808" t="inlineStr">
        <is>
          <t>2026-Q2</t>
        </is>
      </c>
    </row>
    <row r="3809" ht="25.5" customHeight="1">
      <c r="A3809" t="inlineStr">
        <is>
          <t>清纯小白花1.0 圆领小飞袖白t恤大领口短袖上衣 200G</t>
        </is>
      </c>
      <c r="B3809" t="inlineStr">
        <is>
          <t>recvg1BDH5GkH1.jpg</t>
        </is>
      </c>
      <c r="C3809" s="2" t="str">
        <f>=HYPERLINK("https://xhslink.com/m/5oiHx8PmJeK", "https://xhslink.com/m/5oiHx8PmJeK")</f>
        <v>https://xhslink.com/m/5oiHx8PmJeK</v>
      </c>
      <c r="D3809"/>
      <c r="E3809">
        <v>36000</v>
      </c>
      <c r="F3809">
        <v>53.8</v>
      </c>
      <c r="G3809">
        <v>43.8</v>
      </c>
      <c r="H3809">
        <v>100</v>
      </c>
      <c r="I3809" t="inlineStr">
        <is>
          <t>T恤</t>
        </is>
      </c>
      <c r="J3809" t="inlineStr">
        <is>
          <t>0.00</t>
        </is>
      </c>
      <c r="K3809"/>
      <c r="L3809" t="inlineStr">
        <is>
          <t>1mo饼的店</t>
        </is>
      </c>
      <c r="M3809">
        <v>94000</v>
      </c>
      <c r="N3809">
        <v>4.71</v>
      </c>
      <c r="O3809">
        <v>461000</v>
      </c>
      <c r="P3809" t="inlineStr">
        <is>
          <t>664c474333941b00017c7d3e</t>
        </is>
      </c>
      <c r="Q3809" t="inlineStr">
        <is>
          <t>🚫重复</t>
        </is>
      </c>
      <c r="R3809" t="inlineStr">
        <is>
          <t>15周</t>
        </is>
      </c>
      <c r="S3809" t="inlineStr">
        <is>
          <t>0.38</t>
        </is>
      </c>
      <c r="T3809" t="inlineStr">
        <is>
          <t>服饰穿搭</t>
        </is>
      </c>
      <c r="U3809" t="inlineStr">
        <is>
          <t>女装</t>
        </is>
      </c>
      <c r="V3809" s="3">
        <v>46118.97659722222</v>
      </c>
      <c r="W3809" t="inlineStr">
        <is>
          <t>2026-Q2</t>
        </is>
      </c>
    </row>
    <row r="3810" ht="25.5" customHeight="1">
      <c r="A3810" t="inlineStr">
        <is>
          <t>【特价】纯棉polo领正肩t恤女夏季百搭休闲收腰修身显瘦短袖上衣</t>
        </is>
      </c>
      <c r="B3810" t="inlineStr">
        <is>
          <t>recvg1BDH5JIuJ.jpg</t>
        </is>
      </c>
      <c r="C3810" s="2" t="str">
        <f>=HYPERLINK("https://xhslink.com/m/AAZCxXiwoxO", "https://xhslink.com/m/AAZCxXiwoxO")</f>
        <v>https://xhslink.com/m/AAZCxXiwoxO</v>
      </c>
      <c r="D3810"/>
      <c r="E3810">
        <v>3530</v>
      </c>
      <c r="F3810">
        <v>79.9</v>
      </c>
      <c r="G3810">
        <v>39.9</v>
      </c>
      <c r="H3810">
        <v>100</v>
      </c>
      <c r="I3810" t="inlineStr">
        <is>
          <t>T恤</t>
        </is>
      </c>
      <c r="J3810" t="inlineStr">
        <is>
          <t>0.03</t>
        </is>
      </c>
      <c r="K3810" t="inlineStr">
        <is>
          <t>🔥低粉爆款</t>
        </is>
      </c>
      <c r="L3810" t="inlineStr">
        <is>
          <t>Kininini的店</t>
        </is>
      </c>
      <c r="M3810">
        <v>153</v>
      </c>
      <c r="N3810">
        <v>4.5</v>
      </c>
      <c r="O3810">
        <v>3889</v>
      </c>
      <c r="P3810" t="inlineStr">
        <is>
          <t>68306a490c1b7400156ca01d</t>
        </is>
      </c>
      <c r="Q3810"/>
      <c r="R3810" t="inlineStr">
        <is>
          <t>15周</t>
        </is>
      </c>
      <c r="S3810" t="inlineStr">
        <is>
          <t>23.07</t>
        </is>
      </c>
      <c r="T3810" t="inlineStr">
        <is>
          <t>服饰穿搭</t>
        </is>
      </c>
      <c r="U3810" t="inlineStr">
        <is>
          <t>女装</t>
        </is>
      </c>
      <c r="V3810" s="3">
        <v>46118.97659722222</v>
      </c>
      <c r="W3810" t="inlineStr">
        <is>
          <t>2026-Q2</t>
        </is>
      </c>
    </row>
    <row r="3811" ht="25.5" customHeight="1">
      <c r="A3811" t="inlineStr">
        <is>
          <t>夏季辣妹修身显瘦正肩t恤女短袖设计感不规则褶皱短款Polo领上衣</t>
        </is>
      </c>
      <c r="B3811" t="inlineStr">
        <is>
          <t>recvg1BDH5kIXH.jpg</t>
        </is>
      </c>
      <c r="C3811" s="2" t="str">
        <f>=HYPERLINK("https://xhslink.com/m/8jpF8CAbswv", "https://xhslink.com/m/8jpF8CAbswv")</f>
        <v>https://xhslink.com/m/8jpF8CAbswv</v>
      </c>
      <c r="D3811"/>
      <c r="E3811">
        <v>3894</v>
      </c>
      <c r="F3811">
        <v>79.8</v>
      </c>
      <c r="G3811">
        <v>49.8</v>
      </c>
      <c r="H3811">
        <v>100</v>
      </c>
      <c r="I3811" t="inlineStr">
        <is>
          <t>T恤</t>
        </is>
      </c>
      <c r="J3811" t="inlineStr">
        <is>
          <t>0.03</t>
        </is>
      </c>
      <c r="K3811" t="inlineStr">
        <is>
          <t>🔥低粉爆款</t>
        </is>
      </c>
      <c r="L3811" t="inlineStr">
        <is>
          <t>xiao轩工作室的店</t>
        </is>
      </c>
      <c r="M3811">
        <v>852</v>
      </c>
      <c r="N3811">
        <v>4.45</v>
      </c>
      <c r="O3811">
        <v>17000</v>
      </c>
      <c r="P3811" t="inlineStr">
        <is>
          <t>69c63ecb7dd4a1000177763b</t>
        </is>
      </c>
      <c r="Q3811" t="inlineStr">
        <is>
          <t>🚫重复</t>
        </is>
      </c>
      <c r="R3811" t="inlineStr">
        <is>
          <t>15周</t>
        </is>
      </c>
      <c r="S3811" t="inlineStr">
        <is>
          <t>4.57</t>
        </is>
      </c>
      <c r="T3811" t="inlineStr">
        <is>
          <t>服饰穿搭</t>
        </is>
      </c>
      <c r="U3811" t="inlineStr">
        <is>
          <t>女装</t>
        </is>
      </c>
      <c r="V3811" s="3">
        <v>46118.97659722222</v>
      </c>
      <c r="W3811" t="inlineStr">
        <is>
          <t>2026-Q2</t>
        </is>
      </c>
    </row>
    <row r="3812" ht="25.5" customHeight="1">
      <c r="A3812" t="inlineStr">
        <is>
          <t>纯棉猫咪短袖原创简约风男女宽松显瘦T恤平价百搭夏季新款上衣潮</t>
        </is>
      </c>
      <c r="B3812" t="inlineStr">
        <is>
          <t>recvg1BDH5YfXQ.jpg</t>
        </is>
      </c>
      <c r="C3812" s="2" t="str">
        <f>=HYPERLINK("https://xhslink.com/m/9yyBFuHNfVB", "https://xhslink.com/m/9yyBFuHNfVB")</f>
        <v>https://xhslink.com/m/9yyBFuHNfVB</v>
      </c>
      <c r="D3812"/>
      <c r="E3812">
        <v>11000</v>
      </c>
      <c r="F3812">
        <v>43.9</v>
      </c>
      <c r="G3812">
        <v>39.9</v>
      </c>
      <c r="H3812">
        <v>100</v>
      </c>
      <c r="I3812" t="inlineStr">
        <is>
          <t>T恤</t>
        </is>
      </c>
      <c r="J3812" t="inlineStr">
        <is>
          <t>0.01</t>
        </is>
      </c>
      <c r="K3812"/>
      <c r="L3812" t="inlineStr">
        <is>
          <t>HSYE原创工作室的店</t>
        </is>
      </c>
      <c r="M3812">
        <v>85000</v>
      </c>
      <c r="N3812">
        <v>4.69</v>
      </c>
      <c r="O3812">
        <v>464000</v>
      </c>
      <c r="P3812" t="inlineStr">
        <is>
          <t>662c5b4b9caea10001f1178b</t>
        </is>
      </c>
      <c r="Q3812" t="inlineStr">
        <is>
          <t>🚫重复</t>
        </is>
      </c>
      <c r="R3812" t="inlineStr">
        <is>
          <t>15周</t>
        </is>
      </c>
      <c r="S3812" t="inlineStr">
        <is>
          <t>0.13</t>
        </is>
      </c>
      <c r="T3812" t="inlineStr">
        <is>
          <t>服饰穿搭</t>
        </is>
      </c>
      <c r="U3812" t="inlineStr">
        <is>
          <t>女装</t>
        </is>
      </c>
      <c r="V3812" s="3">
        <v>46118.97659722222</v>
      </c>
      <c r="W3812" t="inlineStr">
        <is>
          <t>2026-Q2</t>
        </is>
      </c>
    </row>
    <row r="3813" ht="25.5" customHeight="1">
      <c r="A3813" t="inlineStr">
        <is>
          <t>夏季多巴胺日系纯棉短袖t恤女百搭短款修身别致小众设计感上衣</t>
        </is>
      </c>
      <c r="B3813" t="inlineStr">
        <is>
          <t>recvg1BDH5WXbz.jpg</t>
        </is>
      </c>
      <c r="C3813" s="2" t="str">
        <f>=HYPERLINK("https://xhslink.com/m/Y1NCnkhvVl", "https://xhslink.com/m/Y1NCnkhvVl")</f>
        <v>https://xhslink.com/m/Y1NCnkhvVl</v>
      </c>
      <c r="D3813"/>
      <c r="E3813">
        <v>1148</v>
      </c>
      <c r="F3813">
        <v>49.8</v>
      </c>
      <c r="G3813">
        <v>39.8</v>
      </c>
      <c r="H3813">
        <v>100</v>
      </c>
      <c r="I3813" t="inlineStr">
        <is>
          <t>T恤</t>
        </is>
      </c>
      <c r="J3813" t="inlineStr">
        <is>
          <t>0.09</t>
        </is>
      </c>
      <c r="K3813" t="inlineStr">
        <is>
          <t>🔥低粉爆款</t>
        </is>
      </c>
      <c r="L3813" t="inlineStr">
        <is>
          <t>小杨同学工作室的店</t>
        </is>
      </c>
      <c r="M3813">
        <v>307</v>
      </c>
      <c r="N3813">
        <v>4.51</v>
      </c>
      <c r="O3813">
        <v>5947</v>
      </c>
      <c r="P3813" t="inlineStr">
        <is>
          <t>68edcf12ce94ee0001589ac0</t>
        </is>
      </c>
      <c r="Q3813"/>
      <c r="R3813" t="inlineStr">
        <is>
          <t>15周</t>
        </is>
      </c>
      <c r="S3813" t="inlineStr">
        <is>
          <t>3.74</t>
        </is>
      </c>
      <c r="T3813" t="inlineStr">
        <is>
          <t>服饰穿搭</t>
        </is>
      </c>
      <c r="U3813" t="inlineStr">
        <is>
          <t>女装</t>
        </is>
      </c>
      <c r="V3813" s="3">
        <v>46118.97659722222</v>
      </c>
      <c r="W3813" t="inlineStr">
        <is>
          <t>2026-Q2</t>
        </is>
      </c>
    </row>
    <row r="3814" ht="25.5" customHeight="1">
      <c r="A3814" t="inlineStr">
        <is>
          <t>【高品质版】短袖T恤 慵懒宽松夏季雪花棉百搭内搭打底</t>
        </is>
      </c>
      <c r="B3814" t="inlineStr">
        <is>
          <t>recvg1BDH5I1jD.jpg</t>
        </is>
      </c>
      <c r="C3814" s="2" t="str">
        <f>=HYPERLINK("https://xhslink.com/m/hMxIwSLvLk", "https://xhslink.com/m/hMxIwSLvLk")</f>
        <v>https://xhslink.com/m/hMxIwSLvLk</v>
      </c>
      <c r="D3814"/>
      <c r="E3814">
        <v>16000</v>
      </c>
      <c r="F3814">
        <v>49.9</v>
      </c>
      <c r="G3814">
        <v>39.9</v>
      </c>
      <c r="H3814">
        <v>100</v>
      </c>
      <c r="I3814" t="inlineStr">
        <is>
          <t>T恤</t>
        </is>
      </c>
      <c r="J3814" t="inlineStr">
        <is>
          <t>0.01</t>
        </is>
      </c>
      <c r="K3814"/>
      <c r="L3814" t="inlineStr">
        <is>
          <t>大耳朵藏不住的店</t>
        </is>
      </c>
      <c r="M3814">
        <v>7163</v>
      </c>
      <c r="N3814">
        <v>4.64</v>
      </c>
      <c r="O3814">
        <v>308000</v>
      </c>
      <c r="P3814" t="inlineStr">
        <is>
          <t>683451da42360a0001b686d6</t>
        </is>
      </c>
      <c r="Q3814" t="inlineStr">
        <is>
          <t>🚫重复</t>
        </is>
      </c>
      <c r="R3814" t="inlineStr">
        <is>
          <t>15周</t>
        </is>
      </c>
      <c r="S3814" t="inlineStr">
        <is>
          <t>2.23</t>
        </is>
      </c>
      <c r="T3814" t="inlineStr">
        <is>
          <t>服饰穿搭</t>
        </is>
      </c>
      <c r="U3814" t="inlineStr">
        <is>
          <t>女装</t>
        </is>
      </c>
      <c r="V3814" s="3">
        <v>46118.97659722222</v>
      </c>
      <c r="W3814" t="inlineStr">
        <is>
          <t>2026-Q2</t>
        </is>
      </c>
    </row>
    <row r="3815" ht="25.5" customHeight="1">
      <c r="A3815" t="inlineStr">
        <is>
          <t>2025春夏新款半拖软底包头鞋女一脚蹬复古外穿厚底增高全包勃肯鞋</t>
        </is>
      </c>
      <c r="B3815" t="inlineStr">
        <is>
          <t>recvg1BDH52mYs.jpg</t>
        </is>
      </c>
      <c r="C3815" s="2" t="str">
        <f>=HYPERLINK("https://xhslink.com/m/5DfdCjdo6Bp", "https://xhslink.com/m/5DfdCjdo6Bp")</f>
        <v>https://xhslink.com/m/5DfdCjdo6Bp</v>
      </c>
      <c r="D3815"/>
      <c r="E3815">
        <v>29000</v>
      </c>
      <c r="F3815">
        <v>89.9</v>
      </c>
      <c r="G3815">
        <v>49.9</v>
      </c>
      <c r="H3815">
        <v>100</v>
      </c>
      <c r="I3815" t="inlineStr">
        <is>
          <t>鞋</t>
        </is>
      </c>
      <c r="J3815" t="inlineStr">
        <is>
          <t>0.00</t>
        </is>
      </c>
      <c r="K3815" t="inlineStr">
        <is>
          <t>🔥低粉爆款</t>
        </is>
      </c>
      <c r="L3815" t="inlineStr">
        <is>
          <t>奈思女鞋👟的店</t>
        </is>
      </c>
      <c r="M3815">
        <v>1339</v>
      </c>
      <c r="N3815">
        <v>4.49</v>
      </c>
      <c r="O3815">
        <v>41000</v>
      </c>
      <c r="P3815" t="inlineStr">
        <is>
          <t>68649ae27ec78a0001d60bad</t>
        </is>
      </c>
      <c r="Q3815"/>
      <c r="R3815" t="inlineStr">
        <is>
          <t>15周</t>
        </is>
      </c>
      <c r="S3815" t="inlineStr">
        <is>
          <t>21.66</t>
        </is>
      </c>
      <c r="T3815" t="inlineStr">
        <is>
          <t>服饰穿搭</t>
        </is>
      </c>
      <c r="U3815" t="inlineStr">
        <is>
          <t>鞋靴箱包</t>
        </is>
      </c>
      <c r="V3815" s="3">
        <v>46118.97659722222</v>
      </c>
      <c r="W3815" t="inlineStr">
        <is>
          <t>2026-Q2</t>
        </is>
      </c>
    </row>
    <row r="3816" ht="25.5" customHeight="1">
      <c r="A3816" t="inlineStr">
        <is>
          <t>瓦露 · 【预售30】陶瓷墩墩碗食品级燕麦碗硅胶密封储存便当辅食便携锁鲜</t>
        </is>
      </c>
      <c r="B3816" t="inlineStr">
        <is>
          <t>recvg1BDH5jxiF.jpg</t>
        </is>
      </c>
      <c r="C3816" s="2" t="str">
        <f>=HYPERLINK("https://xhslink.com/m/3jF3pjaA7ft", "https://xhslink.com/m/3jF3pjaA7ft")</f>
        <v>https://xhslink.com/m/3jF3pjaA7ft</v>
      </c>
      <c r="D3816"/>
      <c r="E3816">
        <v>2426</v>
      </c>
      <c r="F3816">
        <v>88.8</v>
      </c>
      <c r="G3816"/>
      <c r="H3816">
        <v>100</v>
      </c>
      <c r="I3816" t="inlineStr">
        <is>
          <t>餐具</t>
        </is>
      </c>
      <c r="J3816" t="inlineStr">
        <is>
          <t>0.04</t>
        </is>
      </c>
      <c r="K3816"/>
      <c r="L3816" t="inlineStr">
        <is>
          <t>VARLU瓦露旗舰店</t>
        </is>
      </c>
      <c r="M3816">
        <v>12000</v>
      </c>
      <c r="N3816">
        <v>4.74</v>
      </c>
      <c r="O3816">
        <v>43000</v>
      </c>
      <c r="P3816" t="inlineStr">
        <is>
          <t>686f63e93287950001318c37</t>
        </is>
      </c>
      <c r="Q3816" t="inlineStr">
        <is>
          <t>🚫重复</t>
        </is>
      </c>
      <c r="R3816" t="inlineStr">
        <is>
          <t>15周</t>
        </is>
      </c>
      <c r="S3816" t="inlineStr">
        <is>
          <t>0.20</t>
        </is>
      </c>
      <c r="T3816" t="inlineStr">
        <is>
          <t>家居生活</t>
        </is>
      </c>
      <c r="U3816" t="inlineStr">
        <is>
          <t>厨房餐饮</t>
        </is>
      </c>
      <c r="V3816" s="3">
        <v>46118.97659722222</v>
      </c>
      <c r="W3816" t="inlineStr">
        <is>
          <t>2026-Q2</t>
        </is>
      </c>
    </row>
    <row r="3817" ht="25.5" customHeight="1">
      <c r="A3817" t="inlineStr">
        <is>
          <t>吸盘可拆卸支架瑜伽柱泡沫轴放松实心滚轴狼牙棒按摩滚筒瘦腿健身</t>
        </is>
      </c>
      <c r="B3817" t="inlineStr">
        <is>
          <t>recvg1BDH5JMw9.jpg</t>
        </is>
      </c>
      <c r="C3817" s="2" t="str">
        <f>=HYPERLINK("https://xhslink.com/m/96comN2aUUh", "https://xhslink.com/m/96comN2aUUh")</f>
        <v>https://xhslink.com/m/96comN2aUUh</v>
      </c>
      <c r="D3817"/>
      <c r="E3817">
        <v>1219</v>
      </c>
      <c r="F3817">
        <v>88</v>
      </c>
      <c r="G3817">
        <v>39.9</v>
      </c>
      <c r="H3817">
        <v>100</v>
      </c>
      <c r="I3817" t="inlineStr">
        <is>
          <t>健身</t>
        </is>
      </c>
      <c r="J3817" t="inlineStr">
        <is>
          <t>0.08</t>
        </is>
      </c>
      <c r="K3817" t="inlineStr">
        <is>
          <t>🔥低粉爆款</t>
        </is>
      </c>
      <c r="L3817" t="inlineStr">
        <is>
          <t>黑椒运动的店</t>
        </is>
      </c>
      <c r="M3817">
        <v>266</v>
      </c>
      <c r="N3817">
        <v>4.51</v>
      </c>
      <c r="O3817">
        <v>3600</v>
      </c>
      <c r="P3817" t="inlineStr">
        <is>
          <t>693fc0ca5e8e270015b111da</t>
        </is>
      </c>
      <c r="Q3817"/>
      <c r="R3817" t="inlineStr">
        <is>
          <t>15周</t>
        </is>
      </c>
      <c r="S3817" t="inlineStr">
        <is>
          <t>4.58</t>
        </is>
      </c>
      <c r="T3817" t="inlineStr">
        <is>
          <t>运动潮玩</t>
        </is>
      </c>
      <c r="U3817" t="inlineStr">
        <is>
          <t>运动户外装备</t>
        </is>
      </c>
      <c r="V3817" s="3">
        <v>46118.97659722222</v>
      </c>
      <c r="W3817" t="inlineStr">
        <is>
          <t>2026-Q2</t>
        </is>
      </c>
    </row>
    <row r="3818" ht="25.5" customHeight="1">
      <c r="A3818" t="inlineStr">
        <is>
          <t>拉筋板斜踏板小腿瘦腿拉伸器运动拉筋神器站立健身压腿部辅助器材</t>
        </is>
      </c>
      <c r="B3818" t="inlineStr">
        <is>
          <t>recvg1BDH51NeB.jpg</t>
        </is>
      </c>
      <c r="C3818" s="2" t="str">
        <f>=HYPERLINK("https://xhslink.com/m/8N6pWmxZnGd", "https://xhslink.com/m/8N6pWmxZnGd")</f>
        <v>https://xhslink.com/m/8N6pWmxZnGd</v>
      </c>
      <c r="D3818"/>
      <c r="E3818">
        <v>22000</v>
      </c>
      <c r="F3818">
        <v>35.8</v>
      </c>
      <c r="G3818">
        <v>25.8</v>
      </c>
      <c r="H3818">
        <v>100</v>
      </c>
      <c r="I3818" t="inlineStr">
        <is>
          <t>健身</t>
        </is>
      </c>
      <c r="J3818" t="inlineStr">
        <is>
          <t>0.00</t>
        </is>
      </c>
      <c r="K3818" t="inlineStr">
        <is>
          <t>🔥低粉爆款</t>
        </is>
      </c>
      <c r="L3818" t="inlineStr">
        <is>
          <t>瑾yo的店</t>
        </is>
      </c>
      <c r="M3818">
        <v>2277</v>
      </c>
      <c r="N3818">
        <v>4.36</v>
      </c>
      <c r="O3818">
        <v>23000</v>
      </c>
      <c r="P3818" t="inlineStr">
        <is>
          <t>684d87efb0ad680015fff9fa</t>
        </is>
      </c>
      <c r="Q3818"/>
      <c r="R3818" t="inlineStr">
        <is>
          <t>15周</t>
        </is>
      </c>
      <c r="S3818" t="inlineStr">
        <is>
          <t>9.66</t>
        </is>
      </c>
      <c r="T3818" t="inlineStr">
        <is>
          <t>运动潮玩</t>
        </is>
      </c>
      <c r="U3818" t="inlineStr">
        <is>
          <t>运动户外装备</t>
        </is>
      </c>
      <c r="V3818" s="3">
        <v>46118.97659722222</v>
      </c>
      <c r="W3818" t="inlineStr">
        <is>
          <t>2026-Q2</t>
        </is>
      </c>
    </row>
    <row r="3819" ht="25.5" customHeight="1">
      <c r="A3819" t="inlineStr">
        <is>
          <t>【24H发货】无绳战绳健身臂力棒减脂运动暴汗臂力器有氧高弹瘦身</t>
        </is>
      </c>
      <c r="B3819" t="inlineStr">
        <is>
          <t>recvg1BDH5qBl9.jpg</t>
        </is>
      </c>
      <c r="C3819" s="2" t="str">
        <f>=HYPERLINK("https://xhslink.com/m/6oUcHpb4cq2", "https://xhslink.com/m/6oUcHpb4cq2")</f>
        <v>https://xhslink.com/m/6oUcHpb4cq2</v>
      </c>
      <c r="D3819"/>
      <c r="E3819">
        <v>8548</v>
      </c>
      <c r="F3819">
        <v>99.9</v>
      </c>
      <c r="G3819">
        <v>59.9</v>
      </c>
      <c r="H3819">
        <v>100</v>
      </c>
      <c r="I3819" t="inlineStr">
        <is>
          <t>健身</t>
        </is>
      </c>
      <c r="J3819" t="inlineStr">
        <is>
          <t>0.01</t>
        </is>
      </c>
      <c r="K3819" t="inlineStr">
        <is>
          <t>🔥低粉爆款</t>
        </is>
      </c>
      <c r="L3819" t="inlineStr">
        <is>
          <t>开心晨优选的店</t>
        </is>
      </c>
      <c r="M3819">
        <v>112</v>
      </c>
      <c r="N3819">
        <v>4.63</v>
      </c>
      <c r="O3819">
        <v>11000</v>
      </c>
      <c r="P3819" t="inlineStr">
        <is>
          <t>687de570fa84760015c1951d</t>
        </is>
      </c>
      <c r="Q3819"/>
      <c r="R3819" t="inlineStr">
        <is>
          <t>15周</t>
        </is>
      </c>
      <c r="S3819" t="inlineStr">
        <is>
          <t>76.32</t>
        </is>
      </c>
      <c r="T3819" t="inlineStr">
        <is>
          <t>运动潮玩</t>
        </is>
      </c>
      <c r="U3819" t="inlineStr">
        <is>
          <t>运动户外装备</t>
        </is>
      </c>
      <c r="V3819" s="3">
        <v>46118.97659722222</v>
      </c>
      <c r="W3819" t="inlineStr">
        <is>
          <t>2026-Q2</t>
        </is>
      </c>
    </row>
    <row r="3820" ht="25.5" customHeight="1">
      <c r="A3820" t="inlineStr">
        <is>
          <t>拉筋板斜踏板小腿瘦腿拉伸器运动拉筋神器站立健身压腿部辅助器材</t>
        </is>
      </c>
      <c r="B3820" t="inlineStr">
        <is>
          <t>recvg1BDH50Fuq.jpg</t>
        </is>
      </c>
      <c r="C3820" s="2" t="str">
        <f>=HYPERLINK("https://xhslink.com/m/5fUXzPTeUCZ", "https://xhslink.com/m/5fUXzPTeUCZ")</f>
        <v>https://xhslink.com/m/5fUXzPTeUCZ</v>
      </c>
      <c r="D3820"/>
      <c r="E3820">
        <v>12000</v>
      </c>
      <c r="F3820">
        <v>39.8</v>
      </c>
      <c r="G3820"/>
      <c r="H3820">
        <v>100</v>
      </c>
      <c r="I3820" t="inlineStr">
        <is>
          <t>健身</t>
        </is>
      </c>
      <c r="J3820" t="inlineStr">
        <is>
          <t>0.01</t>
        </is>
      </c>
      <c r="K3820" t="inlineStr">
        <is>
          <t>🔥低粉爆款</t>
        </is>
      </c>
      <c r="L3820" t="inlineStr">
        <is>
          <t>CC瘦so的店</t>
        </is>
      </c>
      <c r="M3820">
        <v>757</v>
      </c>
      <c r="N3820">
        <v>4.32</v>
      </c>
      <c r="O3820">
        <v>11000</v>
      </c>
      <c r="P3820" t="inlineStr">
        <is>
          <t>69391cb4266b9500010322db</t>
        </is>
      </c>
      <c r="Q3820"/>
      <c r="R3820" t="inlineStr">
        <is>
          <t>15周</t>
        </is>
      </c>
      <c r="S3820" t="inlineStr">
        <is>
          <t>15.85</t>
        </is>
      </c>
      <c r="T3820" t="inlineStr">
        <is>
          <t>运动潮玩</t>
        </is>
      </c>
      <c r="U3820" t="inlineStr">
        <is>
          <t>运动户外装备</t>
        </is>
      </c>
      <c r="V3820" s="3">
        <v>46118.97659722222</v>
      </c>
      <c r="W3820" t="inlineStr">
        <is>
          <t>2026-Q2</t>
        </is>
      </c>
    </row>
    <row r="3821" ht="25.5" customHeight="1">
      <c r="A3821" t="inlineStr">
        <is>
          <t>宏克佳 · 【贾丽亚】焕新训练器足底锻炼改善足部拇指外翻脚趾训练瘦腿运动</t>
        </is>
      </c>
      <c r="B3821" t="inlineStr">
        <is>
          <t>recvg1BDH5RTZu.jpg</t>
        </is>
      </c>
      <c r="C3821" s="2" t="str">
        <f>=HYPERLINK("https://xhslink.com/m/Ag5krYhIIWk", "https://xhslink.com/m/Ag5krYhIIWk")</f>
        <v>https://xhslink.com/m/Ag5krYhIIWk</v>
      </c>
      <c r="D3821"/>
      <c r="E3821">
        <v>44000</v>
      </c>
      <c r="F3821">
        <v>29.9</v>
      </c>
      <c r="G3821"/>
      <c r="H3821">
        <v>100</v>
      </c>
      <c r="I3821" t="inlineStr">
        <is>
          <t>健身</t>
        </is>
      </c>
      <c r="J3821" t="inlineStr">
        <is>
          <t>0.00</t>
        </is>
      </c>
      <c r="K3821" t="inlineStr">
        <is>
          <t>🔥低粉爆款</t>
        </is>
      </c>
      <c r="L3821" t="inlineStr">
        <is>
          <t>宏克佳轻运动的店</t>
        </is>
      </c>
      <c r="M3821">
        <v>4921</v>
      </c>
      <c r="N3821">
        <v>4.54</v>
      </c>
      <c r="O3821">
        <v>196000</v>
      </c>
      <c r="P3821" t="inlineStr">
        <is>
          <t>66432867fa6f290001ad3c42</t>
        </is>
      </c>
      <c r="Q3821" t="inlineStr">
        <is>
          <t>🚫重复</t>
        </is>
      </c>
      <c r="R3821" t="inlineStr">
        <is>
          <t>15周</t>
        </is>
      </c>
      <c r="S3821" t="inlineStr">
        <is>
          <t>8.94</t>
        </is>
      </c>
      <c r="T3821" t="inlineStr">
        <is>
          <t>运动潮玩</t>
        </is>
      </c>
      <c r="U3821" t="inlineStr">
        <is>
          <t>运动户外装备</t>
        </is>
      </c>
      <c r="V3821" s="3">
        <v>46118.97659722222</v>
      </c>
      <c r="W3821" t="inlineStr">
        <is>
          <t>2026-Q2</t>
        </is>
      </c>
    </row>
    <row r="3822" ht="25.5" customHeight="1">
      <c r="A3822" t="inlineStr">
        <is>
          <t>蜜桃网纱假两件长袖春秋免穿文胸运动瑜伽健身长袖普拉提晨跑新款</t>
        </is>
      </c>
      <c r="B3822" t="inlineStr">
        <is>
          <t>recvg1BDH5kI7n.jpg</t>
        </is>
      </c>
      <c r="C3822" s="2" t="str">
        <f>=HYPERLINK("https://xhslink.com/m/1tR0nCfm4lm", "https://xhslink.com/m/1tR0nCfm4lm")</f>
        <v>https://xhslink.com/m/1tR0nCfm4lm</v>
      </c>
      <c r="D3822"/>
      <c r="E3822">
        <v>6061</v>
      </c>
      <c r="F3822">
        <v>66.5</v>
      </c>
      <c r="G3822">
        <v>39.9</v>
      </c>
      <c r="H3822">
        <v>100</v>
      </c>
      <c r="I3822" t="inlineStr">
        <is>
          <t>健身</t>
        </is>
      </c>
      <c r="J3822" t="inlineStr">
        <is>
          <t>0.02</t>
        </is>
      </c>
      <c r="K3822"/>
      <c r="L3822" t="inlineStr">
        <is>
          <t>多乐爱运动的店</t>
        </is>
      </c>
      <c r="M3822">
        <v>2595</v>
      </c>
      <c r="N3822">
        <v>4.39</v>
      </c>
      <c r="O3822">
        <v>50000</v>
      </c>
      <c r="P3822" t="inlineStr">
        <is>
          <t>673f00e8f6ae960001724de9</t>
        </is>
      </c>
      <c r="Q3822"/>
      <c r="R3822" t="inlineStr">
        <is>
          <t>15周</t>
        </is>
      </c>
      <c r="S3822" t="inlineStr">
        <is>
          <t>2.34</t>
        </is>
      </c>
      <c r="T3822" t="inlineStr">
        <is>
          <t>运动潮玩</t>
        </is>
      </c>
      <c r="U3822" t="inlineStr">
        <is>
          <t>运动户外装备</t>
        </is>
      </c>
      <c r="V3822" s="3">
        <v>46118.97659722222</v>
      </c>
      <c r="W3822" t="inlineStr">
        <is>
          <t>2026-Q2</t>
        </is>
      </c>
    </row>
    <row r="3823" ht="25.5" customHeight="1">
      <c r="A3823" t="inlineStr">
        <is>
          <t>yoyo推荐滕姐谢欣桐同款瑜伽服套装女春运动上衣长袖无缝健身T恤</t>
        </is>
      </c>
      <c r="B3823" t="inlineStr">
        <is>
          <t>recvg1BDH5iPbK.jpg</t>
        </is>
      </c>
      <c r="C3823" s="2" t="str">
        <f>=HYPERLINK("https://xhslink.com/m/Aa9ejOXlFGb", "https://xhslink.com/m/Aa9ejOXlFGb")</f>
        <v>https://xhslink.com/m/Aa9ejOXlFGb</v>
      </c>
      <c r="D3823"/>
      <c r="E3823">
        <v>1411</v>
      </c>
      <c r="F3823">
        <v>79.9</v>
      </c>
      <c r="G3823"/>
      <c r="H3823">
        <v>100</v>
      </c>
      <c r="I3823" t="inlineStr">
        <is>
          <t>健身</t>
        </is>
      </c>
      <c r="J3823" t="inlineStr">
        <is>
          <t>0.07</t>
        </is>
      </c>
      <c r="K3823"/>
      <c r="L3823" t="inlineStr">
        <is>
          <t>yoyo推荐的店</t>
        </is>
      </c>
      <c r="M3823">
        <v>103000</v>
      </c>
      <c r="N3823">
        <v>4.67</v>
      </c>
      <c r="O3823">
        <v>321000</v>
      </c>
      <c r="P3823" t="inlineStr">
        <is>
          <t>690eb2435e3b9c00151fd2b0</t>
        </is>
      </c>
      <c r="Q3823" t="inlineStr">
        <is>
          <t>🚫重复</t>
        </is>
      </c>
      <c r="R3823" t="inlineStr">
        <is>
          <t>15周</t>
        </is>
      </c>
      <c r="S3823" t="inlineStr">
        <is>
          <t>0.01</t>
        </is>
      </c>
      <c r="T3823" t="inlineStr">
        <is>
          <t>运动潮玩</t>
        </is>
      </c>
      <c r="U3823" t="inlineStr">
        <is>
          <t>运动户外装备</t>
        </is>
      </c>
      <c r="V3823" s="3">
        <v>46118.97659722222</v>
      </c>
      <c r="W3823" t="inlineStr">
        <is>
          <t>2026-Q2</t>
        </is>
      </c>
    </row>
    <row r="3824" ht="25.5" customHeight="1">
      <c r="A3824" t="inlineStr">
        <is>
          <t>2026夏季新款速干运动背心女无袖健身服上衣修身专业瑜伽坎袖5047</t>
        </is>
      </c>
      <c r="B3824" t="inlineStr">
        <is>
          <t>recvg1BDH5Dn4C.jpg</t>
        </is>
      </c>
      <c r="C3824" s="2" t="str">
        <f>=HYPERLINK("https://xhslink.com/m/2bDc4JYldrY", "https://xhslink.com/m/2bDc4JYldrY")</f>
        <v>https://xhslink.com/m/2bDc4JYldrY</v>
      </c>
      <c r="D3824"/>
      <c r="E3824">
        <v>18000</v>
      </c>
      <c r="F3824">
        <v>59.99</v>
      </c>
      <c r="G3824">
        <v>39.99</v>
      </c>
      <c r="H3824">
        <v>100</v>
      </c>
      <c r="I3824" t="inlineStr">
        <is>
          <t>健身</t>
        </is>
      </c>
      <c r="J3824" t="inlineStr">
        <is>
          <t>0.01</t>
        </is>
      </c>
      <c r="K3824"/>
      <c r="L3824" t="inlineStr">
        <is>
          <t>小杨yoga的店</t>
        </is>
      </c>
      <c r="M3824">
        <v>158000</v>
      </c>
      <c r="N3824">
        <v>4.5</v>
      </c>
      <c r="O3824">
        <v>631000</v>
      </c>
      <c r="P3824" t="inlineStr">
        <is>
          <t>683444e805b70000150b77e9</t>
        </is>
      </c>
      <c r="Q3824" t="inlineStr">
        <is>
          <t>🚫重复</t>
        </is>
      </c>
      <c r="R3824" t="inlineStr">
        <is>
          <t>15周</t>
        </is>
      </c>
      <c r="S3824" t="inlineStr">
        <is>
          <t>0.11</t>
        </is>
      </c>
      <c r="T3824" t="inlineStr">
        <is>
          <t>服饰穿搭</t>
        </is>
      </c>
      <c r="U3824" t="inlineStr">
        <is>
          <t>女装</t>
        </is>
      </c>
      <c r="V3824" s="3">
        <v>46118.97659722222</v>
      </c>
      <c r="W3824" t="inlineStr">
        <is>
          <t>2026-Q2</t>
        </is>
      </c>
    </row>
    <row r="3825" ht="25.5" customHeight="1">
      <c r="A3825" t="inlineStr">
        <is>
          <t>亚谛森 · 门框式健身架家用无钉安装引体向上单杠</t>
        </is>
      </c>
      <c r="B3825" t="inlineStr">
        <is>
          <t>recvg1BDH5zXmf.jpg</t>
        </is>
      </c>
      <c r="C3825" s="2" t="str">
        <f>=HYPERLINK("https://xhslink.com/m/7QDP9J2s0Ma", "https://xhslink.com/m/7QDP9J2s0Ma")</f>
        <v>https://xhslink.com/m/7QDP9J2s0Ma</v>
      </c>
      <c r="D3825"/>
      <c r="E3825">
        <v>513</v>
      </c>
      <c r="F3825">
        <v>549</v>
      </c>
      <c r="G3825"/>
      <c r="H3825">
        <v>100</v>
      </c>
      <c r="I3825" t="inlineStr">
        <is>
          <t>健身</t>
        </is>
      </c>
      <c r="J3825" t="inlineStr">
        <is>
          <t>0.19</t>
        </is>
      </c>
      <c r="K3825"/>
      <c r="L3825" t="inlineStr">
        <is>
          <t>亚谛森的店</t>
        </is>
      </c>
      <c r="M3825">
        <v>11000</v>
      </c>
      <c r="N3825">
        <v>4.42</v>
      </c>
      <c r="O3825">
        <v>1027</v>
      </c>
      <c r="P3825" t="inlineStr">
        <is>
          <t>69a6b449157e300001ab2c95</t>
        </is>
      </c>
      <c r="Q3825"/>
      <c r="R3825" t="inlineStr">
        <is>
          <t>15周</t>
        </is>
      </c>
      <c r="S3825" t="inlineStr">
        <is>
          <t>0.05</t>
        </is>
      </c>
      <c r="T3825" t="inlineStr">
        <is>
          <t>运动潮玩</t>
        </is>
      </c>
      <c r="U3825" t="inlineStr">
        <is>
          <t>运动户外装备</t>
        </is>
      </c>
      <c r="V3825" s="3">
        <v>46118.97659722222</v>
      </c>
      <c r="W3825" t="inlineStr">
        <is>
          <t>2026-Q2</t>
        </is>
      </c>
    </row>
    <row r="3826" ht="25.5" customHeight="1">
      <c r="A3826" t="inlineStr">
        <is>
          <t>yoyo推荐马拉松跑步背心女2025新款高颜值健身服运动瑜伽服带胸垫</t>
        </is>
      </c>
      <c r="B3826" t="inlineStr">
        <is>
          <t>recvg1BDH5Vm9o.jpg</t>
        </is>
      </c>
      <c r="C3826" s="2" t="str">
        <f>=HYPERLINK("https://xhslink.com/m/686hPaSSEM8", "https://xhslink.com/m/686hPaSSEM8")</f>
        <v>https://xhslink.com/m/686hPaSSEM8</v>
      </c>
      <c r="D3826"/>
      <c r="E3826">
        <v>2372</v>
      </c>
      <c r="F3826">
        <v>79.9</v>
      </c>
      <c r="G3826"/>
      <c r="H3826">
        <v>100</v>
      </c>
      <c r="I3826" t="inlineStr">
        <is>
          <t>健身</t>
        </is>
      </c>
      <c r="J3826" t="inlineStr">
        <is>
          <t>0.04</t>
        </is>
      </c>
      <c r="K3826"/>
      <c r="L3826" t="inlineStr">
        <is>
          <t>yoyo推荐的店</t>
        </is>
      </c>
      <c r="M3826">
        <v>103000</v>
      </c>
      <c r="N3826">
        <v>4.67</v>
      </c>
      <c r="O3826">
        <v>321000</v>
      </c>
      <c r="P3826" t="inlineStr">
        <is>
          <t>68da470399f01700152eac57</t>
        </is>
      </c>
      <c r="Q3826" t="inlineStr">
        <is>
          <t>🚫重复</t>
        </is>
      </c>
      <c r="R3826" t="inlineStr">
        <is>
          <t>15周</t>
        </is>
      </c>
      <c r="S3826" t="inlineStr">
        <is>
          <t>0.02</t>
        </is>
      </c>
      <c r="T3826" t="inlineStr">
        <is>
          <t>运动潮玩</t>
        </is>
      </c>
      <c r="U3826" t="inlineStr">
        <is>
          <t>运动户外装备</t>
        </is>
      </c>
      <c r="V3826" s="3">
        <v>46118.97659722222</v>
      </c>
      <c r="W3826" t="inlineStr">
        <is>
          <t>2026-Q2</t>
        </is>
      </c>
    </row>
    <row r="3827" ht="25.5" customHeight="1">
      <c r="A3827" t="inlineStr">
        <is>
          <t>OTHER · 【严选】实心泡沫轴带支架吸盘款瑜伽柱肌肉放松按摩</t>
        </is>
      </c>
      <c r="B3827" t="inlineStr">
        <is>
          <t>recvg1BDH526Ac.jpg</t>
        </is>
      </c>
      <c r="C3827" s="2" t="str">
        <f>=HYPERLINK("https://xhslink.com/m/3S3KHtrXQRT", "https://xhslink.com/m/3S3KHtrXQRT")</f>
        <v>https://xhslink.com/m/3S3KHtrXQRT</v>
      </c>
      <c r="D3827"/>
      <c r="E3827">
        <v>12000</v>
      </c>
      <c r="F3827">
        <v>59.9</v>
      </c>
      <c r="G3827">
        <v>41.9</v>
      </c>
      <c r="H3827">
        <v>100</v>
      </c>
      <c r="I3827" t="inlineStr">
        <is>
          <t>健身</t>
        </is>
      </c>
      <c r="J3827" t="inlineStr">
        <is>
          <t>0.01</t>
        </is>
      </c>
      <c r="K3827" t="inlineStr">
        <is>
          <t>🔥低粉爆款</t>
        </is>
      </c>
      <c r="L3827" t="inlineStr">
        <is>
          <t>小梨涡卷心糖的店</t>
        </is>
      </c>
      <c r="M3827">
        <v>180</v>
      </c>
      <c r="N3827">
        <v>4.55</v>
      </c>
      <c r="O3827">
        <v>13000</v>
      </c>
      <c r="P3827" t="inlineStr">
        <is>
          <t>69731c3cbe1ced00152293ab</t>
        </is>
      </c>
      <c r="Q3827"/>
      <c r="R3827" t="inlineStr">
        <is>
          <t>15周</t>
        </is>
      </c>
      <c r="S3827" t="inlineStr">
        <is>
          <t>66.67</t>
        </is>
      </c>
      <c r="T3827" t="inlineStr">
        <is>
          <t>运动潮玩</t>
        </is>
      </c>
      <c r="U3827" t="inlineStr">
        <is>
          <t>运动户外装备</t>
        </is>
      </c>
      <c r="V3827" s="3">
        <v>46118.97659722222</v>
      </c>
      <c r="W3827" t="inlineStr">
        <is>
          <t>2026-Q2</t>
        </is>
      </c>
    </row>
    <row r="3828" ht="25.5" customHeight="1">
      <c r="A3828" t="inlineStr">
        <is>
          <t>MAIA ACTIVE · 友好市集 【虞书欣同款】 腰精裤4.0 收腹提臀瑜伽健身运动裤子</t>
        </is>
      </c>
      <c r="B3828" t="inlineStr">
        <is>
          <t>recvg1BDH5QoP5.jpg</t>
        </is>
      </c>
      <c r="C3828" s="2" t="str">
        <f>=HYPERLINK("https://xhslink.com/m/802n3hvwdt5", "https://xhslink.com/m/802n3hvwdt5")</f>
        <v>https://xhslink.com/m/802n3hvwdt5</v>
      </c>
      <c r="D3828"/>
      <c r="E3828">
        <v>11000</v>
      </c>
      <c r="F3828">
        <v>399</v>
      </c>
      <c r="G3828">
        <v>339</v>
      </c>
      <c r="H3828">
        <v>100</v>
      </c>
      <c r="I3828" t="inlineStr">
        <is>
          <t>健身</t>
        </is>
      </c>
      <c r="J3828" t="inlineStr">
        <is>
          <t>0.01</t>
        </is>
      </c>
      <c r="K3828"/>
      <c r="L3828" t="inlineStr">
        <is>
          <t>MAIA ACTIVE旗舰店</t>
        </is>
      </c>
      <c r="M3828">
        <v>226000</v>
      </c>
      <c r="N3828">
        <v>4.63</v>
      </c>
      <c r="O3828">
        <v>580000</v>
      </c>
      <c r="P3828" t="inlineStr">
        <is>
          <t>683e9d153aaa1e00018815c5</t>
        </is>
      </c>
      <c r="Q3828" t="inlineStr">
        <is>
          <t>🚫重复</t>
        </is>
      </c>
      <c r="R3828" t="inlineStr">
        <is>
          <t>15周</t>
        </is>
      </c>
      <c r="S3828" t="inlineStr">
        <is>
          <t>0.05</t>
        </is>
      </c>
      <c r="T3828" t="inlineStr">
        <is>
          <t>运动潮玩</t>
        </is>
      </c>
      <c r="U3828" t="inlineStr">
        <is>
          <t>运动户外装备</t>
        </is>
      </c>
      <c r="V3828" s="3">
        <v>46118.97659722222</v>
      </c>
      <c r="W3828" t="inlineStr">
        <is>
          <t>2026-Q2</t>
        </is>
      </c>
    </row>
    <row r="3829" ht="25.5" customHeight="1">
      <c r="A3829" t="inlineStr">
        <is>
          <t>CrzYoga · 高腰瑜伽短裤 女士紧身运动健身夏 | Butterluxe黄油</t>
        </is>
      </c>
      <c r="B3829" t="inlineStr">
        <is>
          <t>recvg1BDH581tK.jpg</t>
        </is>
      </c>
      <c r="C3829" s="2" t="str">
        <f>=HYPERLINK("https://xhslink.com/m/sB1sZW4hZm", "https://xhslink.com/m/sB1sZW4hZm")</f>
        <v>https://xhslink.com/m/sB1sZW4hZm</v>
      </c>
      <c r="D3829"/>
      <c r="E3829">
        <v>15000</v>
      </c>
      <c r="F3829">
        <v>119</v>
      </c>
      <c r="G3829"/>
      <c r="H3829">
        <v>100</v>
      </c>
      <c r="I3829" t="inlineStr">
        <is>
          <t>健身</t>
        </is>
      </c>
      <c r="J3829" t="inlineStr">
        <is>
          <t>0.01</t>
        </is>
      </c>
      <c r="K3829"/>
      <c r="L3829" t="inlineStr">
        <is>
          <t>CrzYoga旗舰店</t>
        </is>
      </c>
      <c r="M3829">
        <v>23000</v>
      </c>
      <c r="N3829">
        <v>4.68</v>
      </c>
      <c r="O3829">
        <v>108000</v>
      </c>
      <c r="P3829" t="inlineStr">
        <is>
          <t>6795e242797bed0001773a79</t>
        </is>
      </c>
      <c r="Q3829" t="inlineStr">
        <is>
          <t>🚫重复</t>
        </is>
      </c>
      <c r="R3829" t="inlineStr">
        <is>
          <t>15周</t>
        </is>
      </c>
      <c r="S3829" t="inlineStr">
        <is>
          <t>0.65</t>
        </is>
      </c>
      <c r="T3829" t="inlineStr">
        <is>
          <t>运动潮玩</t>
        </is>
      </c>
      <c r="U3829" t="inlineStr">
        <is>
          <t>运动户外装备</t>
        </is>
      </c>
      <c r="V3829" s="3">
        <v>46118.97659722222</v>
      </c>
      <c r="W3829" t="inlineStr">
        <is>
          <t>2026-Q2</t>
        </is>
      </c>
    </row>
    <row r="3830" ht="25.5" customHeight="1">
      <c r="A3830" t="inlineStr">
        <is>
          <t>运动内衣美背女交叉防震宽肩带固定加压收腹透气健身文胸背心87</t>
        </is>
      </c>
      <c r="B3830" t="inlineStr">
        <is>
          <t>recvg1BDH503Bj.jpg</t>
        </is>
      </c>
      <c r="C3830" s="2" t="str">
        <f>=HYPERLINK("https://xhslink.com/m/9pkaweWfpzI", "https://xhslink.com/m/9pkaweWfpzI")</f>
        <v>https://xhslink.com/m/9pkaweWfpzI</v>
      </c>
      <c r="D3830"/>
      <c r="E3830">
        <v>574</v>
      </c>
      <c r="F3830">
        <v>139</v>
      </c>
      <c r="G3830">
        <v>119</v>
      </c>
      <c r="H3830">
        <v>100</v>
      </c>
      <c r="I3830" t="inlineStr">
        <is>
          <t>健身</t>
        </is>
      </c>
      <c r="J3830" t="inlineStr">
        <is>
          <t>0.17</t>
        </is>
      </c>
      <c r="K3830"/>
      <c r="L3830" t="inlineStr">
        <is>
          <t>小杨yoga的店</t>
        </is>
      </c>
      <c r="M3830">
        <v>158000</v>
      </c>
      <c r="N3830">
        <v>4.5</v>
      </c>
      <c r="O3830">
        <v>631000</v>
      </c>
      <c r="P3830" t="inlineStr">
        <is>
          <t>69a817a2f209ba00014b966d</t>
        </is>
      </c>
      <c r="Q3830" t="inlineStr">
        <is>
          <t>🚫重复</t>
        </is>
      </c>
      <c r="R3830" t="inlineStr">
        <is>
          <t>15周</t>
        </is>
      </c>
      <c r="S3830" t="inlineStr">
        <is>
          <t>0.00</t>
        </is>
      </c>
      <c r="T3830" t="inlineStr">
        <is>
          <t>服饰穿搭</t>
        </is>
      </c>
      <c r="U3830" t="inlineStr">
        <is>
          <t>女装</t>
        </is>
      </c>
      <c r="V3830" s="3">
        <v>46118.97659722222</v>
      </c>
      <c r="W3830" t="inlineStr">
        <is>
          <t>2026-Q2</t>
        </is>
      </c>
    </row>
    <row r="3831" ht="25.5" customHeight="1">
      <c r="A3831" t="inlineStr">
        <is>
          <t>【儿保推荐6月+】 蒙氏早教启蒙忙碌书撕不烂安静书撕撕书故事书</t>
        </is>
      </c>
      <c r="B3831" t="inlineStr">
        <is>
          <t>recvg1BDH5Fgq1.jpg</t>
        </is>
      </c>
      <c r="C3831" s="2" t="str">
        <f>=HYPERLINK("https://xhslink.com/m/8QCgKZRotn", "https://xhslink.com/m/8QCgKZRotn")</f>
        <v>https://xhslink.com/m/8QCgKZRotn</v>
      </c>
      <c r="D3831"/>
      <c r="E3831">
        <v>19000</v>
      </c>
      <c r="F3831">
        <v>79.9</v>
      </c>
      <c r="G3831">
        <v>63.9</v>
      </c>
      <c r="H3831">
        <v>100</v>
      </c>
      <c r="I3831" t="inlineStr">
        <is>
          <t>益智玩具</t>
        </is>
      </c>
      <c r="J3831" t="inlineStr">
        <is>
          <t>0.01</t>
        </is>
      </c>
      <c r="K3831" t="inlineStr">
        <is>
          <t>🔥低粉爆款</t>
        </is>
      </c>
      <c r="L3831" t="inlineStr">
        <is>
          <t>满满崽崽的妈咪的店</t>
        </is>
      </c>
      <c r="M3831">
        <v>1714</v>
      </c>
      <c r="N3831">
        <v>4.69</v>
      </c>
      <c r="O3831">
        <v>39000</v>
      </c>
      <c r="P3831" t="inlineStr">
        <is>
          <t>69513708dd18440001fc77d2</t>
        </is>
      </c>
      <c r="Q3831" t="inlineStr">
        <is>
          <t>🚫重复</t>
        </is>
      </c>
      <c r="R3831" t="inlineStr">
        <is>
          <t>15周</t>
        </is>
      </c>
      <c r="S3831" t="inlineStr">
        <is>
          <t>11.09</t>
        </is>
      </c>
      <c r="T3831" t="inlineStr">
        <is>
          <t>母婴亲子</t>
        </is>
      </c>
      <c r="U3831" t="inlineStr">
        <is>
          <t>玩具早教</t>
        </is>
      </c>
      <c r="V3831" s="3">
        <v>46118.97659722222</v>
      </c>
      <c r="W3831" t="inlineStr">
        <is>
          <t>2026-Q2</t>
        </is>
      </c>
    </row>
    <row r="3832" ht="25.5" customHeight="1">
      <c r="A3832" t="inlineStr">
        <is>
          <t>多功能按压口哨车耐摔小汽车摩托车玩具车1-6岁宝宝玩具</t>
        </is>
      </c>
      <c r="B3832" t="inlineStr">
        <is>
          <t>recvg1BDH5nJtg.jpg</t>
        </is>
      </c>
      <c r="C3832" s="2" t="str">
        <f>=HYPERLINK("https://xhslink.com/m/71jDmcT2xpR", "https://xhslink.com/m/71jDmcT2xpR")</f>
        <v>https://xhslink.com/m/71jDmcT2xpR</v>
      </c>
      <c r="D3832"/>
      <c r="E3832">
        <v>10000</v>
      </c>
      <c r="F3832">
        <v>29.9</v>
      </c>
      <c r="G3832">
        <v>16.9</v>
      </c>
      <c r="H3832">
        <v>100</v>
      </c>
      <c r="I3832" t="inlineStr">
        <is>
          <t>益智玩具</t>
        </is>
      </c>
      <c r="J3832" t="inlineStr">
        <is>
          <t>0.01</t>
        </is>
      </c>
      <c r="K3832" t="inlineStr">
        <is>
          <t>🔥低粉爆款</t>
        </is>
      </c>
      <c r="L3832" t="inlineStr">
        <is>
          <t>哆瑞咪_Baby的店</t>
        </is>
      </c>
      <c r="M3832">
        <v>1391</v>
      </c>
      <c r="N3832">
        <v>4.68</v>
      </c>
      <c r="O3832">
        <v>32000</v>
      </c>
      <c r="P3832" t="inlineStr">
        <is>
          <t>6858d1fc4fb94b0015eb5787</t>
        </is>
      </c>
      <c r="Q3832"/>
      <c r="R3832" t="inlineStr">
        <is>
          <t>15周</t>
        </is>
      </c>
      <c r="S3832" t="inlineStr">
        <is>
          <t>7.19</t>
        </is>
      </c>
      <c r="T3832" t="inlineStr">
        <is>
          <t>母婴亲子</t>
        </is>
      </c>
      <c r="U3832" t="inlineStr">
        <is>
          <t>童装童鞋</t>
        </is>
      </c>
      <c r="V3832" s="3">
        <v>46118.97659722222</v>
      </c>
      <c r="W3832" t="inlineStr">
        <is>
          <t>2026-Q2</t>
        </is>
      </c>
    </row>
    <row r="3833" ht="25.5" customHeight="1">
      <c r="A3833" t="inlineStr">
        <is>
          <t>毛毡板宝宝早教水果切切乐玩具DIY摘摘乐围栏培养专注力益智玩具</t>
        </is>
      </c>
      <c r="B3833" t="inlineStr">
        <is>
          <t>recvg1BDH5S7nK.jpg</t>
        </is>
      </c>
      <c r="C3833" s="2" t="str">
        <f>=HYPERLINK("https://xhslink.com/m/6mZf50FB0ci", "https://xhslink.com/m/6mZf50FB0ci")</f>
        <v>https://xhslink.com/m/6mZf50FB0ci</v>
      </c>
      <c r="D3833"/>
      <c r="E3833">
        <v>4561</v>
      </c>
      <c r="F3833">
        <v>68</v>
      </c>
      <c r="G3833">
        <v>45.8</v>
      </c>
      <c r="H3833">
        <v>100</v>
      </c>
      <c r="I3833" t="inlineStr">
        <is>
          <t>益智玩具</t>
        </is>
      </c>
      <c r="J3833" t="inlineStr">
        <is>
          <t>0.02</t>
        </is>
      </c>
      <c r="K3833" t="inlineStr">
        <is>
          <t>🔥低粉爆款</t>
        </is>
      </c>
      <c r="L3833" t="inlineStr">
        <is>
          <t>柠檬你在玩啥的店</t>
        </is>
      </c>
      <c r="M3833">
        <v>909</v>
      </c>
      <c r="N3833">
        <v>4.53</v>
      </c>
      <c r="O3833">
        <v>32000</v>
      </c>
      <c r="P3833" t="inlineStr">
        <is>
          <t>693579e6c84a1600015a8db1</t>
        </is>
      </c>
      <c r="Q3833"/>
      <c r="R3833" t="inlineStr">
        <is>
          <t>15周</t>
        </is>
      </c>
      <c r="S3833" t="inlineStr">
        <is>
          <t>5.02</t>
        </is>
      </c>
      <c r="T3833" t="inlineStr">
        <is>
          <t>母婴亲子</t>
        </is>
      </c>
      <c r="U3833" t="inlineStr">
        <is>
          <t>玩具早教</t>
        </is>
      </c>
      <c r="V3833" s="3">
        <v>46118.97659722222</v>
      </c>
      <c r="W3833" t="inlineStr">
        <is>
          <t>2026-Q2</t>
        </is>
      </c>
    </row>
    <row r="3834" ht="25.5" customHeight="1">
      <c r="A3834" t="inlineStr">
        <is>
          <t>冰淇淋凉感丝夏凉被/瓜瓜锦氨夏凉被A类可机洗空调被凉感被子</t>
        </is>
      </c>
      <c r="B3834" t="inlineStr">
        <is>
          <t>recvg1BDH5cLB0.jpg</t>
        </is>
      </c>
      <c r="C3834" s="2" t="str">
        <f>=HYPERLINK("https://xhslink.com/m/ACJzyNpejsB", "https://xhslink.com/m/ACJzyNpejsB")</f>
        <v>https://xhslink.com/m/ACJzyNpejsB</v>
      </c>
      <c r="D3834"/>
      <c r="E3834">
        <v>47000</v>
      </c>
      <c r="F3834">
        <v>99.97</v>
      </c>
      <c r="G3834">
        <v>69.98</v>
      </c>
      <c r="H3834">
        <v>100</v>
      </c>
      <c r="I3834" t="inlineStr">
        <is>
          <t>卧室</t>
        </is>
      </c>
      <c r="J3834" t="inlineStr">
        <is>
          <t>0.00</t>
        </is>
      </c>
      <c r="K3834" t="inlineStr">
        <is>
          <t>🔥低粉爆款</t>
        </is>
      </c>
      <c r="L3834" t="inlineStr">
        <is>
          <t>酸柠檬木棉家居纺织品的店</t>
        </is>
      </c>
      <c r="M3834">
        <v>9593</v>
      </c>
      <c r="N3834">
        <v>4.56</v>
      </c>
      <c r="O3834">
        <v>92000</v>
      </c>
      <c r="P3834" t="inlineStr">
        <is>
          <t>65d8371184d70b0001a9b98a</t>
        </is>
      </c>
      <c r="Q3834"/>
      <c r="R3834" t="inlineStr">
        <is>
          <t>15周</t>
        </is>
      </c>
      <c r="S3834" t="inlineStr">
        <is>
          <t>4.90</t>
        </is>
      </c>
      <c r="T3834" t="inlineStr">
        <is>
          <t>数码家电</t>
        </is>
      </c>
      <c r="U3834" t="inlineStr">
        <is>
          <t>大家电</t>
        </is>
      </c>
      <c r="V3834" s="3">
        <v>46118.97659722222</v>
      </c>
      <c r="W3834" t="inlineStr">
        <is>
          <t>2026-Q2</t>
        </is>
      </c>
    </row>
    <row r="3835" ht="25.5" customHeight="1">
      <c r="A3835" t="inlineStr">
        <is>
          <t>Yukk家圣诞礼物古早轻松熊点头摆件可爱送礼物</t>
        </is>
      </c>
      <c r="B3835" t="inlineStr">
        <is>
          <t>recvg1BDH5Ttig.jpg</t>
        </is>
      </c>
      <c r="C3835" s="2" t="str">
        <f>=HYPERLINK("https://xhslink.com/m/6qLJwreMfpF", "https://xhslink.com/m/6qLJwreMfpF")</f>
        <v>https://xhslink.com/m/6qLJwreMfpF</v>
      </c>
      <c r="D3835"/>
      <c r="E3835">
        <v>20000</v>
      </c>
      <c r="F3835">
        <v>15.8</v>
      </c>
      <c r="G3835"/>
      <c r="H3835">
        <v>100</v>
      </c>
      <c r="I3835" t="inlineStr">
        <is>
          <t>卧室</t>
        </is>
      </c>
      <c r="J3835" t="inlineStr">
        <is>
          <t>0.01</t>
        </is>
      </c>
      <c r="K3835"/>
      <c r="L3835" t="inlineStr">
        <is>
          <t>Yukk的店</t>
        </is>
      </c>
      <c r="M3835">
        <v>11000</v>
      </c>
      <c r="N3835">
        <v>4.54</v>
      </c>
      <c r="O3835">
        <v>150000</v>
      </c>
      <c r="P3835" t="inlineStr">
        <is>
          <t>67e968c5acb9900001ce52aa</t>
        </is>
      </c>
      <c r="Q3835" t="inlineStr">
        <is>
          <t>🚫重复</t>
        </is>
      </c>
      <c r="R3835" t="inlineStr">
        <is>
          <t>15周</t>
        </is>
      </c>
      <c r="S3835" t="inlineStr">
        <is>
          <t>1.82</t>
        </is>
      </c>
      <c r="T3835" t="inlineStr">
        <is>
          <t>家居生活</t>
        </is>
      </c>
      <c r="U3835" t="inlineStr">
        <is>
          <t>家具家装</t>
        </is>
      </c>
      <c r="V3835" s="3">
        <v>46118.97659722222</v>
      </c>
      <c r="W3835" t="inlineStr">
        <is>
          <t>2026-Q2</t>
        </is>
      </c>
    </row>
    <row r="3836" ht="25.5" customHeight="1">
      <c r="A3836" t="inlineStr">
        <is>
          <t>毛毡板拼豆饰品墙收纳墙自粘免打孔宿舍卧室饰品帽子眼镜展示墙面</t>
        </is>
      </c>
      <c r="B3836" t="inlineStr">
        <is>
          <t>recvg1BDH5tqeC.jpg</t>
        </is>
      </c>
      <c r="C3836" s="2" t="str">
        <f>=HYPERLINK("https://xhslink.com/m/uhQ6SLijgo", "https://xhslink.com/m/uhQ6SLijgo")</f>
        <v>https://xhslink.com/m/uhQ6SLijgo</v>
      </c>
      <c r="D3836"/>
      <c r="E3836">
        <v>6325</v>
      </c>
      <c r="F3836">
        <v>32.58</v>
      </c>
      <c r="G3836"/>
      <c r="H3836">
        <v>100</v>
      </c>
      <c r="I3836" t="inlineStr">
        <is>
          <t>卧室</t>
        </is>
      </c>
      <c r="J3836" t="inlineStr">
        <is>
          <t>0.02</t>
        </is>
      </c>
      <c r="K3836" t="inlineStr">
        <is>
          <t>🔥低粉爆款</t>
        </is>
      </c>
      <c r="L3836" t="inlineStr">
        <is>
          <t>毛毡制品源头厂家的店</t>
        </is>
      </c>
      <c r="M3836">
        <v>1134</v>
      </c>
      <c r="N3836">
        <v>4.3</v>
      </c>
      <c r="O3836">
        <v>6920</v>
      </c>
      <c r="P3836" t="inlineStr">
        <is>
          <t>67e52630bf527d0001ecb747</t>
        </is>
      </c>
      <c r="Q3836" t="inlineStr">
        <is>
          <t>🚫重复</t>
        </is>
      </c>
      <c r="R3836" t="inlineStr">
        <is>
          <t>15周</t>
        </is>
      </c>
      <c r="S3836" t="inlineStr">
        <is>
          <t>5.58</t>
        </is>
      </c>
      <c r="T3836" t="inlineStr">
        <is>
          <t>服饰穿搭</t>
        </is>
      </c>
      <c r="U3836" t="inlineStr">
        <is>
          <t>配饰</t>
        </is>
      </c>
      <c r="V3836" s="3">
        <v>46118.97659722222</v>
      </c>
      <c r="W3836" t="inlineStr">
        <is>
          <t>2026-Q2</t>
        </is>
      </c>
    </row>
    <row r="3837" ht="25.5" customHeight="1">
      <c r="A3837" t="inlineStr">
        <is>
          <t>可爱生日礼物乖乖羊毛绒玩偶玩具公仔娃娃送女生闺蜜男朋友毕业季</t>
        </is>
      </c>
      <c r="B3837" t="inlineStr">
        <is>
          <t>recvg1BDH5vjCL.jpg</t>
        </is>
      </c>
      <c r="C3837" s="2" t="str">
        <f>=HYPERLINK("https://xhslink.com/m/4gM5w3ied3", "https://xhslink.com/m/4gM5w3ied3")</f>
        <v>https://xhslink.com/m/4gM5w3ied3</v>
      </c>
      <c r="D3837"/>
      <c r="E3837">
        <v>2414</v>
      </c>
      <c r="F3837">
        <v>56.13</v>
      </c>
      <c r="G3837">
        <v>44.9</v>
      </c>
      <c r="H3837">
        <v>100</v>
      </c>
      <c r="I3837" t="inlineStr">
        <is>
          <t>挂件</t>
        </is>
      </c>
      <c r="J3837" t="inlineStr">
        <is>
          <t>0.04</t>
        </is>
      </c>
      <c r="K3837"/>
      <c r="L3837" t="inlineStr">
        <is>
          <t>纯爱战士的礼物的店</t>
        </is>
      </c>
      <c r="M3837">
        <v>11000</v>
      </c>
      <c r="N3837">
        <v>4.56</v>
      </c>
      <c r="O3837">
        <v>44000</v>
      </c>
      <c r="P3837" t="inlineStr">
        <is>
          <t>696bdd1d19260d0001367563</t>
        </is>
      </c>
      <c r="Q3837" t="inlineStr">
        <is>
          <t>🚫重复</t>
        </is>
      </c>
      <c r="R3837" t="inlineStr">
        <is>
          <t>15周</t>
        </is>
      </c>
      <c r="S3837" t="inlineStr">
        <is>
          <t>0.22</t>
        </is>
      </c>
      <c r="T3837" t="inlineStr">
        <is>
          <t>母婴亲子</t>
        </is>
      </c>
      <c r="U3837" t="inlineStr">
        <is>
          <t>玩具早教</t>
        </is>
      </c>
      <c r="V3837" s="3">
        <v>46118.97659722222</v>
      </c>
      <c r="W3837" t="inlineStr">
        <is>
          <t>2026-Q2</t>
        </is>
      </c>
    </row>
    <row r="3838" ht="25.5" customHeight="1">
      <c r="A3838" t="inlineStr">
        <is>
          <t>【甜玉米系列】毛绒挂件/定制明盒/甜玉米礼物/Rays潮玩</t>
        </is>
      </c>
      <c r="B3838" t="inlineStr">
        <is>
          <t>recvg1BDH5aWw0.jpg</t>
        </is>
      </c>
      <c r="C3838" s="2" t="str">
        <f>=HYPERLINK("https://xhslink.com/m/9CZ8ySDFPYx", "https://xhslink.com/m/9CZ8ySDFPYx")</f>
        <v>https://xhslink.com/m/9CZ8ySDFPYx</v>
      </c>
      <c r="D3838"/>
      <c r="E3838">
        <v>9093</v>
      </c>
      <c r="F3838">
        <v>261</v>
      </c>
      <c r="G3838"/>
      <c r="H3838">
        <v>100</v>
      </c>
      <c r="I3838" t="inlineStr">
        <is>
          <t>挂件</t>
        </is>
      </c>
      <c r="J3838" t="inlineStr">
        <is>
          <t>0.01</t>
        </is>
      </c>
      <c r="K3838"/>
      <c r="L3838" t="inlineStr">
        <is>
          <t>Rays潮玩的店</t>
        </is>
      </c>
      <c r="M3838">
        <v>385000</v>
      </c>
      <c r="N3838">
        <v>4.63</v>
      </c>
      <c r="O3838">
        <v>917000</v>
      </c>
      <c r="P3838" t="inlineStr">
        <is>
          <t>69aaf105c125ae0001a83370</t>
        </is>
      </c>
      <c r="Q3838" t="inlineStr">
        <is>
          <t>🚫重复</t>
        </is>
      </c>
      <c r="R3838" t="inlineStr">
        <is>
          <t>15周</t>
        </is>
      </c>
      <c r="S3838" t="inlineStr">
        <is>
          <t>0.02</t>
        </is>
      </c>
      <c r="T3838" t="inlineStr">
        <is>
          <t>服饰穿搭</t>
        </is>
      </c>
      <c r="U3838" t="inlineStr">
        <is>
          <t>配饰</t>
        </is>
      </c>
      <c r="V3838" s="3">
        <v>46118.97659722222</v>
      </c>
      <c r="W3838" t="inlineStr">
        <is>
          <t>2026-Q2</t>
        </is>
      </c>
    </row>
    <row r="3839" ht="25.5" customHeight="1">
      <c r="A3839" t="inlineStr">
        <is>
          <t>美味球球母鸡系列圆滚滚可爱鸡可以当球踢的毛绒玩具抽象搞怪萌物</t>
        </is>
      </c>
      <c r="B3839" t="inlineStr">
        <is>
          <t>recvg1BDH5pcEN.jpg</t>
        </is>
      </c>
      <c r="C3839" s="2" t="str">
        <f>=HYPERLINK("https://xhslink.com/m/35ZrisxrXOx", "https://xhslink.com/m/35ZrisxrXOx")</f>
        <v>https://xhslink.com/m/35ZrisxrXOx</v>
      </c>
      <c r="D3839"/>
      <c r="E3839">
        <v>10000</v>
      </c>
      <c r="F3839">
        <v>40</v>
      </c>
      <c r="G3839">
        <v>24.8</v>
      </c>
      <c r="H3839">
        <v>100</v>
      </c>
      <c r="I3839" t="inlineStr">
        <is>
          <t>挂件</t>
        </is>
      </c>
      <c r="J3839" t="inlineStr">
        <is>
          <t>0.01</t>
        </is>
      </c>
      <c r="K3839" t="inlineStr">
        <is>
          <t>🔥低粉爆款</t>
        </is>
      </c>
      <c r="L3839" t="inlineStr">
        <is>
          <t>困困鱼毛绒小屋的店</t>
        </is>
      </c>
      <c r="M3839">
        <v>2494</v>
      </c>
      <c r="N3839">
        <v>4.47</v>
      </c>
      <c r="O3839">
        <v>16000</v>
      </c>
      <c r="P3839" t="inlineStr">
        <is>
          <t>691196eaa113c80001c741a8</t>
        </is>
      </c>
      <c r="Q3839" t="inlineStr">
        <is>
          <t>🚫重复</t>
        </is>
      </c>
      <c r="R3839" t="inlineStr">
        <is>
          <t>15周</t>
        </is>
      </c>
      <c r="S3839" t="inlineStr">
        <is>
          <t>4.01</t>
        </is>
      </c>
      <c r="T3839" t="inlineStr">
        <is>
          <t>母婴亲子</t>
        </is>
      </c>
      <c r="U3839" t="inlineStr">
        <is>
          <t>玩具早教</t>
        </is>
      </c>
      <c r="V3839" s="3">
        <v>46118.97659722222</v>
      </c>
      <c r="W3839" t="inlineStr">
        <is>
          <t>2026-Q2</t>
        </is>
      </c>
    </row>
    <row r="3840" ht="25.5" customHeight="1">
      <c r="A3840" t="inlineStr">
        <is>
          <t>迪士尼 · 正版史迪仔公仔星际宝贝史迪奇玩偶可爱毛绒布娃娃生日礼物</t>
        </is>
      </c>
      <c r="B3840" t="inlineStr">
        <is>
          <t>recvg1BDH5xqmD.jpg</t>
        </is>
      </c>
      <c r="C3840" s="2" t="str">
        <f>=HYPERLINK("https://xhslink.com/m/OwzLVJMCEr", "https://xhslink.com/m/OwzLVJMCEr")</f>
        <v>https://xhslink.com/m/OwzLVJMCEr</v>
      </c>
      <c r="D3840"/>
      <c r="E3840">
        <v>2696</v>
      </c>
      <c r="F3840">
        <v>70.5</v>
      </c>
      <c r="G3840">
        <v>48.9</v>
      </c>
      <c r="H3840">
        <v>100</v>
      </c>
      <c r="I3840" t="inlineStr">
        <is>
          <t>挂件</t>
        </is>
      </c>
      <c r="J3840" t="inlineStr">
        <is>
          <t>0.04</t>
        </is>
      </c>
      <c r="K3840" t="inlineStr">
        <is>
          <t>🔥低粉爆款</t>
        </is>
      </c>
      <c r="L3840" t="inlineStr">
        <is>
          <t>筱笙手作的店</t>
        </is>
      </c>
      <c r="M3840">
        <v>373</v>
      </c>
      <c r="N3840">
        <v>4.48</v>
      </c>
      <c r="O3840">
        <v>3753</v>
      </c>
      <c r="P3840" t="inlineStr">
        <is>
          <t>690c3e4ab96b160001c1c759</t>
        </is>
      </c>
      <c r="Q3840"/>
      <c r="R3840" t="inlineStr">
        <is>
          <t>15周</t>
        </is>
      </c>
      <c r="S3840" t="inlineStr">
        <is>
          <t>7.23</t>
        </is>
      </c>
      <c r="T3840" t="inlineStr">
        <is>
          <t>母婴亲子</t>
        </is>
      </c>
      <c r="U3840" t="inlineStr">
        <is>
          <t>玩具早教</t>
        </is>
      </c>
      <c r="V3840" s="3">
        <v>46118.97659722222</v>
      </c>
      <c r="W3840" t="inlineStr">
        <is>
          <t>2026-Q2</t>
        </is>
      </c>
    </row>
    <row r="3841" ht="25.5" customHeight="1">
      <c r="A3841" t="inlineStr">
        <is>
          <t>【4.7号23:59二开截团】耶耶塔塔原创10cm呆呆狐可爱狐狸动物体</t>
        </is>
      </c>
      <c r="B3841" t="inlineStr">
        <is>
          <t>recvg1BDH56Hum.jpg</t>
        </is>
      </c>
      <c r="C3841" s="2" t="str">
        <f>=HYPERLINK("https://xhslink.com/m/5vBrS4Nn7pH", "https://xhslink.com/m/5vBrS4Nn7pH")</f>
        <v>https://xhslink.com/m/5vBrS4Nn7pH</v>
      </c>
      <c r="D3841"/>
      <c r="E3841">
        <v>2204</v>
      </c>
      <c r="F3841">
        <v>29.8</v>
      </c>
      <c r="G3841"/>
      <c r="H3841">
        <v>100</v>
      </c>
      <c r="I3841" t="inlineStr">
        <is>
          <t>挂件</t>
        </is>
      </c>
      <c r="J3841" t="inlineStr">
        <is>
          <t>0.05</t>
        </is>
      </c>
      <c r="K3841"/>
      <c r="L3841" t="inlineStr">
        <is>
          <t>耶耶塔塔原创娃屋的店</t>
        </is>
      </c>
      <c r="M3841">
        <v>15000</v>
      </c>
      <c r="N3841">
        <v>4.48</v>
      </c>
      <c r="O3841">
        <v>18000</v>
      </c>
      <c r="P3841" t="inlineStr">
        <is>
          <t>697313518dc4b30001c657d5</t>
        </is>
      </c>
      <c r="Q3841"/>
      <c r="R3841" t="inlineStr">
        <is>
          <t>15周</t>
        </is>
      </c>
      <c r="S3841" t="inlineStr">
        <is>
          <t>0.15</t>
        </is>
      </c>
      <c r="T3841" t="inlineStr">
        <is>
          <t>服饰穿搭</t>
        </is>
      </c>
      <c r="U3841" t="inlineStr">
        <is>
          <t>配饰</t>
        </is>
      </c>
      <c r="V3841" s="3">
        <v>46118.97659722222</v>
      </c>
      <c r="W3841" t="inlineStr">
        <is>
          <t>2026-Q2</t>
        </is>
      </c>
    </row>
    <row r="3842" ht="25.5" customHeight="1">
      <c r="A3842" t="inlineStr">
        <is>
          <t>可爱大象玩偶挂件毛绒玩具包包挂件送闺蜜男女朋友生日礼物过节</t>
        </is>
      </c>
      <c r="B3842" t="inlineStr">
        <is>
          <t>recvg1BDH5ZABK.jpg</t>
        </is>
      </c>
      <c r="C3842" s="2" t="str">
        <f>=HYPERLINK("https://xhslink.com/m/AyyEYQ24tDL", "https://xhslink.com/m/AyyEYQ24tDL")</f>
        <v>https://xhslink.com/m/AyyEYQ24tDL</v>
      </c>
      <c r="D3842"/>
      <c r="E3842">
        <v>13000</v>
      </c>
      <c r="F3842">
        <v>34</v>
      </c>
      <c r="G3842">
        <v>28.9</v>
      </c>
      <c r="H3842">
        <v>100</v>
      </c>
      <c r="I3842" t="inlineStr">
        <is>
          <t>挂件</t>
        </is>
      </c>
      <c r="J3842" t="inlineStr">
        <is>
          <t>0.01</t>
        </is>
      </c>
      <c r="K3842" t="inlineStr">
        <is>
          <t>🔥低粉爆款</t>
        </is>
      </c>
      <c r="L3842" t="inlineStr">
        <is>
          <t>绒毛小友的店</t>
        </is>
      </c>
      <c r="M3842">
        <v>2270</v>
      </c>
      <c r="N3842">
        <v>4.52</v>
      </c>
      <c r="O3842">
        <v>14000</v>
      </c>
      <c r="P3842" t="inlineStr">
        <is>
          <t>68ccaa34c278030001db1542</t>
        </is>
      </c>
      <c r="Q3842" t="inlineStr">
        <is>
          <t>🚫重复</t>
        </is>
      </c>
      <c r="R3842" t="inlineStr">
        <is>
          <t>15周</t>
        </is>
      </c>
      <c r="S3842" t="inlineStr">
        <is>
          <t>5.73</t>
        </is>
      </c>
      <c r="T3842" t="inlineStr">
        <is>
          <t>母婴亲子</t>
        </is>
      </c>
      <c r="U3842" t="inlineStr">
        <is>
          <t>玩具早教</t>
        </is>
      </c>
      <c r="V3842" s="3">
        <v>46118.97659722222</v>
      </c>
      <c r="W3842" t="inlineStr">
        <is>
          <t>2026-Q2</t>
        </is>
      </c>
    </row>
    <row r="3843" ht="25.5" customHeight="1">
      <c r="A3843" t="inlineStr">
        <is>
          <t>宇宙商店x音符布丁 联名系列挂件毛绒玩偶上班搭子可爱治愈系玩具</t>
        </is>
      </c>
      <c r="B3843" t="inlineStr">
        <is>
          <t>recvg1BDH5Fank.jpg</t>
        </is>
      </c>
      <c r="C3843" s="2" t="str">
        <f>=HYPERLINK("https://xhslink.com/m/8lyRpGVwk8i", "https://xhslink.com/m/8lyRpGVwk8i")</f>
        <v>https://xhslink.com/m/8lyRpGVwk8i</v>
      </c>
      <c r="D3843"/>
      <c r="E3843">
        <v>2115</v>
      </c>
      <c r="F3843">
        <v>68</v>
      </c>
      <c r="G3843"/>
      <c r="H3843">
        <v>100</v>
      </c>
      <c r="I3843" t="inlineStr">
        <is>
          <t>挂件</t>
        </is>
      </c>
      <c r="J3843" t="inlineStr">
        <is>
          <t>0.05</t>
        </is>
      </c>
      <c r="K3843"/>
      <c r="L3843" t="inlineStr">
        <is>
          <t>宇宙商店Uchuuu Store的店</t>
        </is>
      </c>
      <c r="M3843">
        <v>110000</v>
      </c>
      <c r="N3843">
        <v>4.62</v>
      </c>
      <c r="O3843">
        <v>89000</v>
      </c>
      <c r="P3843" t="inlineStr">
        <is>
          <t>69198a35611c010001e5d663</t>
        </is>
      </c>
      <c r="Q3843" t="inlineStr">
        <is>
          <t>🚫重复</t>
        </is>
      </c>
      <c r="R3843" t="inlineStr">
        <is>
          <t>15周</t>
        </is>
      </c>
      <c r="S3843" t="inlineStr">
        <is>
          <t>0.02</t>
        </is>
      </c>
      <c r="T3843" t="inlineStr">
        <is>
          <t>母婴亲子</t>
        </is>
      </c>
      <c r="U3843" t="inlineStr">
        <is>
          <t>玩具早教</t>
        </is>
      </c>
      <c r="V3843" s="3">
        <v>46118.97659722222</v>
      </c>
      <c r="W3843" t="inlineStr">
        <is>
          <t>2026-Q2</t>
        </is>
      </c>
    </row>
    <row r="3844" ht="25.5" customHeight="1">
      <c r="A3844" t="inlineStr">
        <is>
          <t>正版治愈系西高地玩偶睡觉抱毛绒玩具送女生闺蜜新年生日礼物</t>
        </is>
      </c>
      <c r="B3844" t="inlineStr">
        <is>
          <t>recvg1BDH5VbVK.jpg</t>
        </is>
      </c>
      <c r="C3844" s="2" t="str">
        <f>=HYPERLINK("https://xhslink.com/m/53KCAgZWxvG", "https://xhslink.com/m/53KCAgZWxvG")</f>
        <v>https://xhslink.com/m/53KCAgZWxvG</v>
      </c>
      <c r="D3844"/>
      <c r="E3844">
        <v>1548</v>
      </c>
      <c r="F3844">
        <v>25.8</v>
      </c>
      <c r="G3844"/>
      <c r="H3844">
        <v>100</v>
      </c>
      <c r="I3844" t="inlineStr">
        <is>
          <t>挂件</t>
        </is>
      </c>
      <c r="J3844" t="inlineStr">
        <is>
          <t>0.06</t>
        </is>
      </c>
      <c r="K3844" t="inlineStr">
        <is>
          <t>🔥低粉爆款</t>
        </is>
      </c>
      <c r="L3844" t="inlineStr">
        <is>
          <t>DenbyDen的玩偶屋（每周上新版）的店</t>
        </is>
      </c>
      <c r="M3844">
        <v>432</v>
      </c>
      <c r="N3844">
        <v>4.61</v>
      </c>
      <c r="O3844">
        <v>1650</v>
      </c>
      <c r="P3844" t="inlineStr">
        <is>
          <t>69a536d96b5a830001d0c78c</t>
        </is>
      </c>
      <c r="Q3844" t="inlineStr">
        <is>
          <t>🚫重复</t>
        </is>
      </c>
      <c r="R3844" t="inlineStr">
        <is>
          <t>15周</t>
        </is>
      </c>
      <c r="S3844" t="inlineStr">
        <is>
          <t>3.58</t>
        </is>
      </c>
      <c r="T3844" t="inlineStr">
        <is>
          <t>母婴亲子</t>
        </is>
      </c>
      <c r="U3844" t="inlineStr">
        <is>
          <t>玩具早教</t>
        </is>
      </c>
      <c r="V3844" s="3">
        <v>46118.97659722222</v>
      </c>
      <c r="W3844" t="inlineStr">
        <is>
          <t>2026-Q2</t>
        </is>
      </c>
    </row>
    <row r="3845" ht="25.5" customHeight="1">
      <c r="A3845" t="inlineStr">
        <is>
          <t>固然堂GuRanTang · 李若彤推荐【拍1发15】多肽角蛋白还原霜修护护发素发膜</t>
        </is>
      </c>
      <c r="B3845" t="inlineStr">
        <is>
          <t>recvg1BDH56PLT.jpg</t>
        </is>
      </c>
      <c r="C3845" s="2" t="str">
        <f>=HYPERLINK("https://xhslink.com/m/8ghJJu610Cz", "https://xhslink.com/m/8ghJJu610Cz")</f>
        <v>https://xhslink.com/m/8ghJJu610Cz</v>
      </c>
      <c r="D3845"/>
      <c r="E3845">
        <v>103000</v>
      </c>
      <c r="F3845">
        <v>139.9</v>
      </c>
      <c r="G3845">
        <v>89.9</v>
      </c>
      <c r="H3845">
        <v>100</v>
      </c>
      <c r="I3845" t="inlineStr">
        <is>
          <t>护发素</t>
        </is>
      </c>
      <c r="J3845" t="inlineStr">
        <is>
          <t>0.00</t>
        </is>
      </c>
      <c r="K3845"/>
      <c r="L3845" t="inlineStr">
        <is>
          <t>GuRanTang固然堂旗舰店</t>
        </is>
      </c>
      <c r="M3845">
        <v>36000</v>
      </c>
      <c r="N3845">
        <v>4.57</v>
      </c>
      <c r="O3845">
        <v>190000</v>
      </c>
      <c r="P3845" t="inlineStr">
        <is>
          <t>666c187dcd6d140001777ec4</t>
        </is>
      </c>
      <c r="Q3845"/>
      <c r="R3845" t="inlineStr">
        <is>
          <t>15周</t>
        </is>
      </c>
      <c r="S3845" t="inlineStr">
        <is>
          <t>2.86</t>
        </is>
      </c>
      <c r="T3845" t="inlineStr">
        <is>
          <t>美妆个护</t>
        </is>
      </c>
      <c r="U3845" t="inlineStr">
        <is>
          <t>个人护理</t>
        </is>
      </c>
      <c r="V3845" s="3">
        <v>46118.97659722222</v>
      </c>
      <c r="W3845" t="inlineStr">
        <is>
          <t>2026-Q2</t>
        </is>
      </c>
    </row>
    <row r="3846" ht="25.5" customHeight="1">
      <c r="A3846" t="inlineStr">
        <is>
          <t>Summer sea · 海风里青少年洗发露清爽蓬松去屑控油男女280ml</t>
        </is>
      </c>
      <c r="B3846" t="inlineStr">
        <is>
          <t>recvg1BDH52bEr.jpg</t>
        </is>
      </c>
      <c r="C3846" s="2" t="str">
        <f>=HYPERLINK("https://xhslink.com/m/AUiG8YTbMXu", "https://xhslink.com/m/AUiG8YTbMXu")</f>
        <v>https://xhslink.com/m/AUiG8YTbMXu</v>
      </c>
      <c r="D3846"/>
      <c r="E3846">
        <v>114000</v>
      </c>
      <c r="F3846">
        <v>178</v>
      </c>
      <c r="G3846">
        <v>153</v>
      </c>
      <c r="H3846">
        <v>100</v>
      </c>
      <c r="I3846" t="inlineStr">
        <is>
          <t>护发素</t>
        </is>
      </c>
      <c r="J3846" t="inlineStr">
        <is>
          <t>0.00</t>
        </is>
      </c>
      <c r="K3846" t="inlineStr">
        <is>
          <t>🔥低粉爆款</t>
        </is>
      </c>
      <c r="L3846" t="inlineStr">
        <is>
          <t>Summer sea旗舰店</t>
        </is>
      </c>
      <c r="M3846">
        <v>21000</v>
      </c>
      <c r="N3846">
        <v>4.7</v>
      </c>
      <c r="O3846">
        <v>174000</v>
      </c>
      <c r="P3846" t="inlineStr">
        <is>
          <t>68d6b52d17d80800012bf7dd</t>
        </is>
      </c>
      <c r="Q3846" t="inlineStr">
        <is>
          <t>🚫重复</t>
        </is>
      </c>
      <c r="R3846" t="inlineStr">
        <is>
          <t>15周</t>
        </is>
      </c>
      <c r="S3846" t="inlineStr">
        <is>
          <t>5.43</t>
        </is>
      </c>
      <c r="T3846" t="inlineStr">
        <is>
          <t>美妆个护</t>
        </is>
      </c>
      <c r="U3846" t="inlineStr">
        <is>
          <t>个人护理</t>
        </is>
      </c>
      <c r="V3846" s="3">
        <v>46118.97659722222</v>
      </c>
      <c r="W3846" t="inlineStr">
        <is>
          <t>2026-Q2</t>
        </is>
      </c>
    </row>
    <row r="3847" ht="25.5" customHeight="1">
      <c r="A3847" t="inlineStr">
        <is>
          <t>【新店5折】中药侧柏叶洗发水养发护发蓬松当归生姜何首乌洗发水</t>
        </is>
      </c>
      <c r="B3847" t="inlineStr">
        <is>
          <t>recvg1BDH5jwvB.jpg</t>
        </is>
      </c>
      <c r="C3847" s="2" t="str">
        <f>=HYPERLINK("https://xhslink.com/m/8kqLIhqsPI0", "https://xhslink.com/m/8kqLIhqsPI0")</f>
        <v>https://xhslink.com/m/8kqLIhqsPI0</v>
      </c>
      <c r="D3847"/>
      <c r="E3847">
        <v>69000</v>
      </c>
      <c r="F3847">
        <v>127.6</v>
      </c>
      <c r="G3847">
        <v>63.8</v>
      </c>
      <c r="H3847">
        <v>100</v>
      </c>
      <c r="I3847" t="inlineStr">
        <is>
          <t>护发素</t>
        </is>
      </c>
      <c r="J3847" t="inlineStr">
        <is>
          <t>0.00</t>
        </is>
      </c>
      <c r="K3847" t="inlineStr">
        <is>
          <t>🔥低粉爆款</t>
        </is>
      </c>
      <c r="L3847" t="inlineStr">
        <is>
          <t>陈甸甸.的店</t>
        </is>
      </c>
      <c r="M3847">
        <v>1028</v>
      </c>
      <c r="N3847">
        <v>4.81</v>
      </c>
      <c r="O3847">
        <v>74000</v>
      </c>
      <c r="P3847" t="inlineStr">
        <is>
          <t>68d5705153446d000197a2a7</t>
        </is>
      </c>
      <c r="Q3847" t="inlineStr">
        <is>
          <t>🚫重复</t>
        </is>
      </c>
      <c r="R3847" t="inlineStr">
        <is>
          <t>15周</t>
        </is>
      </c>
      <c r="S3847" t="inlineStr">
        <is>
          <t>67.12</t>
        </is>
      </c>
      <c r="T3847" t="inlineStr">
        <is>
          <t>美妆个护</t>
        </is>
      </c>
      <c r="U3847" t="inlineStr">
        <is>
          <t>个人护理</t>
        </is>
      </c>
      <c r="V3847" s="3">
        <v>46118.97659722222</v>
      </c>
      <c r="W3847" t="inlineStr">
        <is>
          <t>2026-Q2</t>
        </is>
      </c>
    </row>
    <row r="3848" ht="25.5" customHeight="1">
      <c r="A3848" t="inlineStr">
        <is>
          <t>小猪当康手作 · 植萃洗发水·氨基酸版·25味植物洗发水·侧柏叶本草洗发水控油蓬松</t>
        </is>
      </c>
      <c r="B3848" t="inlineStr">
        <is>
          <t>recvg1BDH54MQi.jpg</t>
        </is>
      </c>
      <c r="C3848" s="2" t="str">
        <f>=HYPERLINK("https://xhslink.com/m/19gYYuDfsQZ", "https://xhslink.com/m/19gYYuDfsQZ")</f>
        <v>https://xhslink.com/m/19gYYuDfsQZ</v>
      </c>
      <c r="D3848"/>
      <c r="E3848">
        <v>53000</v>
      </c>
      <c r="F3848">
        <v>79</v>
      </c>
      <c r="G3848">
        <v>71.1</v>
      </c>
      <c r="H3848">
        <v>100</v>
      </c>
      <c r="I3848" t="inlineStr">
        <is>
          <t>洗发水</t>
        </is>
      </c>
      <c r="J3848" t="inlineStr">
        <is>
          <t>0.00</t>
        </is>
      </c>
      <c r="K3848"/>
      <c r="L3848" t="inlineStr">
        <is>
          <t>小猪当康的店</t>
        </is>
      </c>
      <c r="M3848">
        <v>19000</v>
      </c>
      <c r="N3848">
        <v>4.78</v>
      </c>
      <c r="O3848">
        <v>105000</v>
      </c>
      <c r="P3848" t="inlineStr">
        <is>
          <t>6696c4833526720001241d95</t>
        </is>
      </c>
      <c r="Q3848"/>
      <c r="R3848" t="inlineStr">
        <is>
          <t>15周</t>
        </is>
      </c>
      <c r="S3848" t="inlineStr">
        <is>
          <t>2.79</t>
        </is>
      </c>
      <c r="T3848" t="inlineStr">
        <is>
          <t>美妆个护</t>
        </is>
      </c>
      <c r="U3848" t="inlineStr">
        <is>
          <t>个人护理</t>
        </is>
      </c>
      <c r="V3848" s="3">
        <v>46118.97659722222</v>
      </c>
      <c r="W3848" t="inlineStr">
        <is>
          <t>2026-Q2</t>
        </is>
      </c>
    </row>
    <row r="3849" ht="25.5" customHeight="1">
      <c r="A3849" t="inlineStr">
        <is>
          <t>Summer sea · 海风里青少年洗发露清爽蓬松去屑控油男女280ml</t>
        </is>
      </c>
      <c r="B3849" t="inlineStr">
        <is>
          <t>recvg1BDH5srSw.jpg</t>
        </is>
      </c>
      <c r="C3849" s="2" t="str">
        <f>=HYPERLINK("https://xhslink.com/m/8EsFxLvOiKU", "https://xhslink.com/m/8EsFxLvOiKU")</f>
        <v>https://xhslink.com/m/8EsFxLvOiKU</v>
      </c>
      <c r="D3849"/>
      <c r="E3849">
        <v>114000</v>
      </c>
      <c r="F3849">
        <v>89</v>
      </c>
      <c r="G3849">
        <v>68.32</v>
      </c>
      <c r="H3849">
        <v>100</v>
      </c>
      <c r="I3849" t="inlineStr">
        <is>
          <t>洗发水</t>
        </is>
      </c>
      <c r="J3849" t="inlineStr">
        <is>
          <t>0.00</t>
        </is>
      </c>
      <c r="K3849" t="inlineStr">
        <is>
          <t>🔥低粉爆款</t>
        </is>
      </c>
      <c r="L3849" t="inlineStr">
        <is>
          <t>Summer sea旗舰店</t>
        </is>
      </c>
      <c r="M3849">
        <v>21000</v>
      </c>
      <c r="N3849">
        <v>4.7</v>
      </c>
      <c r="O3849">
        <v>174000</v>
      </c>
      <c r="P3849" t="inlineStr">
        <is>
          <t>64e18b7a4b70db0001f24060</t>
        </is>
      </c>
      <c r="Q3849" t="inlineStr">
        <is>
          <t>🚫重复</t>
        </is>
      </c>
      <c r="R3849" t="inlineStr">
        <is>
          <t>15周</t>
        </is>
      </c>
      <c r="S3849" t="inlineStr">
        <is>
          <t>5.43</t>
        </is>
      </c>
      <c r="T3849" t="inlineStr">
        <is>
          <t>美妆个护</t>
        </is>
      </c>
      <c r="U3849" t="inlineStr">
        <is>
          <t>个人护理</t>
        </is>
      </c>
      <c r="V3849" s="3">
        <v>46118.97659722222</v>
      </c>
      <c r="W3849" t="inlineStr">
        <is>
          <t>2026-Q2</t>
        </is>
      </c>
    </row>
    <row r="3850" ht="25.5" customHeight="1">
      <c r="A3850" t="inlineStr">
        <is>
          <t>【新店5折】中药侧柏叶洗发水养发护发蓬松当归生姜何首乌洗发水</t>
        </is>
      </c>
      <c r="B3850" t="inlineStr">
        <is>
          <t>recvg1BDH5kQBK.jpg</t>
        </is>
      </c>
      <c r="C3850" s="2" t="str">
        <f>=HYPERLINK("https://xhslink.com/m/5v9pTXpYhP8", "https://xhslink.com/m/5v9pTXpYhP8")</f>
        <v>https://xhslink.com/m/5v9pTXpYhP8</v>
      </c>
      <c r="D3850"/>
      <c r="E3850">
        <v>69000</v>
      </c>
      <c r="F3850">
        <v>48.8</v>
      </c>
      <c r="G3850">
        <v>23.9</v>
      </c>
      <c r="H3850">
        <v>100</v>
      </c>
      <c r="I3850" t="inlineStr">
        <is>
          <t>洗发水</t>
        </is>
      </c>
      <c r="J3850" t="inlineStr">
        <is>
          <t>0.00</t>
        </is>
      </c>
      <c r="K3850" t="inlineStr">
        <is>
          <t>🔥低粉爆款</t>
        </is>
      </c>
      <c r="L3850" t="inlineStr">
        <is>
          <t>陈甸甸.的店</t>
        </is>
      </c>
      <c r="M3850">
        <v>1028</v>
      </c>
      <c r="N3850">
        <v>4.81</v>
      </c>
      <c r="O3850">
        <v>74000</v>
      </c>
      <c r="P3850" t="inlineStr">
        <is>
          <t>68d5705153446d000197a2a4</t>
        </is>
      </c>
      <c r="Q3850" t="inlineStr">
        <is>
          <t>🚫重复</t>
        </is>
      </c>
      <c r="R3850" t="inlineStr">
        <is>
          <t>15周</t>
        </is>
      </c>
      <c r="S3850" t="inlineStr">
        <is>
          <t>67.12</t>
        </is>
      </c>
      <c r="T3850" t="inlineStr">
        <is>
          <t>美妆个护</t>
        </is>
      </c>
      <c r="U3850" t="inlineStr">
        <is>
          <t>个人护理</t>
        </is>
      </c>
      <c r="V3850" s="3">
        <v>46118.97659722222</v>
      </c>
      <c r="W3850" t="inlineStr">
        <is>
          <t>2026-Q2</t>
        </is>
      </c>
    </row>
    <row r="3851" ht="25.5" customHeight="1">
      <c r="A3851" t="inlineStr">
        <is>
          <t>璐米 · 【无月桂醇无硅油】氨基酸洗发水控油蓬松柔顺男女士无硅油洗发液</t>
        </is>
      </c>
      <c r="B3851" t="inlineStr">
        <is>
          <t>recvg1BDH5ElJr.jpg</t>
        </is>
      </c>
      <c r="C3851" s="2" t="str">
        <f>=HYPERLINK("https://xhslink.com/m/8g9C6YMDJoM", "https://xhslink.com/m/8g9C6YMDJoM")</f>
        <v>https://xhslink.com/m/8g9C6YMDJoM</v>
      </c>
      <c r="D3851"/>
      <c r="E3851">
        <v>187000</v>
      </c>
      <c r="F3851">
        <v>89</v>
      </c>
      <c r="G3851">
        <v>39.9</v>
      </c>
      <c r="H3851">
        <v>100</v>
      </c>
      <c r="I3851" t="inlineStr">
        <is>
          <t>洗发水</t>
        </is>
      </c>
      <c r="J3851" t="inlineStr">
        <is>
          <t>0.00</t>
        </is>
      </c>
      <c r="K3851"/>
      <c r="L3851" t="inlineStr">
        <is>
          <t>璐米旗舰店</t>
        </is>
      </c>
      <c r="M3851">
        <v>67000</v>
      </c>
      <c r="N3851">
        <v>4.53</v>
      </c>
      <c r="O3851">
        <v>385000</v>
      </c>
      <c r="P3851" t="inlineStr">
        <is>
          <t>66fa060594a44c0001056bb3</t>
        </is>
      </c>
      <c r="Q3851" t="inlineStr">
        <is>
          <t>🚫重复</t>
        </is>
      </c>
      <c r="R3851" t="inlineStr">
        <is>
          <t>15周</t>
        </is>
      </c>
      <c r="S3851" t="inlineStr">
        <is>
          <t>2.79</t>
        </is>
      </c>
      <c r="T3851" t="inlineStr">
        <is>
          <t>美妆个护</t>
        </is>
      </c>
      <c r="U3851" t="inlineStr">
        <is>
          <t>个人护理</t>
        </is>
      </c>
      <c r="V3851" s="3">
        <v>46118.97659722222</v>
      </c>
      <c r="W3851" t="inlineStr">
        <is>
          <t>2026-Q2</t>
        </is>
      </c>
    </row>
    <row r="3852" ht="25.5" customHeight="1">
      <c r="A3852" t="inlineStr">
        <is>
          <t>白云山 · 洗发水【 到手2瓶+旅行装4袋】二硫化硒去屑清爽家庭装控油蓬松</t>
        </is>
      </c>
      <c r="B3852" t="inlineStr">
        <is>
          <t>recvg1BDH5mk4I.jpg</t>
        </is>
      </c>
      <c r="C3852" s="2" t="str">
        <f>=HYPERLINK("https://xhslink.com/m/4h4M9Baahr7", "https://xhslink.com/m/4h4M9Baahr7")</f>
        <v>https://xhslink.com/m/4h4M9Baahr7</v>
      </c>
      <c r="D3852"/>
      <c r="E3852">
        <v>39000</v>
      </c>
      <c r="F3852">
        <v>59.9</v>
      </c>
      <c r="G3852"/>
      <c r="H3852">
        <v>100</v>
      </c>
      <c r="I3852" t="inlineStr">
        <is>
          <t>洗发水</t>
        </is>
      </c>
      <c r="J3852" t="inlineStr">
        <is>
          <t>0.00</t>
        </is>
      </c>
      <c r="K3852"/>
      <c r="L3852" t="inlineStr">
        <is>
          <t>白云山个护旗舰店</t>
        </is>
      </c>
      <c r="M3852">
        <v>17000</v>
      </c>
      <c r="N3852">
        <v>4.26</v>
      </c>
      <c r="O3852">
        <v>39000</v>
      </c>
      <c r="P3852" t="inlineStr">
        <is>
          <t>6631f771b96ee1000197f657</t>
        </is>
      </c>
      <c r="Q3852"/>
      <c r="R3852" t="inlineStr">
        <is>
          <t>15周</t>
        </is>
      </c>
      <c r="S3852" t="inlineStr">
        <is>
          <t>2.29</t>
        </is>
      </c>
      <c r="T3852" t="inlineStr">
        <is>
          <t>美妆个护</t>
        </is>
      </c>
      <c r="U3852" t="inlineStr">
        <is>
          <t>个人护理</t>
        </is>
      </c>
      <c r="V3852" s="3">
        <v>46118.97659722222</v>
      </c>
      <c r="W3852" t="inlineStr">
        <is>
          <t>2026-Q2</t>
        </is>
      </c>
    </row>
    <row r="3853" ht="25.5" customHeight="1">
      <c r="A3853" t="inlineStr">
        <is>
          <t>维特丝 · 洗发水控油蓬松推荐留香持久去屑止痒男女洗头膏洗发露官方旗舰店</t>
        </is>
      </c>
      <c r="B3853" t="inlineStr">
        <is>
          <t>recvg1BDH52sqd.jpg</t>
        </is>
      </c>
      <c r="C3853" s="2" t="str">
        <f>=HYPERLINK("https://xhslink.com/m/9rjeokpdUqi", "https://xhslink.com/m/9rjeokpdUqi")</f>
        <v>https://xhslink.com/m/9rjeokpdUqi</v>
      </c>
      <c r="D3853"/>
      <c r="E3853">
        <v>41000</v>
      </c>
      <c r="F3853">
        <v>69</v>
      </c>
      <c r="G3853">
        <v>59</v>
      </c>
      <c r="H3853">
        <v>100</v>
      </c>
      <c r="I3853" t="inlineStr">
        <is>
          <t>洗发水</t>
        </is>
      </c>
      <c r="J3853" t="inlineStr">
        <is>
          <t>0.00</t>
        </is>
      </c>
      <c r="K3853"/>
      <c r="L3853" t="inlineStr">
        <is>
          <t>维特丝旗舰店</t>
        </is>
      </c>
      <c r="M3853">
        <v>29000</v>
      </c>
      <c r="N3853">
        <v>4.53</v>
      </c>
      <c r="O3853">
        <v>197000</v>
      </c>
      <c r="P3853" t="inlineStr">
        <is>
          <t>673c3bf66602d700018e89fd</t>
        </is>
      </c>
      <c r="Q3853" t="inlineStr">
        <is>
          <t>🚫重复</t>
        </is>
      </c>
      <c r="R3853" t="inlineStr">
        <is>
          <t>15周</t>
        </is>
      </c>
      <c r="S3853" t="inlineStr">
        <is>
          <t>1.41</t>
        </is>
      </c>
      <c r="T3853" t="inlineStr">
        <is>
          <t>美妆个护</t>
        </is>
      </c>
      <c r="U3853" t="inlineStr">
        <is>
          <t>个人护理</t>
        </is>
      </c>
      <c r="V3853" s="3">
        <v>46118.97659722222</v>
      </c>
      <c r="W3853" t="inlineStr">
        <is>
          <t>2026-Q2</t>
        </is>
      </c>
    </row>
    <row r="3854" ht="25.5" customHeight="1">
      <c r="A3854" t="inlineStr">
        <is>
          <t>OTHER·仿剑麻地毯日式客厅茶几地毯飘窗毯拍照猫抓毯门口大面积毯</t>
        </is>
      </c>
      <c r="B3854" t="inlineStr">
        <is>
          <t>recvg1BDH5oof1.jpg</t>
        </is>
      </c>
      <c r="C3854" s="2" t="str">
        <f>=HYPERLINK("https://xhslink.com/m/3XeeVDHF8J9", "https://xhslink.com/m/3XeeVDHF8J9")</f>
        <v>https://xhslink.com/m/3XeeVDHF8J9</v>
      </c>
      <c r="D3854"/>
      <c r="E3854">
        <v>2912</v>
      </c>
      <c r="F3854">
        <v>140</v>
      </c>
      <c r="G3854">
        <v>105</v>
      </c>
      <c r="H3854">
        <v>100</v>
      </c>
      <c r="I3854" t="inlineStr">
        <is>
          <t>地毯</t>
        </is>
      </c>
      <c r="J3854" t="inlineStr">
        <is>
          <t>0.03</t>
        </is>
      </c>
      <c r="K3854" t="inlineStr">
        <is>
          <t>🔥低粉爆款</t>
        </is>
      </c>
      <c r="L3854" t="inlineStr">
        <is>
          <t>小狮子地毯的店</t>
        </is>
      </c>
      <c r="M3854">
        <v>668</v>
      </c>
      <c r="N3854">
        <v>4.49</v>
      </c>
      <c r="O3854">
        <v>20000</v>
      </c>
      <c r="P3854" t="inlineStr">
        <is>
          <t>68241ebb11665d00019d4ace</t>
        </is>
      </c>
      <c r="Q3854" t="inlineStr">
        <is>
          <t>🚫重复</t>
        </is>
      </c>
      <c r="R3854" t="inlineStr">
        <is>
          <t>15周</t>
        </is>
      </c>
      <c r="S3854" t="inlineStr">
        <is>
          <t>4.36</t>
        </is>
      </c>
      <c r="T3854" t="inlineStr">
        <is>
          <t>家居生活</t>
        </is>
      </c>
      <c r="U3854" t="inlineStr">
        <is>
          <t>家居日用</t>
        </is>
      </c>
      <c r="V3854" s="3">
        <v>46118.97659722222</v>
      </c>
      <c r="W3854" t="inlineStr">
        <is>
          <t>2026-Q2</t>
        </is>
      </c>
    </row>
    <row r="3855" ht="25.5" customHeight="1">
      <c r="A3855" t="inlineStr">
        <is>
          <t>七七家 · 浴室地垫卫生间吸水垫厕所门口防滑垫子脚垫洗手间进门垫速干地毯</t>
        </is>
      </c>
      <c r="B3855" t="inlineStr">
        <is>
          <t>recvg1BDH58Fgh.jpg</t>
        </is>
      </c>
      <c r="C3855" s="2" t="str">
        <f>=HYPERLINK("https://xhslink.com/m/9ROy0Zrchv0", "https://xhslink.com/m/9ROy0Zrchv0")</f>
        <v>https://xhslink.com/m/9ROy0Zrchv0</v>
      </c>
      <c r="D3855"/>
      <c r="E3855">
        <v>16000</v>
      </c>
      <c r="F3855">
        <v>27.05</v>
      </c>
      <c r="G3855">
        <v>26.05</v>
      </c>
      <c r="H3855">
        <v>100</v>
      </c>
      <c r="I3855" t="inlineStr">
        <is>
          <t>浴室用品</t>
        </is>
      </c>
      <c r="J3855" t="inlineStr">
        <is>
          <t>0.01</t>
        </is>
      </c>
      <c r="K3855" t="inlineStr">
        <is>
          <t>🔥低粉爆款</t>
        </is>
      </c>
      <c r="L3855" t="inlineStr">
        <is>
          <t>七七家旗舰店</t>
        </is>
      </c>
      <c r="M3855">
        <v>3969</v>
      </c>
      <c r="N3855">
        <v>4.47</v>
      </c>
      <c r="O3855">
        <v>29000</v>
      </c>
      <c r="P3855" t="inlineStr">
        <is>
          <t>66b2e549b263710001190578</t>
        </is>
      </c>
      <c r="Q3855" t="inlineStr">
        <is>
          <t>🚫重复</t>
        </is>
      </c>
      <c r="R3855" t="inlineStr">
        <is>
          <t>15周</t>
        </is>
      </c>
      <c r="S3855" t="inlineStr">
        <is>
          <t>4.03</t>
        </is>
      </c>
      <c r="T3855" t="inlineStr">
        <is>
          <t>家居生活</t>
        </is>
      </c>
      <c r="U3855" t="inlineStr">
        <is>
          <t>家居日用</t>
        </is>
      </c>
      <c r="V3855" s="3">
        <v>46118.97659722222</v>
      </c>
      <c r="W3855" t="inlineStr">
        <is>
          <t>2026-Q2</t>
        </is>
      </c>
    </row>
    <row r="3856" ht="25.5" customHeight="1">
      <c r="A3856" t="inlineStr">
        <is>
          <t>泡芙小狗新款五分袖短裤圆领泡泡棉睡衣女春夏季可爱家居服套装</t>
        </is>
      </c>
      <c r="B3856" t="inlineStr">
        <is>
          <t>recvg1BDH5xab0.jpg</t>
        </is>
      </c>
      <c r="C3856" s="2" t="str">
        <f>=HYPERLINK("https://xhslink.com/m/4ASzVmSSOBQ", "https://xhslink.com/m/4ASzVmSSOBQ")</f>
        <v>https://xhslink.com/m/4ASzVmSSOBQ</v>
      </c>
      <c r="D3856"/>
      <c r="E3856">
        <v>57000</v>
      </c>
      <c r="F3856">
        <v>73.9</v>
      </c>
      <c r="G3856">
        <v>43.9</v>
      </c>
      <c r="H3856">
        <v>100</v>
      </c>
      <c r="I3856" t="inlineStr">
        <is>
          <t>浴室用品</t>
        </is>
      </c>
      <c r="J3856" t="inlineStr">
        <is>
          <t>0.00</t>
        </is>
      </c>
      <c r="K3856" t="inlineStr">
        <is>
          <t>🔥低粉爆款</t>
        </is>
      </c>
      <c r="L3856" t="inlineStr">
        <is>
          <t>圆圆也的店</t>
        </is>
      </c>
      <c r="M3856">
        <v>10000</v>
      </c>
      <c r="N3856">
        <v>4.19</v>
      </c>
      <c r="O3856">
        <v>175000</v>
      </c>
      <c r="P3856" t="inlineStr">
        <is>
          <t>6817ab5c9d91940001f58e19</t>
        </is>
      </c>
      <c r="Q3856" t="inlineStr">
        <is>
          <t>🚫重复</t>
        </is>
      </c>
      <c r="R3856" t="inlineStr">
        <is>
          <t>15周</t>
        </is>
      </c>
      <c r="S3856" t="inlineStr">
        <is>
          <t>5.70</t>
        </is>
      </c>
      <c r="T3856" t="inlineStr">
        <is>
          <t>服饰穿搭</t>
        </is>
      </c>
      <c r="U3856" t="inlineStr">
        <is>
          <t>女装</t>
        </is>
      </c>
      <c r="V3856" s="3">
        <v>46118.97659722222</v>
      </c>
      <c r="W3856" t="inlineStr">
        <is>
          <t>2026-Q2</t>
        </is>
      </c>
    </row>
    <row r="3857" ht="25.5" customHeight="1">
      <c r="A3857" t="inlineStr">
        <is>
          <t>御仕家 · 浴室置物架卫生间免打孔壁挂式墙上厕所洗手间洗漱台收纳架</t>
        </is>
      </c>
      <c r="B3857" t="inlineStr">
        <is>
          <t>recvg1BDH5rDn6.jpg</t>
        </is>
      </c>
      <c r="C3857" s="2" t="str">
        <f>=HYPERLINK("https://xhslink.com/m/19su7fW2kIK", "https://xhslink.com/m/19su7fW2kIK")</f>
        <v>https://xhslink.com/m/19su7fW2kIK</v>
      </c>
      <c r="D3857"/>
      <c r="E3857">
        <v>14000</v>
      </c>
      <c r="F3857">
        <v>59.9</v>
      </c>
      <c r="G3857">
        <v>53.91</v>
      </c>
      <c r="H3857">
        <v>100</v>
      </c>
      <c r="I3857" t="inlineStr">
        <is>
          <t>浴室用品</t>
        </is>
      </c>
      <c r="J3857" t="inlineStr">
        <is>
          <t>0.01</t>
        </is>
      </c>
      <c r="K3857"/>
      <c r="L3857" t="inlineStr">
        <is>
          <t>御仕家旗舰店</t>
        </is>
      </c>
      <c r="M3857">
        <v>103000</v>
      </c>
      <c r="N3857">
        <v>4.59</v>
      </c>
      <c r="O3857">
        <v>87000</v>
      </c>
      <c r="P3857" t="inlineStr">
        <is>
          <t>6777b5818e930600156d35dc</t>
        </is>
      </c>
      <c r="Q3857"/>
      <c r="R3857" t="inlineStr">
        <is>
          <t>15周</t>
        </is>
      </c>
      <c r="S3857" t="inlineStr">
        <is>
          <t>0.14</t>
        </is>
      </c>
      <c r="T3857" t="inlineStr">
        <is>
          <t>家居生活</t>
        </is>
      </c>
      <c r="U3857" t="inlineStr">
        <is>
          <t>家居日用</t>
        </is>
      </c>
      <c r="V3857" s="3">
        <v>46118.97659722222</v>
      </c>
      <c r="W3857" t="inlineStr">
        <is>
          <t>2026-Q2</t>
        </is>
      </c>
    </row>
    <row r="3858" ht="25.5" customHeight="1">
      <c r="A3858" t="inlineStr">
        <is>
          <t>中古风吸盘挂钩浴室免打孔强力承重挂衣钩粘钩无痕毛巾家用挂架</t>
        </is>
      </c>
      <c r="B3858" t="inlineStr">
        <is>
          <t>recvg1BDH5ffCj.jpg</t>
        </is>
      </c>
      <c r="C3858" s="2" t="str">
        <f>=HYPERLINK("https://xhslink.com/m/15xaMaoXlka", "https://xhslink.com/m/15xaMaoXlka")</f>
        <v>https://xhslink.com/m/15xaMaoXlka</v>
      </c>
      <c r="D3858"/>
      <c r="E3858">
        <v>33000</v>
      </c>
      <c r="F3858">
        <v>26.9</v>
      </c>
      <c r="G3858">
        <v>16.9</v>
      </c>
      <c r="H3858">
        <v>100</v>
      </c>
      <c r="I3858" t="inlineStr">
        <is>
          <t>浴室用品</t>
        </is>
      </c>
      <c r="J3858" t="inlineStr">
        <is>
          <t>0.00</t>
        </is>
      </c>
      <c r="K3858" t="inlineStr">
        <is>
          <t>🔥低粉爆款</t>
        </is>
      </c>
      <c r="L3858" t="inlineStr">
        <is>
          <t>妙荷百货的店</t>
        </is>
      </c>
      <c r="M3858">
        <v>1188</v>
      </c>
      <c r="N3858">
        <v>4.55</v>
      </c>
      <c r="O3858">
        <v>33000</v>
      </c>
      <c r="P3858" t="inlineStr">
        <is>
          <t>68568f5202b98c0015686063</t>
        </is>
      </c>
      <c r="Q3858"/>
      <c r="R3858" t="inlineStr">
        <is>
          <t>15周</t>
        </is>
      </c>
      <c r="S3858" t="inlineStr">
        <is>
          <t>27.78</t>
        </is>
      </c>
      <c r="T3858" t="inlineStr">
        <is>
          <t>家居生活</t>
        </is>
      </c>
      <c r="U3858" t="inlineStr">
        <is>
          <t>家居日用</t>
        </is>
      </c>
      <c r="V3858" s="3">
        <v>46118.97659722222</v>
      </c>
      <c r="W3858" t="inlineStr">
        <is>
          <t>2026-Q2</t>
        </is>
      </c>
    </row>
    <row r="3859" ht="25.5" customHeight="1">
      <c r="A3859" t="inlineStr">
        <is>
          <t>Creative art · CA洗澡刷子搓背神器软毛长柄沐浴刷搓泥强力不求人擦后背刷海豚刷</t>
        </is>
      </c>
      <c r="B3859" t="inlineStr">
        <is>
          <t>recvg1BDH5dCDa.jpg</t>
        </is>
      </c>
      <c r="C3859" s="2" t="str">
        <f>=HYPERLINK("https://xhslink.com/m/1x2oC1oVELO", "https://xhslink.com/m/1x2oC1oVELO")</f>
        <v>https://xhslink.com/m/1x2oC1oVELO</v>
      </c>
      <c r="D3859"/>
      <c r="E3859">
        <v>28000</v>
      </c>
      <c r="F3859">
        <v>15.9</v>
      </c>
      <c r="G3859"/>
      <c r="H3859">
        <v>100</v>
      </c>
      <c r="I3859" t="inlineStr">
        <is>
          <t>浴室用品</t>
        </is>
      </c>
      <c r="J3859" t="inlineStr">
        <is>
          <t>0.00</t>
        </is>
      </c>
      <c r="K3859" t="inlineStr">
        <is>
          <t>🔥低粉爆款</t>
        </is>
      </c>
      <c r="L3859" t="inlineStr">
        <is>
          <t>Creative art旗舰店</t>
        </is>
      </c>
      <c r="M3859">
        <v>1019</v>
      </c>
      <c r="N3859">
        <v>4.53</v>
      </c>
      <c r="O3859">
        <v>39000</v>
      </c>
      <c r="P3859" t="inlineStr">
        <is>
          <t>65713d8ae77f850001b4a048</t>
        </is>
      </c>
      <c r="Q3859"/>
      <c r="R3859" t="inlineStr">
        <is>
          <t>15周</t>
        </is>
      </c>
      <c r="S3859" t="inlineStr">
        <is>
          <t>27.48</t>
        </is>
      </c>
      <c r="T3859" t="inlineStr">
        <is>
          <t>家居生活</t>
        </is>
      </c>
      <c r="U3859" t="inlineStr">
        <is>
          <t>家居日用</t>
        </is>
      </c>
      <c r="V3859" s="3">
        <v>46118.97659722222</v>
      </c>
      <c r="W3859" t="inlineStr">
        <is>
          <t>2026-Q2</t>
        </is>
      </c>
    </row>
    <row r="3860" ht="25.5" customHeight="1">
      <c r="A3860" t="inlineStr">
        <is>
          <t>泡脚包儿童足浴包睡前泡脚包</t>
        </is>
      </c>
      <c r="B3860" t="inlineStr">
        <is>
          <t>recvg1BDH5Hq83.jpg</t>
        </is>
      </c>
      <c r="C3860" s="2" t="str">
        <f>=HYPERLINK("https://xhslink.com/m/89GnamDt5Hf", "https://xhslink.com/m/89GnamDt5Hf")</f>
        <v>https://xhslink.com/m/89GnamDt5Hf</v>
      </c>
      <c r="D3860"/>
      <c r="E3860">
        <v>46000</v>
      </c>
      <c r="F3860">
        <v>69.9</v>
      </c>
      <c r="G3860">
        <v>26.9</v>
      </c>
      <c r="H3860">
        <v>100</v>
      </c>
      <c r="I3860" t="inlineStr">
        <is>
          <t>浴室用品</t>
        </is>
      </c>
      <c r="J3860" t="inlineStr">
        <is>
          <t>0.00</t>
        </is>
      </c>
      <c r="K3860" t="inlineStr">
        <is>
          <t>🔥低粉爆款</t>
        </is>
      </c>
      <c r="L3860" t="inlineStr">
        <is>
          <t>甜甜的枫叶的店</t>
        </is>
      </c>
      <c r="M3860">
        <v>382</v>
      </c>
      <c r="N3860">
        <v>4.61</v>
      </c>
      <c r="O3860">
        <v>46000</v>
      </c>
      <c r="P3860" t="inlineStr">
        <is>
          <t>66e01da3aa40dc00015c849e</t>
        </is>
      </c>
      <c r="Q3860"/>
      <c r="R3860" t="inlineStr">
        <is>
          <t>15周</t>
        </is>
      </c>
      <c r="S3860" t="inlineStr">
        <is>
          <t>120.42</t>
        </is>
      </c>
      <c r="T3860" t="inlineStr">
        <is>
          <t>母婴亲子</t>
        </is>
      </c>
      <c r="U3860" t="inlineStr">
        <is>
          <t>童装童鞋</t>
        </is>
      </c>
      <c r="V3860" s="3">
        <v>46118.97659722222</v>
      </c>
      <c r="W3860" t="inlineStr">
        <is>
          <t>2026-Q2</t>
        </is>
      </c>
    </row>
    <row r="3861" ht="25.5" customHeight="1">
      <c r="A3861" t="inlineStr">
        <is>
          <t>良品故事 · 浴室不锈钢置物架免打孔洗手间洗漱洗手台壁挂快拆收纳篮</t>
        </is>
      </c>
      <c r="B3861" t="inlineStr">
        <is>
          <t>recvg1BDH5zPWA.jpg</t>
        </is>
      </c>
      <c r="C3861" s="2" t="str">
        <f>=HYPERLINK("https://xhslink.com/m/65xxff1Pf8P", "https://xhslink.com/m/65xxff1Pf8P")</f>
        <v>https://xhslink.com/m/65xxff1Pf8P</v>
      </c>
      <c r="D3861"/>
      <c r="E3861">
        <v>2931</v>
      </c>
      <c r="F3861">
        <v>119.9</v>
      </c>
      <c r="G3861">
        <v>116.9</v>
      </c>
      <c r="H3861">
        <v>100</v>
      </c>
      <c r="I3861" t="inlineStr">
        <is>
          <t>浴室用品</t>
        </is>
      </c>
      <c r="J3861" t="inlineStr">
        <is>
          <t>0.03</t>
        </is>
      </c>
      <c r="K3861"/>
      <c r="L3861" t="inlineStr">
        <is>
          <t>良品故事旗舰店</t>
        </is>
      </c>
      <c r="M3861">
        <v>13000</v>
      </c>
      <c r="N3861">
        <v>4.39</v>
      </c>
      <c r="O3861">
        <v>10000</v>
      </c>
      <c r="P3861" t="inlineStr">
        <is>
          <t>693f833963db6a0015a98e1c</t>
        </is>
      </c>
      <c r="Q3861" t="inlineStr">
        <is>
          <t>🚫重复</t>
        </is>
      </c>
      <c r="R3861" t="inlineStr">
        <is>
          <t>15周</t>
        </is>
      </c>
      <c r="S3861" t="inlineStr">
        <is>
          <t>0.23</t>
        </is>
      </c>
      <c r="T3861" t="inlineStr">
        <is>
          <t>家居生活</t>
        </is>
      </c>
      <c r="U3861" t="inlineStr">
        <is>
          <t>家居日用</t>
        </is>
      </c>
      <c r="V3861" s="3">
        <v>46118.97659722222</v>
      </c>
      <c r="W3861" t="inlineStr">
        <is>
          <t>2026-Q2</t>
        </is>
      </c>
    </row>
    <row r="3862" ht="25.5" customHeight="1">
      <c r="A3862" t="inlineStr">
        <is>
          <t>萌系软妹小飞袖睡衣ins夏日新款带胸垫可爱腊肠狗少女家居服套装</t>
        </is>
      </c>
      <c r="B3862" t="inlineStr">
        <is>
          <t>recvg1BDH5tgE5.jpg</t>
        </is>
      </c>
      <c r="C3862" s="2" t="str">
        <f>=HYPERLINK("https://xhslink.com/m/5avmXq4Mmrt", "https://xhslink.com/m/5avmXq4Mmrt")</f>
        <v>https://xhslink.com/m/5avmXq4Mmrt</v>
      </c>
      <c r="D3862"/>
      <c r="E3862">
        <v>1702</v>
      </c>
      <c r="F3862">
        <v>59.9</v>
      </c>
      <c r="G3862">
        <v>39.9</v>
      </c>
      <c r="H3862">
        <v>100</v>
      </c>
      <c r="I3862" t="inlineStr">
        <is>
          <t>浴室用品</t>
        </is>
      </c>
      <c r="J3862" t="inlineStr">
        <is>
          <t>0.06</t>
        </is>
      </c>
      <c r="K3862"/>
      <c r="L3862" t="inlineStr">
        <is>
          <t>甜心橘的店</t>
        </is>
      </c>
      <c r="M3862">
        <v>1324</v>
      </c>
      <c r="N3862">
        <v>4.63</v>
      </c>
      <c r="O3862">
        <v>8497</v>
      </c>
      <c r="P3862" t="inlineStr">
        <is>
          <t>6873ffcd3f6e4500016a0ae2</t>
        </is>
      </c>
      <c r="Q3862" t="inlineStr">
        <is>
          <t>🚫重复</t>
        </is>
      </c>
      <c r="R3862" t="inlineStr">
        <is>
          <t>15周</t>
        </is>
      </c>
      <c r="S3862" t="inlineStr">
        <is>
          <t>1.29</t>
        </is>
      </c>
      <c r="T3862" t="inlineStr">
        <is>
          <t>家居生活</t>
        </is>
      </c>
      <c r="U3862" t="inlineStr">
        <is>
          <t>家居日用</t>
        </is>
      </c>
      <c r="V3862" s="3">
        <v>46118.97659722222</v>
      </c>
      <c r="W3862" t="inlineStr">
        <is>
          <t>2026-Q2</t>
        </is>
      </c>
    </row>
    <row r="3863" ht="25.5" customHeight="1">
      <c r="A3863" t="inlineStr">
        <is>
          <t>米兰·免手洗海绵拖把家用卫生间懒人吸水胶棉拖把拖地神器</t>
        </is>
      </c>
      <c r="B3863" t="inlineStr">
        <is>
          <t>recvg1BDH5qMVL.jpg</t>
        </is>
      </c>
      <c r="C3863" s="2" t="str">
        <f>=HYPERLINK("https://xhslink.com/m/4cQYWc3u1t2", "https://xhslink.com/m/4cQYWc3u1t2")</f>
        <v>https://xhslink.com/m/4cQYWc3u1t2</v>
      </c>
      <c r="D3863"/>
      <c r="E3863">
        <v>6135</v>
      </c>
      <c r="F3863">
        <v>41.8</v>
      </c>
      <c r="G3863"/>
      <c r="H3863">
        <v>100</v>
      </c>
      <c r="I3863" t="inlineStr">
        <is>
          <t>浴室用品</t>
        </is>
      </c>
      <c r="J3863" t="inlineStr">
        <is>
          <t>0.02</t>
        </is>
      </c>
      <c r="K3863"/>
      <c r="L3863" t="inlineStr">
        <is>
          <t>米兰 HOME家居的店</t>
        </is>
      </c>
      <c r="M3863">
        <v>6377</v>
      </c>
      <c r="N3863">
        <v>4.33</v>
      </c>
      <c r="O3863">
        <v>8833</v>
      </c>
      <c r="P3863" t="inlineStr">
        <is>
          <t>671fa91e88d33b0001437398</t>
        </is>
      </c>
      <c r="Q3863"/>
      <c r="R3863" t="inlineStr">
        <is>
          <t>15周</t>
        </is>
      </c>
      <c r="S3863" t="inlineStr">
        <is>
          <t>0.96</t>
        </is>
      </c>
      <c r="T3863" t="inlineStr">
        <is>
          <t>家居生活</t>
        </is>
      </c>
      <c r="U3863" t="inlineStr">
        <is>
          <t>家居日用</t>
        </is>
      </c>
      <c r="V3863" s="3">
        <v>46118.97659722222</v>
      </c>
      <c r="W3863" t="inlineStr">
        <is>
          <t>2026-Q2</t>
        </is>
      </c>
    </row>
    <row r="3864" ht="25.5" customHeight="1">
      <c r="A3864" t="inlineStr">
        <is>
          <t>外贸尾单丨全棉双层纱家居服春夏季男女条纹休闲长袖长裤睡衣套装</t>
        </is>
      </c>
      <c r="B3864" t="inlineStr">
        <is>
          <t>recvg1BDH5xq8P.jpg</t>
        </is>
      </c>
      <c r="C3864" s="2" t="str">
        <f>=HYPERLINK("https://xhslink.com/m/JEhpZCSv8Z", "https://xhslink.com/m/JEhpZCSv8Z")</f>
        <v>https://xhslink.com/m/JEhpZCSv8Z</v>
      </c>
      <c r="D3864"/>
      <c r="E3864">
        <v>3195</v>
      </c>
      <c r="F3864">
        <v>138</v>
      </c>
      <c r="G3864">
        <v>108</v>
      </c>
      <c r="H3864">
        <v>100</v>
      </c>
      <c r="I3864" t="inlineStr">
        <is>
          <t>浴室用品</t>
        </is>
      </c>
      <c r="J3864" t="inlineStr">
        <is>
          <t>0.03</t>
        </is>
      </c>
      <c r="K3864"/>
      <c r="L3864" t="inlineStr">
        <is>
          <t>有好事家居外贸工厂的店</t>
        </is>
      </c>
      <c r="M3864">
        <v>4630</v>
      </c>
      <c r="N3864">
        <v>4.75</v>
      </c>
      <c r="O3864">
        <v>5150</v>
      </c>
      <c r="P3864" t="inlineStr">
        <is>
          <t>69ab9eb9f6806b0001c389c2</t>
        </is>
      </c>
      <c r="Q3864"/>
      <c r="R3864" t="inlineStr">
        <is>
          <t>15周</t>
        </is>
      </c>
      <c r="S3864" t="inlineStr">
        <is>
          <t>0.69</t>
        </is>
      </c>
      <c r="T3864" t="inlineStr">
        <is>
          <t>服饰穿搭</t>
        </is>
      </c>
      <c r="U3864" t="inlineStr">
        <is>
          <t>女装</t>
        </is>
      </c>
      <c r="V3864" s="3">
        <v>46118.97659722222</v>
      </c>
      <c r="W3864" t="inlineStr">
        <is>
          <t>2026-Q2</t>
        </is>
      </c>
    </row>
    <row r="3865" ht="25.5" customHeight="1">
      <c r="A3865" t="inlineStr">
        <is>
          <t>STILL【小熊许愿树】小众高级扩香石香氛无火香薰送闺蜜生日礼物</t>
        </is>
      </c>
      <c r="B3865" t="inlineStr">
        <is>
          <t>recvg1BDH5HAgk.jpg</t>
        </is>
      </c>
      <c r="C3865" s="2" t="str">
        <f>=HYPERLINK("https://xhslink.com/m/6xil6KCSLtq", "https://xhslink.com/m/6xil6KCSLtq")</f>
        <v>https://xhslink.com/m/6xil6KCSLtq</v>
      </c>
      <c r="D3865"/>
      <c r="E3865">
        <v>144000</v>
      </c>
      <c r="F3865">
        <v>59</v>
      </c>
      <c r="G3865"/>
      <c r="H3865">
        <v>100</v>
      </c>
      <c r="I3865" t="inlineStr">
        <is>
          <t>浴室用品</t>
        </is>
      </c>
      <c r="J3865" t="inlineStr">
        <is>
          <t>0.00</t>
        </is>
      </c>
      <c r="K3865" t="inlineStr">
        <is>
          <t>🔥低粉爆款</t>
        </is>
      </c>
      <c r="L3865" t="inlineStr">
        <is>
          <t>still far的店</t>
        </is>
      </c>
      <c r="M3865">
        <v>43000</v>
      </c>
      <c r="N3865">
        <v>4.69</v>
      </c>
      <c r="O3865">
        <v>330000</v>
      </c>
      <c r="P3865" t="inlineStr">
        <is>
          <t>665989983e1f3e000196c84e</t>
        </is>
      </c>
      <c r="Q3865" t="inlineStr">
        <is>
          <t>🚫重复</t>
        </is>
      </c>
      <c r="R3865" t="inlineStr">
        <is>
          <t>15周</t>
        </is>
      </c>
      <c r="S3865" t="inlineStr">
        <is>
          <t>3.35</t>
        </is>
      </c>
      <c r="T3865" t="inlineStr">
        <is>
          <t>家居生活</t>
        </is>
      </c>
      <c r="U3865" t="inlineStr">
        <is>
          <t>家居日用</t>
        </is>
      </c>
      <c r="V3865" s="3">
        <v>46118.97659722222</v>
      </c>
      <c r="W3865" t="inlineStr">
        <is>
          <t>2026-Q2</t>
        </is>
      </c>
    </row>
    <row r="3866" ht="25.5" customHeight="1">
      <c r="A3866" t="inlineStr">
        <is>
          <t>加点滋味 · 乌冬面碳水饱腹轻主食100g</t>
        </is>
      </c>
      <c r="B3866" t="inlineStr">
        <is>
          <t>recvg1BDH5vXZs.jpg</t>
        </is>
      </c>
      <c r="C3866" s="2" t="str">
        <f>=HYPERLINK("https://xhslink.com/m/2Ae5Q9KUKg7", "https://xhslink.com/m/2Ae5Q9KUKg7")</f>
        <v>https://xhslink.com/m/2Ae5Q9KUKg7</v>
      </c>
      <c r="D3866"/>
      <c r="E3866">
        <v>19000</v>
      </c>
      <c r="F3866">
        <v>34.5</v>
      </c>
      <c r="G3866"/>
      <c r="H3866">
        <v>100</v>
      </c>
      <c r="I3866" t="inlineStr">
        <is>
          <t>低脂餐</t>
        </is>
      </c>
      <c r="J3866" t="inlineStr">
        <is>
          <t>0.01</t>
        </is>
      </c>
      <c r="K3866"/>
      <c r="L3866" t="inlineStr">
        <is>
          <t>加点滋味旗舰店</t>
        </is>
      </c>
      <c r="M3866">
        <v>24000</v>
      </c>
      <c r="N3866">
        <v>4.63</v>
      </c>
      <c r="O3866">
        <v>396000</v>
      </c>
      <c r="P3866" t="inlineStr">
        <is>
          <t>68fc2f93e0f3b20001e709c2</t>
        </is>
      </c>
      <c r="Q3866" t="inlineStr">
        <is>
          <t>🚫重复</t>
        </is>
      </c>
      <c r="R3866" t="inlineStr">
        <is>
          <t>15周</t>
        </is>
      </c>
      <c r="S3866" t="inlineStr">
        <is>
          <t>0.79</t>
        </is>
      </c>
      <c r="T3866" t="inlineStr">
        <is>
          <t>美食滋补</t>
        </is>
      </c>
      <c r="U3866" t="inlineStr">
        <is>
          <t>休闲零食</t>
        </is>
      </c>
      <c r="V3866" s="3">
        <v>46118.97659722222</v>
      </c>
      <c r="W3866" t="inlineStr">
        <is>
          <t>2026-Q2</t>
        </is>
      </c>
    </row>
    <row r="3867" ht="25.5" customHeight="1">
      <c r="A3867" t="inlineStr">
        <is>
          <t>【琴妈馄饨】手作馄饨 |自由搭配满120包邮（共30种口味）</t>
        </is>
      </c>
      <c r="B3867" t="inlineStr">
        <is>
          <t>recvg1BDH5lpts.jpg</t>
        </is>
      </c>
      <c r="C3867" s="2" t="str">
        <f>=HYPERLINK("https://xhslink.com/m/3bqAUUB9UBy", "https://xhslink.com/m/3bqAUUB9UBy")</f>
        <v>https://xhslink.com/m/3bqAUUB9UBy</v>
      </c>
      <c r="D3867"/>
      <c r="E3867">
        <v>119000</v>
      </c>
      <c r="F3867">
        <v>20</v>
      </c>
      <c r="G3867"/>
      <c r="H3867">
        <v>100</v>
      </c>
      <c r="I3867" t="inlineStr">
        <is>
          <t>早餐</t>
        </is>
      </c>
      <c r="J3867" t="inlineStr">
        <is>
          <t>0.00</t>
        </is>
      </c>
      <c r="K3867"/>
      <c r="L3867" t="inlineStr">
        <is>
          <t>琴妈手作馄饨的店</t>
        </is>
      </c>
      <c r="M3867">
        <v>103000</v>
      </c>
      <c r="N3867">
        <v>4.52</v>
      </c>
      <c r="O3867">
        <v>279000</v>
      </c>
      <c r="P3867" t="inlineStr">
        <is>
          <t>64c8dde926cfe20001f4d4e7</t>
        </is>
      </c>
      <c r="Q3867" t="inlineStr">
        <is>
          <t>🚫重复</t>
        </is>
      </c>
      <c r="R3867" t="inlineStr">
        <is>
          <t>15周</t>
        </is>
      </c>
      <c r="S3867" t="inlineStr">
        <is>
          <t>1.16</t>
        </is>
      </c>
      <c r="T3867" t="inlineStr">
        <is>
          <t>运动潮玩</t>
        </is>
      </c>
      <c r="U3867" t="inlineStr">
        <is>
          <t>潮玩手办</t>
        </is>
      </c>
      <c r="V3867" s="3">
        <v>46118.97659722222</v>
      </c>
      <c r="W3867" t="inlineStr">
        <is>
          <t>2026-Q2</t>
        </is>
      </c>
    </row>
    <row r="3868" ht="25.5" customHeight="1">
      <c r="A3868" t="inlineStr">
        <is>
          <t>顺丰包邮原味不加糖无油山东纯手工纸皮豆沙包老式南瓜红豆包早餐</t>
        </is>
      </c>
      <c r="B3868" t="inlineStr">
        <is>
          <t>recvg1BDH5pQWJ.jpg</t>
        </is>
      </c>
      <c r="C3868" s="2" t="str">
        <f>=HYPERLINK("https://xhslink.com/m/2N5912R7ya8", "https://xhslink.com/m/2N5912R7ya8")</f>
        <v>https://xhslink.com/m/2N5912R7ya8</v>
      </c>
      <c r="D3868"/>
      <c r="E3868">
        <v>32000</v>
      </c>
      <c r="F3868">
        <v>43.9</v>
      </c>
      <c r="G3868">
        <v>28.9</v>
      </c>
      <c r="H3868">
        <v>100</v>
      </c>
      <c r="I3868" t="inlineStr">
        <is>
          <t>早餐</t>
        </is>
      </c>
      <c r="J3868" t="inlineStr">
        <is>
          <t>0.00</t>
        </is>
      </c>
      <c r="K3868" t="inlineStr">
        <is>
          <t>🔥低粉爆款</t>
        </is>
      </c>
      <c r="L3868" t="inlineStr">
        <is>
          <t>80麦田食品的店</t>
        </is>
      </c>
      <c r="M3868">
        <v>953</v>
      </c>
      <c r="N3868">
        <v>4.67</v>
      </c>
      <c r="O3868">
        <v>37000</v>
      </c>
      <c r="P3868" t="inlineStr">
        <is>
          <t>6761186dada6590001b3dc9d</t>
        </is>
      </c>
      <c r="Q3868" t="inlineStr">
        <is>
          <t>🚫重复</t>
        </is>
      </c>
      <c r="R3868" t="inlineStr">
        <is>
          <t>15周</t>
        </is>
      </c>
      <c r="S3868" t="inlineStr">
        <is>
          <t>33.58</t>
        </is>
      </c>
      <c r="T3868" t="inlineStr">
        <is>
          <t>美食滋补</t>
        </is>
      </c>
      <c r="U3868" t="inlineStr">
        <is>
          <t>休闲零食</t>
        </is>
      </c>
      <c r="V3868" s="3">
        <v>46118.97659722222</v>
      </c>
      <c r="W3868" t="inlineStr">
        <is>
          <t>2026-Q2</t>
        </is>
      </c>
    </row>
    <row r="3869" ht="25.5" customHeight="1">
      <c r="A3869" t="inlineStr">
        <is>
          <t>左右吾家 · 顺丰膳食馒头 五黑 茯苓 山药红枣小米 玫瑰等现磨食材</t>
        </is>
      </c>
      <c r="B3869" t="inlineStr">
        <is>
          <t>recvg1BDH5jSMq.jpg</t>
        </is>
      </c>
      <c r="C3869" s="2" t="str">
        <f>=HYPERLINK("https://xhslink.com/m/6rQMcljd8xS", "https://xhslink.com/m/6rQMcljd8xS")</f>
        <v>https://xhslink.com/m/6rQMcljd8xS</v>
      </c>
      <c r="D3869"/>
      <c r="E3869">
        <v>68000</v>
      </c>
      <c r="F3869">
        <v>59.9</v>
      </c>
      <c r="G3869">
        <v>51.91</v>
      </c>
      <c r="H3869">
        <v>100</v>
      </c>
      <c r="I3869" t="inlineStr">
        <is>
          <t>早餐</t>
        </is>
      </c>
      <c r="J3869" t="inlineStr">
        <is>
          <t>0.00</t>
        </is>
      </c>
      <c r="K3869" t="inlineStr">
        <is>
          <t>🔥低粉爆款</t>
        </is>
      </c>
      <c r="L3869" t="inlineStr">
        <is>
          <t>左右吾家旗舰店</t>
        </is>
      </c>
      <c r="M3869">
        <v>18000</v>
      </c>
      <c r="N3869">
        <v>4.78</v>
      </c>
      <c r="O3869">
        <v>144000</v>
      </c>
      <c r="P3869" t="inlineStr">
        <is>
          <t>6586925218def20001d33fa8</t>
        </is>
      </c>
      <c r="Q3869"/>
      <c r="R3869" t="inlineStr">
        <is>
          <t>15周</t>
        </is>
      </c>
      <c r="S3869" t="inlineStr">
        <is>
          <t>3.78</t>
        </is>
      </c>
      <c r="T3869" t="inlineStr">
        <is>
          <t>美食滋补</t>
        </is>
      </c>
      <c r="U3869" t="inlineStr">
        <is>
          <t>休闲零食</t>
        </is>
      </c>
      <c r="V3869" s="3">
        <v>46118.97659722222</v>
      </c>
      <c r="W3869" t="inlineStr">
        <is>
          <t>2026-Q2</t>
        </is>
      </c>
    </row>
    <row r="3870" ht="25.5" customHeight="1">
      <c r="A3870" t="inlineStr">
        <is>
          <t>【不分层包退】山东老面千层老式馒头手工饽饽面食（一袋4个）</t>
        </is>
      </c>
      <c r="B3870" t="inlineStr">
        <is>
          <t>recvg1BDH566OQ.jpg</t>
        </is>
      </c>
      <c r="C3870" s="2" t="str">
        <f>=HYPERLINK("https://xhslink.com/m/2glG4pIQ2gI", "https://xhslink.com/m/2glG4pIQ2gI")</f>
        <v>https://xhslink.com/m/2glG4pIQ2gI</v>
      </c>
      <c r="D3870"/>
      <c r="E3870">
        <v>81000</v>
      </c>
      <c r="F3870">
        <v>45.9</v>
      </c>
      <c r="G3870">
        <v>27.8</v>
      </c>
      <c r="H3870">
        <v>100</v>
      </c>
      <c r="I3870" t="inlineStr">
        <is>
          <t>早餐</t>
        </is>
      </c>
      <c r="J3870" t="inlineStr">
        <is>
          <t>0.00</t>
        </is>
      </c>
      <c r="K3870" t="inlineStr">
        <is>
          <t>🔥低粉爆款</t>
        </is>
      </c>
      <c r="L3870" t="inlineStr">
        <is>
          <t>A大王吃不胖的店</t>
        </is>
      </c>
      <c r="M3870">
        <v>1954</v>
      </c>
      <c r="N3870">
        <v>4.32</v>
      </c>
      <c r="O3870">
        <v>107000</v>
      </c>
      <c r="P3870" t="inlineStr">
        <is>
          <t>677d6aa101965c0001967e3a</t>
        </is>
      </c>
      <c r="Q3870"/>
      <c r="R3870" t="inlineStr">
        <is>
          <t>15周</t>
        </is>
      </c>
      <c r="S3870" t="inlineStr">
        <is>
          <t>41.45</t>
        </is>
      </c>
      <c r="T3870" t="inlineStr">
        <is>
          <t>美食滋补</t>
        </is>
      </c>
      <c r="U3870" t="inlineStr">
        <is>
          <t>休闲零食</t>
        </is>
      </c>
      <c r="V3870" s="3">
        <v>46118.97659722222</v>
      </c>
      <c r="W3870" t="inlineStr">
        <is>
          <t>2026-Q2</t>
        </is>
      </c>
    </row>
    <row r="3871" ht="25.5" customHeight="1">
      <c r="A3871" t="inlineStr">
        <is>
          <t>【琴妈馄饨】皮薄馅大手工馄饨套餐 组合4盒4种口味</t>
        </is>
      </c>
      <c r="B3871" t="inlineStr">
        <is>
          <t>recvg1BDH55QDS.jpg</t>
        </is>
      </c>
      <c r="C3871" s="2" t="str">
        <f>=HYPERLINK("https://xhslink.com/m/6LH9EhyrQZr", "https://xhslink.com/m/6LH9EhyrQZr")</f>
        <v>https://xhslink.com/m/6LH9EhyrQZr</v>
      </c>
      <c r="D3871"/>
      <c r="E3871">
        <v>58000</v>
      </c>
      <c r="F3871">
        <v>59.9</v>
      </c>
      <c r="G3871">
        <v>49.9</v>
      </c>
      <c r="H3871">
        <v>100</v>
      </c>
      <c r="I3871" t="inlineStr">
        <is>
          <t>早餐</t>
        </is>
      </c>
      <c r="J3871" t="inlineStr">
        <is>
          <t>0.00</t>
        </is>
      </c>
      <c r="K3871"/>
      <c r="L3871" t="inlineStr">
        <is>
          <t>琴妈手作馄饨的店</t>
        </is>
      </c>
      <c r="M3871">
        <v>103000</v>
      </c>
      <c r="N3871">
        <v>4.52</v>
      </c>
      <c r="O3871">
        <v>279000</v>
      </c>
      <c r="P3871" t="inlineStr">
        <is>
          <t>67ed471df0efe500017cb78f</t>
        </is>
      </c>
      <c r="Q3871" t="inlineStr">
        <is>
          <t>🚫重复</t>
        </is>
      </c>
      <c r="R3871" t="inlineStr">
        <is>
          <t>15周</t>
        </is>
      </c>
      <c r="S3871" t="inlineStr">
        <is>
          <t>0.56</t>
        </is>
      </c>
      <c r="T3871" t="inlineStr">
        <is>
          <t>美食滋补</t>
        </is>
      </c>
      <c r="U3871" t="inlineStr">
        <is>
          <t>休闲零食</t>
        </is>
      </c>
      <c r="V3871" s="3">
        <v>46118.97659722222</v>
      </c>
      <c r="W3871" t="inlineStr">
        <is>
          <t>2026-Q2</t>
        </is>
      </c>
    </row>
    <row r="3872" ht="25.5" customHeight="1">
      <c r="A3872" t="inlineStr">
        <is>
          <t>【口味自选】5盒口味任选 手工薄皮馄饨多口味带料包</t>
        </is>
      </c>
      <c r="B3872" t="inlineStr">
        <is>
          <t>recvg1BDH50LCw.jpg</t>
        </is>
      </c>
      <c r="C3872" s="2" t="str">
        <f>=HYPERLINK("https://xhslink.com/m/1zzXqzoGmIe", "https://xhslink.com/m/1zzXqzoGmIe")</f>
        <v>https://xhslink.com/m/1zzXqzoGmIe</v>
      </c>
      <c r="D3872"/>
      <c r="E3872">
        <v>33000</v>
      </c>
      <c r="F3872">
        <v>20</v>
      </c>
      <c r="G3872"/>
      <c r="H3872">
        <v>100</v>
      </c>
      <c r="I3872" t="inlineStr">
        <is>
          <t>早餐</t>
        </is>
      </c>
      <c r="J3872" t="inlineStr">
        <is>
          <t>0.00</t>
        </is>
      </c>
      <c r="K3872" t="inlineStr">
        <is>
          <t>🔥低粉爆款</t>
        </is>
      </c>
      <c r="L3872" t="inlineStr">
        <is>
          <t>小红薯69C5C130的店</t>
        </is>
      </c>
      <c r="M3872">
        <v>755</v>
      </c>
      <c r="N3872">
        <v>4.52</v>
      </c>
      <c r="O3872">
        <v>36000</v>
      </c>
      <c r="P3872" t="inlineStr">
        <is>
          <t>694a4f1d94f9dc0001f25fb4</t>
        </is>
      </c>
      <c r="Q3872" t="inlineStr">
        <is>
          <t>🚫重复</t>
        </is>
      </c>
      <c r="R3872" t="inlineStr">
        <is>
          <t>15周</t>
        </is>
      </c>
      <c r="S3872" t="inlineStr">
        <is>
          <t>43.71</t>
        </is>
      </c>
      <c r="T3872" t="inlineStr">
        <is>
          <t>美食滋补</t>
        </is>
      </c>
      <c r="U3872" t="inlineStr">
        <is>
          <t>休闲零食</t>
        </is>
      </c>
      <c r="V3872" s="3">
        <v>46118.97659722222</v>
      </c>
      <c r="W3872" t="inlineStr">
        <is>
          <t>2026-Q2</t>
        </is>
      </c>
    </row>
    <row r="3873" ht="25.5" customHeight="1">
      <c r="A3873" t="inlineStr">
        <is>
          <t>上海黑皮大馄饨虾仁鲜肉馅荠菜鲜肉馅酒香鲜肉馅纯手工老味道</t>
        </is>
      </c>
      <c r="B3873" t="inlineStr">
        <is>
          <t>recvg1BDH5ZtW0.jpg</t>
        </is>
      </c>
      <c r="C3873" s="2" t="str">
        <f>=HYPERLINK("https://xhslink.com/m/16ypjgtrx0Q", "https://xhslink.com/m/16ypjgtrx0Q")</f>
        <v>https://xhslink.com/m/16ypjgtrx0Q</v>
      </c>
      <c r="D3873"/>
      <c r="E3873">
        <v>22000</v>
      </c>
      <c r="F3873">
        <v>58.8</v>
      </c>
      <c r="G3873"/>
      <c r="H3873">
        <v>100</v>
      </c>
      <c r="I3873" t="inlineStr">
        <is>
          <t>早餐</t>
        </is>
      </c>
      <c r="J3873" t="inlineStr">
        <is>
          <t>0.00</t>
        </is>
      </c>
      <c r="K3873"/>
      <c r="L3873" t="inlineStr">
        <is>
          <t>上海双囍馄饨（20:30直播）的店</t>
        </is>
      </c>
      <c r="M3873">
        <v>10000</v>
      </c>
      <c r="N3873">
        <v>4.65</v>
      </c>
      <c r="O3873">
        <v>25000</v>
      </c>
      <c r="P3873" t="inlineStr">
        <is>
          <t>68079c0f382e17000111893d</t>
        </is>
      </c>
      <c r="Q3873"/>
      <c r="R3873" t="inlineStr">
        <is>
          <t>15周</t>
        </is>
      </c>
      <c r="S3873" t="inlineStr">
        <is>
          <t>2.20</t>
        </is>
      </c>
      <c r="T3873" t="inlineStr">
        <is>
          <t>美食滋补</t>
        </is>
      </c>
      <c r="U3873" t="inlineStr">
        <is>
          <t>酒水冲饮</t>
        </is>
      </c>
      <c r="V3873" s="3">
        <v>46118.97659722222</v>
      </c>
      <c r="W3873" t="inlineStr">
        <is>
          <t>2026-Q2</t>
        </is>
      </c>
    </row>
    <row r="3874" ht="25.5" customHeight="1">
      <c r="A3874" t="inlineStr">
        <is>
          <t>新鲜恩施品种小土豆现挖黄心软糯洋芋农家马铃薯应季蔬菜3/5/9</t>
        </is>
      </c>
      <c r="B3874" t="inlineStr">
        <is>
          <t>recvg1BDH59V9t.jpg</t>
        </is>
      </c>
      <c r="C3874" s="2" t="str">
        <f>=HYPERLINK("https://xhslink.com/m/4jHVi6zx5OB", "https://xhslink.com/m/4jHVi6zx5OB")</f>
        <v>https://xhslink.com/m/4jHVi6zx5OB</v>
      </c>
      <c r="D3874"/>
      <c r="E3874">
        <v>22000</v>
      </c>
      <c r="F3874">
        <v>11.8</v>
      </c>
      <c r="G3874"/>
      <c r="H3874">
        <v>100</v>
      </c>
      <c r="I3874" t="inlineStr">
        <is>
          <t>早餐</t>
        </is>
      </c>
      <c r="J3874" t="inlineStr">
        <is>
          <t>0.00</t>
        </is>
      </c>
      <c r="K3874" t="inlineStr">
        <is>
          <t>🔥低粉爆款</t>
        </is>
      </c>
      <c r="L3874" t="inlineStr">
        <is>
          <t>峡城一家人的店</t>
        </is>
      </c>
      <c r="M3874">
        <v>1042</v>
      </c>
      <c r="N3874">
        <v>4.6</v>
      </c>
      <c r="O3874">
        <v>23000</v>
      </c>
      <c r="P3874" t="inlineStr">
        <is>
          <t>64dc817f8d358400017ec51e</t>
        </is>
      </c>
      <c r="Q3874"/>
      <c r="R3874" t="inlineStr">
        <is>
          <t>15周</t>
        </is>
      </c>
      <c r="S3874" t="inlineStr">
        <is>
          <t>21.11</t>
        </is>
      </c>
      <c r="T3874" t="inlineStr">
        <is>
          <t>美食滋补</t>
        </is>
      </c>
      <c r="U3874" t="inlineStr">
        <is>
          <t>休闲零食</t>
        </is>
      </c>
      <c r="V3874" s="3">
        <v>46118.97659722222</v>
      </c>
      <c r="W3874" t="inlineStr">
        <is>
          <t>2026-Q2</t>
        </is>
      </c>
    </row>
    <row r="3875" ht="25.5" customHeight="1">
      <c r="A3875" t="inlineStr">
        <is>
          <t>陈不二原创•和田玉如意锁吊坠小蝴蝶项链</t>
        </is>
      </c>
      <c r="B3875" t="inlineStr">
        <is>
          <t>recvg7vuLerjbB.jpg</t>
        </is>
      </c>
      <c r="C3875" s="2" t="str">
        <f>=HYPERLINK("https://xhslink.com/m/3I5oLbYwgHz", "https://xhslink.com/m/3I5oLbYwgHz")</f>
        <v>https://xhslink.com/m/3I5oLbYwgHz</v>
      </c>
      <c r="D3875"/>
      <c r="E3875">
        <v>10000</v>
      </c>
      <c r="F3875">
        <v>39.9</v>
      </c>
      <c r="G3875">
        <v>37.9</v>
      </c>
      <c r="H3875">
        <v>100</v>
      </c>
      <c r="I3875" t="inlineStr">
        <is>
          <t>减糖甜品</t>
        </is>
      </c>
      <c r="J3875" t="inlineStr">
        <is>
          <t>0.01</t>
        </is>
      </c>
      <c r="K3875"/>
      <c r="L3875" t="inlineStr">
        <is>
          <t>陈不二.手作的店</t>
        </is>
      </c>
      <c r="M3875">
        <v>15000</v>
      </c>
      <c r="N3875">
        <v>4.48</v>
      </c>
      <c r="O3875">
        <v>45000</v>
      </c>
      <c r="P3875" t="inlineStr">
        <is>
          <t>68ee6c76002e7e0001babeb1</t>
        </is>
      </c>
      <c r="Q3875"/>
      <c r="R3875" t="inlineStr">
        <is>
          <t>15周</t>
        </is>
      </c>
      <c r="S3875" t="inlineStr">
        <is>
          <t>0.67</t>
        </is>
      </c>
      <c r="T3875" t="inlineStr">
        <is>
          <t>服饰穿搭</t>
        </is>
      </c>
      <c r="U3875" t="inlineStr">
        <is>
          <t>配饰</t>
        </is>
      </c>
      <c r="V3875" s="3">
        <v>46119.98578703704</v>
      </c>
      <c r="W3875" t="inlineStr">
        <is>
          <t>2026-Q2</t>
        </is>
      </c>
    </row>
    <row r="3876" ht="25.5" customHeight="1">
      <c r="A3876" t="inlineStr">
        <is>
          <t>竹寿屋 · 多口味奶油罐子蛋糕组合低甜代糖抹茶黑芝麻柚子奥巧咸奶油650ml</t>
        </is>
      </c>
      <c r="B3876" t="inlineStr">
        <is>
          <t>recvg7vyEbG8Ya.jpg</t>
        </is>
      </c>
      <c r="C3876" s="2" t="str">
        <f>=HYPERLINK("https://xhslink.com/m/7ejjFEifFn8", "https://xhslink.com/m/7ejjFEifFn8")</f>
        <v>https://xhslink.com/m/7ejjFEifFn8</v>
      </c>
      <c r="D3876"/>
      <c r="E3876">
        <v>3930</v>
      </c>
      <c r="F3876">
        <v>108</v>
      </c>
      <c r="G3876"/>
      <c r="H3876">
        <v>100</v>
      </c>
      <c r="I3876" t="inlineStr">
        <is>
          <t>减糖甜品</t>
        </is>
      </c>
      <c r="J3876" t="inlineStr">
        <is>
          <t>0.03</t>
        </is>
      </c>
      <c r="K3876"/>
      <c r="L3876" t="inlineStr">
        <is>
          <t>竹寿屋旗舰店</t>
        </is>
      </c>
      <c r="M3876">
        <v>30000</v>
      </c>
      <c r="N3876">
        <v>4.58</v>
      </c>
      <c r="O3876">
        <v>40000</v>
      </c>
      <c r="P3876" t="inlineStr">
        <is>
          <t>674a8fb69678ed0001613452</t>
        </is>
      </c>
      <c r="Q3876"/>
      <c r="R3876" t="inlineStr">
        <is>
          <t>15周</t>
        </is>
      </c>
      <c r="S3876" t="inlineStr">
        <is>
          <t>0.13</t>
        </is>
      </c>
      <c r="T3876" t="inlineStr">
        <is>
          <t>美食滋补</t>
        </is>
      </c>
      <c r="U3876" t="inlineStr">
        <is>
          <t>休闲零食</t>
        </is>
      </c>
      <c r="V3876" s="3">
        <v>46119.985972222225</v>
      </c>
      <c r="W3876" t="inlineStr">
        <is>
          <t>2026-Q2</t>
        </is>
      </c>
    </row>
    <row r="3877" ht="25.5" customHeight="1">
      <c r="A3877" t="inlineStr">
        <is>
          <t>探夏 · 脸基尼UPF200+夏季冰感医美骑车护脖透气遮全脸帽檐黑胶防晒面罩</t>
        </is>
      </c>
      <c r="B3877" t="inlineStr">
        <is>
          <t>recvg7vyEbfMfJ.jpg</t>
        </is>
      </c>
      <c r="C3877" s="2" t="str">
        <f>=HYPERLINK("https://xhslink.com/m/8x1jktVX0wT", "https://xhslink.com/m/8x1jktVX0wT")</f>
        <v>https://xhslink.com/m/8x1jktVX0wT</v>
      </c>
      <c r="D3877"/>
      <c r="E3877">
        <v>3813</v>
      </c>
      <c r="F3877">
        <v>89.9</v>
      </c>
      <c r="G3877">
        <v>59.9</v>
      </c>
      <c r="H3877">
        <v>100</v>
      </c>
      <c r="I3877" t="inlineStr">
        <is>
          <t>防晒面罩</t>
        </is>
      </c>
      <c r="J3877" t="inlineStr">
        <is>
          <t>0.03</t>
        </is>
      </c>
      <c r="K3877"/>
      <c r="L3877" t="inlineStr">
        <is>
          <t>Solventure探夏的店</t>
        </is>
      </c>
      <c r="M3877">
        <v>5862</v>
      </c>
      <c r="N3877">
        <v>4.65</v>
      </c>
      <c r="O3877">
        <v>93000</v>
      </c>
      <c r="P3877" t="inlineStr">
        <is>
          <t>684f7c63c200860001d55f9c</t>
        </is>
      </c>
      <c r="Q3877"/>
      <c r="R3877" t="inlineStr">
        <is>
          <t>15周</t>
        </is>
      </c>
      <c r="S3877" t="inlineStr">
        <is>
          <t>0.65</t>
        </is>
      </c>
      <c r="T3877" t="inlineStr">
        <is>
          <t>服饰穿搭</t>
        </is>
      </c>
      <c r="U3877" t="inlineStr">
        <is>
          <t>配饰</t>
        </is>
      </c>
      <c r="V3877" s="3">
        <v>46119.985972222225</v>
      </c>
      <c r="W3877" t="inlineStr">
        <is>
          <t>2026-Q2</t>
        </is>
      </c>
    </row>
    <row r="3878" ht="25.5" customHeight="1">
      <c r="A3878" t="inlineStr">
        <is>
          <t>悟珥 · 首饰分装盒耳钉抓取器引导杆华子耳钉配饰钛合金耳钉收纳盒</t>
        </is>
      </c>
      <c r="B3878" t="inlineStr">
        <is>
          <t>recvg7vyEbVM3I.jpg</t>
        </is>
      </c>
      <c r="C3878" s="2" t="str">
        <f>=HYPERLINK("https://xhslink.com/m/79kO4Ul8Q0m", "https://xhslink.com/m/79kO4Ul8Q0m")</f>
        <v>https://xhslink.com/m/79kO4Ul8Q0m</v>
      </c>
      <c r="D3878"/>
      <c r="E3878">
        <v>12000</v>
      </c>
      <c r="F3878">
        <v>21.9</v>
      </c>
      <c r="G3878"/>
      <c r="H3878">
        <v>100</v>
      </c>
      <c r="I3878" t="inlineStr">
        <is>
          <t>耳钉收纳</t>
        </is>
      </c>
      <c r="J3878" t="inlineStr">
        <is>
          <t>0.01</t>
        </is>
      </c>
      <c r="K3878"/>
      <c r="L3878" t="inlineStr">
        <is>
          <t>悟珥.耳饰造物局的店</t>
        </is>
      </c>
      <c r="M3878">
        <v>5254</v>
      </c>
      <c r="N3878">
        <v>4.63</v>
      </c>
      <c r="O3878">
        <v>79000</v>
      </c>
      <c r="P3878" t="inlineStr">
        <is>
          <t>685a157b8b7d6f0001ed59a2</t>
        </is>
      </c>
      <c r="Q3878"/>
      <c r="R3878" t="inlineStr">
        <is>
          <t>15周</t>
        </is>
      </c>
      <c r="S3878" t="inlineStr">
        <is>
          <t>2.28</t>
        </is>
      </c>
      <c r="T3878" t="inlineStr">
        <is>
          <t>家居生活</t>
        </is>
      </c>
      <c r="U3878" t="inlineStr">
        <is>
          <t>家居日用</t>
        </is>
      </c>
      <c r="V3878" s="3">
        <v>46119.985972222225</v>
      </c>
      <c r="W3878" t="inlineStr">
        <is>
          <t>2026-Q2</t>
        </is>
      </c>
    </row>
    <row r="3879" ht="25.5" customHeight="1">
      <c r="A3879" t="inlineStr">
        <is>
          <t>自然引力-一片草坪 苔藓微景观桌面懒人绿植盒子简单好养趣味植物</t>
        </is>
      </c>
      <c r="B3879" t="inlineStr">
        <is>
          <t>recvg7vyEb6hOF.jpg</t>
        </is>
      </c>
      <c r="C3879" s="2" t="str">
        <f>=HYPERLINK("https://xhslink.com/m/2XIXzSv0DdA", "https://xhslink.com/m/2XIXzSv0DdA")</f>
        <v>https://xhslink.com/m/2XIXzSv0DdA</v>
      </c>
      <c r="D3879"/>
      <c r="E3879">
        <v>48000</v>
      </c>
      <c r="F3879">
        <v>46.8</v>
      </c>
      <c r="G3879">
        <v>27.8</v>
      </c>
      <c r="H3879">
        <v>100</v>
      </c>
      <c r="I3879" t="inlineStr">
        <is>
          <t>绿植</t>
        </is>
      </c>
      <c r="J3879" t="inlineStr">
        <is>
          <t>0.00</t>
        </is>
      </c>
      <c r="K3879"/>
      <c r="L3879" t="inlineStr">
        <is>
          <t>自然引力NATURALGRAVITY的店</t>
        </is>
      </c>
      <c r="M3879">
        <v>111000</v>
      </c>
      <c r="N3879">
        <v>4.65</v>
      </c>
      <c r="O3879">
        <v>149000</v>
      </c>
      <c r="P3879" t="inlineStr">
        <is>
          <t>66f66e28cf4b6d0001af44a2</t>
        </is>
      </c>
      <c r="Q3879" t="inlineStr">
        <is>
          <t>🚫重复</t>
        </is>
      </c>
      <c r="R3879" t="inlineStr">
        <is>
          <t>15周</t>
        </is>
      </c>
      <c r="S3879" t="inlineStr">
        <is>
          <t>0.43</t>
        </is>
      </c>
      <c r="T3879" t="inlineStr">
        <is>
          <t>家居生活</t>
        </is>
      </c>
      <c r="U3879" t="inlineStr">
        <is>
          <t>家具家装</t>
        </is>
      </c>
      <c r="V3879" s="3">
        <v>46119.985972222225</v>
      </c>
      <c r="W3879" t="inlineStr">
        <is>
          <t>2026-Q2</t>
        </is>
      </c>
    </row>
    <row r="3880" ht="25.5" customHeight="1">
      <c r="A3880" t="inlineStr">
        <is>
          <t>【爆花神器】风铃花云南基地直发生花苞发货</t>
        </is>
      </c>
      <c r="B3880" t="inlineStr">
        <is>
          <t>recvg7vyEbYKkt.jpg</t>
        </is>
      </c>
      <c r="C3880" s="2" t="str">
        <f>=HYPERLINK("https://xhslink.com/m/We9uMZCg2w", "https://xhslink.com/m/We9uMZCg2w")</f>
        <v>https://xhslink.com/m/We9uMZCg2w</v>
      </c>
      <c r="D3880"/>
      <c r="E3880">
        <v>6463</v>
      </c>
      <c r="F3880">
        <v>34.9</v>
      </c>
      <c r="G3880">
        <v>24.9</v>
      </c>
      <c r="H3880">
        <v>100</v>
      </c>
      <c r="I3880" t="inlineStr">
        <is>
          <t>绿植</t>
        </is>
      </c>
      <c r="J3880" t="inlineStr">
        <is>
          <t>0.02</t>
        </is>
      </c>
      <c r="K3880" t="inlineStr">
        <is>
          <t>🔥低粉爆款</t>
        </is>
      </c>
      <c r="L3880" t="inlineStr">
        <is>
          <t>喝抹茶的鲜花的店</t>
        </is>
      </c>
      <c r="M3880">
        <v>761</v>
      </c>
      <c r="N3880">
        <v>4.59</v>
      </c>
      <c r="O3880">
        <v>7968</v>
      </c>
      <c r="P3880" t="inlineStr">
        <is>
          <t>69be640458e9630001ae2bbc</t>
        </is>
      </c>
      <c r="Q3880"/>
      <c r="R3880" t="inlineStr">
        <is>
          <t>15周</t>
        </is>
      </c>
      <c r="S3880" t="inlineStr">
        <is>
          <t>8.49</t>
        </is>
      </c>
      <c r="T3880" t="inlineStr">
        <is>
          <t>家居生活</t>
        </is>
      </c>
      <c r="U3880" t="inlineStr">
        <is>
          <t>家具家装</t>
        </is>
      </c>
      <c r="V3880" s="3">
        <v>46119.985972222225</v>
      </c>
      <c r="W3880" t="inlineStr">
        <is>
          <t>2026-Q2</t>
        </is>
      </c>
    </row>
    <row r="3881" ht="25.5" customHeight="1">
      <c r="A3881" t="inlineStr">
        <is>
          <t>【玛格丽特150盆】盆栽庭院耐寒阳台花卉盆栽</t>
        </is>
      </c>
      <c r="B3881" t="inlineStr">
        <is>
          <t>recvg7vyEbtzRU.jpg</t>
        </is>
      </c>
      <c r="C3881" s="2" t="str">
        <f>=HYPERLINK("https://xhslink.com/m/xgCnF80Aqj", "https://xhslink.com/m/xgCnF80Aqj")</f>
        <v>https://xhslink.com/m/xgCnF80Aqj</v>
      </c>
      <c r="D3881"/>
      <c r="E3881">
        <v>10000</v>
      </c>
      <c r="F3881">
        <v>9.99</v>
      </c>
      <c r="G3881"/>
      <c r="H3881">
        <v>100</v>
      </c>
      <c r="I3881" t="inlineStr">
        <is>
          <t>绿植</t>
        </is>
      </c>
      <c r="J3881" t="inlineStr">
        <is>
          <t>0.01</t>
        </is>
      </c>
      <c r="K3881"/>
      <c r="L3881" t="inlineStr">
        <is>
          <t>南植 FLOWERS的店</t>
        </is>
      </c>
      <c r="M3881">
        <v>20000</v>
      </c>
      <c r="N3881">
        <v>4.31</v>
      </c>
      <c r="O3881">
        <v>73000</v>
      </c>
      <c r="P3881" t="inlineStr">
        <is>
          <t>6936885302483f000122d2f0</t>
        </is>
      </c>
      <c r="Q3881" t="inlineStr">
        <is>
          <t>🚫重复</t>
        </is>
      </c>
      <c r="R3881" t="inlineStr">
        <is>
          <t>15周</t>
        </is>
      </c>
      <c r="S3881" t="inlineStr">
        <is>
          <t>0.50</t>
        </is>
      </c>
      <c r="T3881" t="inlineStr">
        <is>
          <t>家居生活</t>
        </is>
      </c>
      <c r="U3881" t="inlineStr">
        <is>
          <t>家具家装</t>
        </is>
      </c>
      <c r="V3881" s="3">
        <v>46119.985972222225</v>
      </c>
      <c r="W3881" t="inlineStr">
        <is>
          <t>2026-Q2</t>
        </is>
      </c>
    </row>
    <row r="3882" ht="25.5" customHeight="1">
      <c r="A3882" t="inlineStr">
        <is>
          <t>蓝莓薄雾蓝莓苗盆栽蓝莓果树苗大果耐寒南方北方种带土带软盆</t>
        </is>
      </c>
      <c r="B3882" t="inlineStr">
        <is>
          <t>recvg7vyEbam6e.jpg</t>
        </is>
      </c>
      <c r="C3882" s="2" t="str">
        <f>=HYPERLINK("https://xhslink.com/m/7qcnf8l20Tu", "https://xhslink.com/m/7qcnf8l20Tu")</f>
        <v>https://xhslink.com/m/7qcnf8l20Tu</v>
      </c>
      <c r="D3882"/>
      <c r="E3882">
        <v>1021</v>
      </c>
      <c r="F3882">
        <v>20.8</v>
      </c>
      <c r="G3882">
        <v>9.8</v>
      </c>
      <c r="H3882">
        <v>100</v>
      </c>
      <c r="I3882" t="inlineStr">
        <is>
          <t>绿植</t>
        </is>
      </c>
      <c r="J3882" t="inlineStr">
        <is>
          <t>0.10</t>
        </is>
      </c>
      <c r="K3882"/>
      <c r="L3882" t="inlineStr">
        <is>
          <t>芭乐米的店</t>
        </is>
      </c>
      <c r="M3882">
        <v>448</v>
      </c>
      <c r="N3882">
        <v>4.41</v>
      </c>
      <c r="O3882">
        <v>3231</v>
      </c>
      <c r="P3882" t="inlineStr">
        <is>
          <t>69aacebbac2e190001e1a056</t>
        </is>
      </c>
      <c r="Q3882"/>
      <c r="R3882" t="inlineStr">
        <is>
          <t>15周</t>
        </is>
      </c>
      <c r="S3882" t="inlineStr">
        <is>
          <t>2.28</t>
        </is>
      </c>
      <c r="T3882" t="inlineStr">
        <is>
          <t>家居生活</t>
        </is>
      </c>
      <c r="U3882" t="inlineStr">
        <is>
          <t>家具家装</t>
        </is>
      </c>
      <c r="V3882" s="3">
        <v>46119.985972222225</v>
      </c>
      <c r="W3882" t="inlineStr">
        <is>
          <t>2026-Q2</t>
        </is>
      </c>
    </row>
    <row r="3883" ht="25.5" customHeight="1">
      <c r="A3883" t="inlineStr">
        <is>
          <t>【春日cp】绿毛球雀梅混搭花束鲜切花插花小众高级感鲜花</t>
        </is>
      </c>
      <c r="B3883" t="inlineStr">
        <is>
          <t>recvg7vyEb0U2s.jpg</t>
        </is>
      </c>
      <c r="C3883" s="2" t="str">
        <f>=HYPERLINK("https://xhslink.com/m/4xSpOQ1A0VE", "https://xhslink.com/m/4xSpOQ1A0VE")</f>
        <v>https://xhslink.com/m/4xSpOQ1A0VE</v>
      </c>
      <c r="D3883"/>
      <c r="E3883">
        <v>1149</v>
      </c>
      <c r="F3883">
        <v>17.9</v>
      </c>
      <c r="G3883"/>
      <c r="H3883">
        <v>100</v>
      </c>
      <c r="I3883" t="inlineStr">
        <is>
          <t>绿植</t>
        </is>
      </c>
      <c r="J3883" t="inlineStr">
        <is>
          <t>0.09</t>
        </is>
      </c>
      <c r="K3883"/>
      <c r="L3883" t="inlineStr">
        <is>
          <t>云南七彩鲜花店的店</t>
        </is>
      </c>
      <c r="M3883">
        <v>9350</v>
      </c>
      <c r="N3883">
        <v>4.18</v>
      </c>
      <c r="O3883">
        <v>84000</v>
      </c>
      <c r="P3883" t="inlineStr">
        <is>
          <t>699d5e6b36a3d8000170082d</t>
        </is>
      </c>
      <c r="Q3883" t="inlineStr">
        <is>
          <t>🚫重复</t>
        </is>
      </c>
      <c r="R3883" t="inlineStr">
        <is>
          <t>15周</t>
        </is>
      </c>
      <c r="S3883" t="inlineStr">
        <is>
          <t>0.12</t>
        </is>
      </c>
      <c r="T3883" t="inlineStr">
        <is>
          <t>家居生活</t>
        </is>
      </c>
      <c r="U3883" t="inlineStr">
        <is>
          <t>家具家装</t>
        </is>
      </c>
      <c r="V3883" s="3">
        <v>46119.985972222225</v>
      </c>
      <c r="W3883" t="inlineStr">
        <is>
          <t>2026-Q2</t>
        </is>
      </c>
    </row>
    <row r="3884" ht="25.5" customHeight="1">
      <c r="A3884" t="inlineStr">
        <is>
          <t>无火香薰家用香熏高级酒店精油卧室卫生间客厅持久留香摆件除味女</t>
        </is>
      </c>
      <c r="B3884" t="inlineStr">
        <is>
          <t>recvg7vyEbUG2e.jpg</t>
        </is>
      </c>
      <c r="C3884" s="2" t="str">
        <f>=HYPERLINK("https://xhslink.com/m/6iPplzeseFE", "https://xhslink.com/m/6iPplzeseFE")</f>
        <v>https://xhslink.com/m/6iPplzeseFE</v>
      </c>
      <c r="D3884"/>
      <c r="E3884">
        <v>41000</v>
      </c>
      <c r="F3884">
        <v>79</v>
      </c>
      <c r="G3884">
        <v>62</v>
      </c>
      <c r="H3884">
        <v>100</v>
      </c>
      <c r="I3884" t="inlineStr">
        <is>
          <t>香薰</t>
        </is>
      </c>
      <c r="J3884" t="inlineStr">
        <is>
          <t>0.00</t>
        </is>
      </c>
      <c r="K3884" t="inlineStr">
        <is>
          <t>🔥低粉爆款</t>
        </is>
      </c>
      <c r="L3884" t="inlineStr">
        <is>
          <t>Quivenic奇闻纪的店</t>
        </is>
      </c>
      <c r="M3884">
        <v>5880</v>
      </c>
      <c r="N3884">
        <v>4.62</v>
      </c>
      <c r="O3884">
        <v>119000</v>
      </c>
      <c r="P3884" t="inlineStr">
        <is>
          <t>682d71b3a5e39b0015ffa937</t>
        </is>
      </c>
      <c r="Q3884" t="inlineStr">
        <is>
          <t>🚫重复</t>
        </is>
      </c>
      <c r="R3884" t="inlineStr">
        <is>
          <t>15周</t>
        </is>
      </c>
      <c r="S3884" t="inlineStr">
        <is>
          <t>6.97</t>
        </is>
      </c>
      <c r="T3884" t="inlineStr">
        <is>
          <t>家居生活</t>
        </is>
      </c>
      <c r="U3884" t="inlineStr">
        <is>
          <t>家居日用</t>
        </is>
      </c>
      <c r="V3884" s="3">
        <v>46119.985972222225</v>
      </c>
      <c r="W3884" t="inlineStr">
        <is>
          <t>2026-Q2</t>
        </is>
      </c>
    </row>
    <row r="3885" ht="25.5" customHeight="1">
      <c r="A3885" t="inlineStr">
        <is>
          <t>韩要强 · 碧根果仁香酥烘烤孕妇推荐200克</t>
        </is>
      </c>
      <c r="B3885" t="inlineStr">
        <is>
          <t>recvg7vyEb5WEs.jpg</t>
        </is>
      </c>
      <c r="C3885" s="2" t="str">
        <f>=HYPERLINK("https://xhslink.com/m/2PAJH4IWMNt", "https://xhslink.com/m/2PAJH4IWMNt")</f>
        <v>https://xhslink.com/m/2PAJH4IWMNt</v>
      </c>
      <c r="D3885"/>
      <c r="E3885">
        <v>20000</v>
      </c>
      <c r="F3885">
        <v>70</v>
      </c>
      <c r="G3885">
        <v>61.8</v>
      </c>
      <c r="H3885">
        <v>100</v>
      </c>
      <c r="I3885" t="inlineStr">
        <is>
          <t>坚果零食</t>
        </is>
      </c>
      <c r="J3885" t="inlineStr">
        <is>
          <t>0.01</t>
        </is>
      </c>
      <c r="K3885"/>
      <c r="L3885" t="inlineStr">
        <is>
          <t>韩要强现烤坚果的店</t>
        </is>
      </c>
      <c r="M3885">
        <v>48000</v>
      </c>
      <c r="N3885">
        <v>4.71</v>
      </c>
      <c r="O3885">
        <v>651000</v>
      </c>
      <c r="P3885" t="inlineStr">
        <is>
          <t>674ab8d5ada6590001baacab</t>
        </is>
      </c>
      <c r="Q3885" t="inlineStr">
        <is>
          <t>🚫重复</t>
        </is>
      </c>
      <c r="R3885" t="inlineStr">
        <is>
          <t>15周</t>
        </is>
      </c>
      <c r="S3885" t="inlineStr">
        <is>
          <t>0.42</t>
        </is>
      </c>
      <c r="T3885" t="inlineStr">
        <is>
          <t>美食滋补</t>
        </is>
      </c>
      <c r="U3885" t="inlineStr">
        <is>
          <t>休闲零食</t>
        </is>
      </c>
      <c r="V3885" s="3">
        <v>46119.985972222225</v>
      </c>
      <c r="W3885" t="inlineStr">
        <is>
          <t>2026-Q2</t>
        </is>
      </c>
    </row>
    <row r="3886" ht="25.5" customHeight="1">
      <c r="A3886" t="inlineStr">
        <is>
          <t>纯手工正宗秃黄油纯蟹肉油蟹黄酱蟹粉即食拌饭拌面</t>
        </is>
      </c>
      <c r="B3886" t="inlineStr">
        <is>
          <t>recvg7vyEb8Bik.jpg</t>
        </is>
      </c>
      <c r="C3886" s="2" t="str">
        <f>=HYPERLINK("https://xhslink.com/m/6JH48ysZPrJ", "https://xhslink.com/m/6JH48ysZPrJ")</f>
        <v>https://xhslink.com/m/6JH48ysZPrJ</v>
      </c>
      <c r="D3886"/>
      <c r="E3886">
        <v>22000</v>
      </c>
      <c r="F3886">
        <v>67</v>
      </c>
      <c r="G3886">
        <v>59</v>
      </c>
      <c r="H3886">
        <v>100</v>
      </c>
      <c r="I3886" t="inlineStr">
        <is>
          <t>蟹黄</t>
        </is>
      </c>
      <c r="J3886" t="inlineStr">
        <is>
          <t>0.00</t>
        </is>
      </c>
      <c r="K3886"/>
      <c r="L3886" t="inlineStr">
        <is>
          <t>小吴女士的大闸蟹的店</t>
        </is>
      </c>
      <c r="M3886">
        <v>166000</v>
      </c>
      <c r="N3886">
        <v>4.79</v>
      </c>
      <c r="O3886">
        <v>307000</v>
      </c>
      <c r="P3886" t="inlineStr">
        <is>
          <t>66ecbfb5eaae2c0001d4e82f</t>
        </is>
      </c>
      <c r="Q3886" t="inlineStr">
        <is>
          <t>🚫重复</t>
        </is>
      </c>
      <c r="R3886" t="inlineStr">
        <is>
          <t>15周</t>
        </is>
      </c>
      <c r="S3886" t="inlineStr">
        <is>
          <t>0.13</t>
        </is>
      </c>
      <c r="T3886" t="inlineStr">
        <is>
          <t>美食滋补</t>
        </is>
      </c>
      <c r="U3886" t="inlineStr">
        <is>
          <t>生鲜特产</t>
        </is>
      </c>
      <c r="V3886" s="3">
        <v>46119.985972222225</v>
      </c>
      <c r="W3886" t="inlineStr">
        <is>
          <t>2026-Q2</t>
        </is>
      </c>
    </row>
    <row r="3887" ht="25.5" customHeight="1">
      <c r="A3887" t="inlineStr">
        <is>
          <t>花雕熟醉蟹醉罗氏虾·大闸蟹·新鲜现做·开袋即食</t>
        </is>
      </c>
      <c r="B3887" t="inlineStr">
        <is>
          <t>recvg7vyEbPITz.jpg</t>
        </is>
      </c>
      <c r="C3887" s="2" t="str">
        <f>=HYPERLINK("https://xhslink.com/m/5jNpOXjrxf", "https://xhslink.com/m/5jNpOXjrxf")</f>
        <v>https://xhslink.com/m/5jNpOXjrxf</v>
      </c>
      <c r="D3887"/>
      <c r="E3887">
        <v>44000</v>
      </c>
      <c r="F3887">
        <v>139</v>
      </c>
      <c r="G3887">
        <v>118</v>
      </c>
      <c r="H3887">
        <v>100</v>
      </c>
      <c r="I3887" t="inlineStr">
        <is>
          <t>蟹黄</t>
        </is>
      </c>
      <c r="J3887" t="inlineStr">
        <is>
          <t>0.00</t>
        </is>
      </c>
      <c r="K3887"/>
      <c r="L3887" t="inlineStr">
        <is>
          <t>魏建伟卖大闸蟹的店</t>
        </is>
      </c>
      <c r="M3887">
        <v>122000</v>
      </c>
      <c r="N3887">
        <v>4.77</v>
      </c>
      <c r="O3887">
        <v>233000</v>
      </c>
      <c r="P3887" t="inlineStr">
        <is>
          <t>66d2f16e0cfd4b0001327e87</t>
        </is>
      </c>
      <c r="Q3887" t="inlineStr">
        <is>
          <t>🚫重复</t>
        </is>
      </c>
      <c r="R3887" t="inlineStr">
        <is>
          <t>15周</t>
        </is>
      </c>
      <c r="S3887" t="inlineStr">
        <is>
          <t>0.36</t>
        </is>
      </c>
      <c r="T3887" t="inlineStr">
        <is>
          <t>美食滋补</t>
        </is>
      </c>
      <c r="U3887" t="inlineStr">
        <is>
          <t>生鲜特产</t>
        </is>
      </c>
      <c r="V3887" s="3">
        <v>46119.985972222225</v>
      </c>
      <c r="W3887" t="inlineStr">
        <is>
          <t>2026-Q2</t>
        </is>
      </c>
    </row>
    <row r="3888" ht="25.5" customHeight="1">
      <c r="A3888" t="inlineStr">
        <is>
          <t>【预售发货】香辣蟹鲜活大闸蟹肉厚爆黄开盖即食</t>
        </is>
      </c>
      <c r="B3888" t="inlineStr">
        <is>
          <t>recvg7vyEbUUqt.jpg</t>
        </is>
      </c>
      <c r="C3888" s="2" t="str">
        <f>=HYPERLINK("https://xhslink.com/m/4hIjGbso6Zd", "https://xhslink.com/m/4hIjGbso6Zd")</f>
        <v>https://xhslink.com/m/4hIjGbso6Zd</v>
      </c>
      <c r="D3888"/>
      <c r="E3888">
        <v>19000</v>
      </c>
      <c r="F3888">
        <v>67</v>
      </c>
      <c r="G3888">
        <v>59</v>
      </c>
      <c r="H3888">
        <v>100</v>
      </c>
      <c r="I3888" t="inlineStr">
        <is>
          <t>蟹黄</t>
        </is>
      </c>
      <c r="J3888" t="inlineStr">
        <is>
          <t>0.01</t>
        </is>
      </c>
      <c r="K3888"/>
      <c r="L3888" t="inlineStr">
        <is>
          <t>小吴女士的大闸蟹的店</t>
        </is>
      </c>
      <c r="M3888">
        <v>166000</v>
      </c>
      <c r="N3888">
        <v>4.79</v>
      </c>
      <c r="O3888">
        <v>307000</v>
      </c>
      <c r="P3888" t="inlineStr">
        <is>
          <t>694e2f25b1e66600011427d8</t>
        </is>
      </c>
      <c r="Q3888" t="inlineStr">
        <is>
          <t>🚫重复</t>
        </is>
      </c>
      <c r="R3888" t="inlineStr">
        <is>
          <t>15周</t>
        </is>
      </c>
      <c r="S3888" t="inlineStr">
        <is>
          <t>0.11</t>
        </is>
      </c>
      <c r="T3888" t="inlineStr">
        <is>
          <t>美食滋补</t>
        </is>
      </c>
      <c r="U3888" t="inlineStr">
        <is>
          <t>生鲜特产</t>
        </is>
      </c>
      <c r="V3888" s="3">
        <v>46119.985972222225</v>
      </c>
      <c r="W3888" t="inlineStr">
        <is>
          <t>2026-Q2</t>
        </is>
      </c>
    </row>
    <row r="3889" ht="25.5" customHeight="1">
      <c r="A3889" t="inlineStr">
        <is>
          <t>仓鼠行动 · 五香烤花生咸香酥脆脱油下酒菜解馋办公室休闲零食追剧解馋小包装</t>
        </is>
      </c>
      <c r="B3889" t="inlineStr">
        <is>
          <t>recvg7vyEb8lUC.jpg</t>
        </is>
      </c>
      <c r="C3889" s="2" t="str">
        <f>=HYPERLINK("https://xhslink.com/m/2WB5RrT5Mps", "https://xhslink.com/m/2WB5RrT5Mps")</f>
        <v>https://xhslink.com/m/2WB5RrT5Mps</v>
      </c>
      <c r="D3889"/>
      <c r="E3889">
        <v>53000</v>
      </c>
      <c r="F3889">
        <v>59.9</v>
      </c>
      <c r="G3889">
        <v>39.9</v>
      </c>
      <c r="H3889">
        <v>100</v>
      </c>
      <c r="I3889" t="inlineStr">
        <is>
          <t>零食</t>
        </is>
      </c>
      <c r="J3889" t="inlineStr">
        <is>
          <t>0.00</t>
        </is>
      </c>
      <c r="K3889" t="inlineStr">
        <is>
          <t>🔥低粉爆款</t>
        </is>
      </c>
      <c r="L3889" t="inlineStr">
        <is>
          <t>仓鼠行动专卖店</t>
        </is>
      </c>
      <c r="M3889">
        <v>7049</v>
      </c>
      <c r="N3889">
        <v>4.57</v>
      </c>
      <c r="O3889">
        <v>54000</v>
      </c>
      <c r="P3889" t="inlineStr">
        <is>
          <t>6889b6fd22713e00017d6d67</t>
        </is>
      </c>
      <c r="Q3889"/>
      <c r="R3889" t="inlineStr">
        <is>
          <t>15周</t>
        </is>
      </c>
      <c r="S3889" t="inlineStr">
        <is>
          <t>7.52</t>
        </is>
      </c>
      <c r="T3889" t="inlineStr">
        <is>
          <t>美食滋补</t>
        </is>
      </c>
      <c r="U3889" t="inlineStr">
        <is>
          <t>休闲零食</t>
        </is>
      </c>
      <c r="V3889" s="3">
        <v>46119.985972222225</v>
      </c>
      <c r="W3889" t="inlineStr">
        <is>
          <t>2026-Q2</t>
        </is>
      </c>
    </row>
    <row r="3890" ht="25.5" customHeight="1">
      <c r="A3890" t="inlineStr">
        <is>
          <t>知味观 · 现烤龙井茶饼茉莉茶饼梅香芝士酥零食下午茶中式糕点心伴手礼送礼</t>
        </is>
      </c>
      <c r="B3890" t="inlineStr">
        <is>
          <t>recvg7vyEbYW4j.jpg</t>
        </is>
      </c>
      <c r="C3890" s="2" t="str">
        <f>=HYPERLINK("https://xhslink.com/m/69jPrBNvAe3", "https://xhslink.com/m/69jPrBNvAe3")</f>
        <v>https://xhslink.com/m/69jPrBNvAe3</v>
      </c>
      <c r="D3890"/>
      <c r="E3890">
        <v>28000</v>
      </c>
      <c r="F3890">
        <v>27</v>
      </c>
      <c r="G3890">
        <v>22.9</v>
      </c>
      <c r="H3890">
        <v>100</v>
      </c>
      <c r="I3890" t="inlineStr">
        <is>
          <t>下午茶</t>
        </is>
      </c>
      <c r="J3890" t="inlineStr">
        <is>
          <t>0.00</t>
        </is>
      </c>
      <c r="K3890"/>
      <c r="L3890" t="inlineStr">
        <is>
          <t>知味观旗舰店</t>
        </is>
      </c>
      <c r="M3890">
        <v>40000</v>
      </c>
      <c r="N3890">
        <v>4.7</v>
      </c>
      <c r="O3890">
        <v>122000</v>
      </c>
      <c r="P3890" t="inlineStr">
        <is>
          <t>67d7f65b29b9f700019abb15</t>
        </is>
      </c>
      <c r="Q3890"/>
      <c r="R3890" t="inlineStr">
        <is>
          <t>15周</t>
        </is>
      </c>
      <c r="S3890" t="inlineStr">
        <is>
          <t>0.70</t>
        </is>
      </c>
      <c r="T3890" t="inlineStr">
        <is>
          <t>美食滋补</t>
        </is>
      </c>
      <c r="U3890" t="inlineStr">
        <is>
          <t>休闲零食</t>
        </is>
      </c>
      <c r="V3890" s="3">
        <v>46119.985972222225</v>
      </c>
      <c r="W3890" t="inlineStr">
        <is>
          <t>2026-Q2</t>
        </is>
      </c>
    </row>
    <row r="3891" ht="25.5" customHeight="1">
      <c r="A3891" t="inlineStr">
        <is>
          <t>VIEW · 日本官方正品 121无胶圈泳镜 高清镀膜 十倍防雾 游泳竞速眼镜</t>
        </is>
      </c>
      <c r="B3891" t="inlineStr">
        <is>
          <t>recvg7vyEbwqA0.jpg</t>
        </is>
      </c>
      <c r="C3891" s="2" t="str">
        <f>=HYPERLINK("https://xhslink.com/m/2oYw7LeByEX", "https://xhslink.com/m/2oYw7LeByEX")</f>
        <v>https://xhslink.com/m/2oYw7LeByEX</v>
      </c>
      <c r="D3891"/>
      <c r="E3891">
        <v>7515</v>
      </c>
      <c r="F3891">
        <v>208</v>
      </c>
      <c r="G3891">
        <v>166</v>
      </c>
      <c r="H3891">
        <v>100</v>
      </c>
      <c r="I3891" t="inlineStr">
        <is>
          <t>包包装饰</t>
        </is>
      </c>
      <c r="J3891" t="inlineStr">
        <is>
          <t>0.01</t>
        </is>
      </c>
      <c r="K3891"/>
      <c r="L3891" t="inlineStr">
        <is>
          <t>View竞速泳镜的店</t>
        </is>
      </c>
      <c r="M3891">
        <v>15000</v>
      </c>
      <c r="N3891">
        <v>4.62</v>
      </c>
      <c r="O3891">
        <v>85000</v>
      </c>
      <c r="P3891" t="inlineStr">
        <is>
          <t>67e0fef2b95653000119e0b6</t>
        </is>
      </c>
      <c r="Q3891"/>
      <c r="R3891" t="inlineStr">
        <is>
          <t>15周</t>
        </is>
      </c>
      <c r="S3891" t="inlineStr">
        <is>
          <t>0.50</t>
        </is>
      </c>
      <c r="T3891" t="inlineStr">
        <is>
          <t>服饰穿搭</t>
        </is>
      </c>
      <c r="U3891" t="inlineStr">
        <is>
          <t>鞋靴箱包</t>
        </is>
      </c>
      <c r="V3891" s="3">
        <v>46119.985972222225</v>
      </c>
      <c r="W3891" t="inlineStr">
        <is>
          <t>2026-Q2</t>
        </is>
      </c>
    </row>
    <row r="3892" ht="25.5" customHeight="1">
      <c r="A3892" t="inlineStr">
        <is>
          <t>SportCom · 日本护膝半月板损伤男女膝盖关节专业护具跑步运动薄款髌骨保护套</t>
        </is>
      </c>
      <c r="B3892" t="inlineStr">
        <is>
          <t>recvg7vyEbjbIh.jpg</t>
        </is>
      </c>
      <c r="C3892" s="2" t="str">
        <f>=HYPERLINK("https://xhslink.com/m/7FadvwCtZqX", "https://xhslink.com/m/7FadvwCtZqX")</f>
        <v>https://xhslink.com/m/7FadvwCtZqX</v>
      </c>
      <c r="D3892"/>
      <c r="E3892">
        <v>14000</v>
      </c>
      <c r="F3892">
        <v>79.9</v>
      </c>
      <c r="G3892">
        <v>49.9</v>
      </c>
      <c r="H3892">
        <v>100</v>
      </c>
      <c r="I3892" t="inlineStr">
        <is>
          <t>包包装饰</t>
        </is>
      </c>
      <c r="J3892" t="inlineStr">
        <is>
          <t>0.01</t>
        </is>
      </c>
      <c r="K3892" t="inlineStr">
        <is>
          <t>🔥低粉爆款</t>
        </is>
      </c>
      <c r="L3892" t="inlineStr">
        <is>
          <t>Sportcom运动护具的店</t>
        </is>
      </c>
      <c r="M3892">
        <v>492</v>
      </c>
      <c r="N3892">
        <v>4.67</v>
      </c>
      <c r="O3892">
        <v>15000</v>
      </c>
      <c r="P3892" t="inlineStr">
        <is>
          <t>663b1a6e814de70001c5f023</t>
        </is>
      </c>
      <c r="Q3892" t="inlineStr">
        <is>
          <t>🚫重复</t>
        </is>
      </c>
      <c r="R3892" t="inlineStr">
        <is>
          <t>15周</t>
        </is>
      </c>
      <c r="S3892" t="inlineStr">
        <is>
          <t>28.46</t>
        </is>
      </c>
      <c r="T3892" t="inlineStr">
        <is>
          <t>运动潮玩</t>
        </is>
      </c>
      <c r="U3892" t="inlineStr">
        <is>
          <t>运动户外装备</t>
        </is>
      </c>
      <c r="V3892" s="3">
        <v>46119.985972222225</v>
      </c>
      <c r="W3892" t="inlineStr">
        <is>
          <t>2026-Q2</t>
        </is>
      </c>
    </row>
    <row r="3893" ht="25.5" customHeight="1">
      <c r="A3893" t="inlineStr">
        <is>
          <t>Crying Center · 多色经典迷你登山包野餐包小书包背包</t>
        </is>
      </c>
      <c r="B3893" t="inlineStr">
        <is>
          <t>recvg7vyEb4JHg.jpg</t>
        </is>
      </c>
      <c r="C3893" s="2" t="str">
        <f>=HYPERLINK("https://xhslink.com/m/9icqrK1kHu7", "https://xhslink.com/m/9icqrK1kHu7")</f>
        <v>https://xhslink.com/m/9icqrK1kHu7</v>
      </c>
      <c r="D3893"/>
      <c r="E3893">
        <v>18000</v>
      </c>
      <c r="F3893">
        <v>149</v>
      </c>
      <c r="G3893">
        <v>134.1</v>
      </c>
      <c r="H3893">
        <v>100</v>
      </c>
      <c r="I3893" t="inlineStr">
        <is>
          <t>包包装饰</t>
        </is>
      </c>
      <c r="J3893" t="inlineStr">
        <is>
          <t>0.01</t>
        </is>
      </c>
      <c r="K3893"/>
      <c r="L3893" t="inlineStr">
        <is>
          <t>Crying center哭喊中心旗舰店</t>
        </is>
      </c>
      <c r="M3893">
        <v>522000</v>
      </c>
      <c r="N3893">
        <v>4.52</v>
      </c>
      <c r="O3893">
        <v>1387000</v>
      </c>
      <c r="P3893" t="inlineStr">
        <is>
          <t>66124f68df3ddc000162ac7a</t>
        </is>
      </c>
      <c r="Q3893"/>
      <c r="R3893" t="inlineStr">
        <is>
          <t>15周</t>
        </is>
      </c>
      <c r="S3893" t="inlineStr">
        <is>
          <t>0.03</t>
        </is>
      </c>
      <c r="T3893" t="inlineStr">
        <is>
          <t>服饰穿搭</t>
        </is>
      </c>
      <c r="U3893" t="inlineStr">
        <is>
          <t>鞋靴箱包</t>
        </is>
      </c>
      <c r="V3893" s="3">
        <v>46119.985972222225</v>
      </c>
      <c r="W3893" t="inlineStr">
        <is>
          <t>2026-Q2</t>
        </is>
      </c>
    </row>
    <row r="3894" ht="25.5" customHeight="1">
      <c r="A3894" t="inlineStr">
        <is>
          <t>端午限定 | 美寓高”粽“发圈中考高考考研考博高中祝福金榜题名</t>
        </is>
      </c>
      <c r="B3894" t="inlineStr">
        <is>
          <t>recvgd5oqY2itx.jpg</t>
        </is>
      </c>
      <c r="C3894" s="2" t="str">
        <f>=HYPERLINK("https://xhslink.com/m/5ynHA9py9b5", "https://xhslink.com/m/5ynHA9py9b5")</f>
        <v>https://xhslink.com/m/5ynHA9py9b5</v>
      </c>
      <c r="D3894"/>
      <c r="E3894">
        <v>24000</v>
      </c>
      <c r="F3894">
        <v>25</v>
      </c>
      <c r="G3894"/>
      <c r="H3894">
        <v>100</v>
      </c>
      <c r="I3894" t="inlineStr">
        <is>
          <t>配饰</t>
        </is>
      </c>
      <c r="J3894" t="inlineStr">
        <is>
          <t>0.00</t>
        </is>
      </c>
      <c r="K3894"/>
      <c r="L3894" t="inlineStr">
        <is>
          <t>winnie云妮的店</t>
        </is>
      </c>
      <c r="M3894">
        <v>196000</v>
      </c>
      <c r="N3894">
        <v>4.68</v>
      </c>
      <c r="O3894">
        <v>1001000</v>
      </c>
      <c r="P3894" t="inlineStr">
        <is>
          <t>6823026fd0f04300012ded75</t>
        </is>
      </c>
      <c r="Q3894" t="inlineStr">
        <is>
          <t>🚫重复</t>
        </is>
      </c>
      <c r="R3894" t="inlineStr">
        <is>
          <t>15周</t>
        </is>
      </c>
      <c r="S3894" t="inlineStr">
        <is>
          <t>0.12</t>
        </is>
      </c>
      <c r="T3894" t="inlineStr">
        <is>
          <t>服饰穿搭</t>
        </is>
      </c>
      <c r="U3894" t="inlineStr">
        <is>
          <t>配饰</t>
        </is>
      </c>
      <c r="V3894" s="3">
        <v>46120.93989583333</v>
      </c>
      <c r="W3894" t="inlineStr">
        <is>
          <t>2026-Q2</t>
        </is>
      </c>
    </row>
    <row r="3895" ht="25.5" customHeight="1">
      <c r="A3895" t="inlineStr">
        <is>
          <t>【LunarPaths】温感2.0 复古水钻温感变色黑红细choker颈带锁骨链</t>
        </is>
      </c>
      <c r="B3895" t="inlineStr">
        <is>
          <t>recvgd5oYIltRp.jpg</t>
        </is>
      </c>
      <c r="C3895" s="2" t="str">
        <f>=HYPERLINK("https://xhslink.com/m/r9y37cc7ka", "https://xhslink.com/m/r9y37cc7ka")</f>
        <v>https://xhslink.com/m/r9y37cc7ka</v>
      </c>
      <c r="D3895"/>
      <c r="E3895">
        <v>3069</v>
      </c>
      <c r="F3895">
        <v>46.9</v>
      </c>
      <c r="G3895">
        <v>16.9</v>
      </c>
      <c r="H3895">
        <v>100</v>
      </c>
      <c r="I3895" t="inlineStr">
        <is>
          <t>配饰</t>
        </is>
      </c>
      <c r="J3895" t="inlineStr">
        <is>
          <t>0.03</t>
        </is>
      </c>
      <c r="K3895"/>
      <c r="L3895" t="inlineStr">
        <is>
          <t>月之径Lunar Paths的店</t>
        </is>
      </c>
      <c r="M3895">
        <v>4731</v>
      </c>
      <c r="N3895">
        <v>4.56</v>
      </c>
      <c r="O3895">
        <v>5665</v>
      </c>
      <c r="P3895" t="inlineStr">
        <is>
          <t>69634f93ce1e9f0001bac63c</t>
        </is>
      </c>
      <c r="Q3895"/>
      <c r="R3895" t="inlineStr">
        <is>
          <t>15周</t>
        </is>
      </c>
      <c r="S3895" t="inlineStr">
        <is>
          <t>0.65</t>
        </is>
      </c>
      <c r="T3895" t="inlineStr">
        <is>
          <t>服饰穿搭</t>
        </is>
      </c>
      <c r="U3895" t="inlineStr">
        <is>
          <t>配饰</t>
        </is>
      </c>
      <c r="V3895" s="3">
        <v>46120.939930555556</v>
      </c>
      <c r="W3895" t="inlineStr">
        <is>
          <t>2026-Q2</t>
        </is>
      </c>
    </row>
    <row r="3896" ht="25.5" customHeight="1">
      <c r="A3896" t="inlineStr">
        <is>
          <t>夏季小草莓收腰显瘦斜裁小飞袖连衣裙 度假感海边长裙 雪纺</t>
        </is>
      </c>
      <c r="B3896" t="inlineStr">
        <is>
          <t>recvgd5oYIT0Y1.jpg</t>
        </is>
      </c>
      <c r="C3896" s="2" t="str">
        <f>=HYPERLINK("https://xhslink.com/m/5Rwe6m1tqkC", "https://xhslink.com/m/5Rwe6m1tqkC")</f>
        <v>https://xhslink.com/m/5Rwe6m1tqkC</v>
      </c>
      <c r="D3896"/>
      <c r="E3896">
        <v>1049</v>
      </c>
      <c r="F3896">
        <v>179</v>
      </c>
      <c r="G3896"/>
      <c r="H3896">
        <v>100</v>
      </c>
      <c r="I3896" t="inlineStr">
        <is>
          <t>连衣裙</t>
        </is>
      </c>
      <c r="J3896" t="inlineStr">
        <is>
          <t>0.10</t>
        </is>
      </c>
      <c r="K3896"/>
      <c r="L3896" t="inlineStr">
        <is>
          <t>千万 Ten million的店</t>
        </is>
      </c>
      <c r="M3896">
        <v>33000</v>
      </c>
      <c r="N3896">
        <v>4.59</v>
      </c>
      <c r="O3896">
        <v>56000</v>
      </c>
      <c r="P3896" t="inlineStr">
        <is>
          <t>682ef2baddb9e7000130d0c1</t>
        </is>
      </c>
      <c r="Q3896"/>
      <c r="R3896" t="inlineStr">
        <is>
          <t>15周</t>
        </is>
      </c>
      <c r="S3896" t="inlineStr">
        <is>
          <t>0.03</t>
        </is>
      </c>
      <c r="T3896" t="inlineStr">
        <is>
          <t>服饰穿搭</t>
        </is>
      </c>
      <c r="U3896" t="inlineStr">
        <is>
          <t>女装</t>
        </is>
      </c>
      <c r="V3896" s="3">
        <v>46120.939930555556</v>
      </c>
      <c r="W3896" t="inlineStr">
        <is>
          <t>2026-Q2</t>
        </is>
      </c>
    </row>
    <row r="3897" ht="25.5" customHeight="1">
      <c r="A3897" t="inlineStr">
        <is>
          <t>【葱茏】桑蚕丝斜裁V领连衣裙 绝美氛围感5.0分度假裙</t>
        </is>
      </c>
      <c r="B3897" t="inlineStr">
        <is>
          <t>recvgd5oYIN0Th.jpg</t>
        </is>
      </c>
      <c r="C3897" s="2" t="str">
        <f>=HYPERLINK("https://xhslink.com/m/78lZHRyaple", "https://xhslink.com/m/78lZHRyaple")</f>
        <v>https://xhslink.com/m/78lZHRyaple</v>
      </c>
      <c r="D3897"/>
      <c r="E3897">
        <v>2452</v>
      </c>
      <c r="F3897">
        <v>499</v>
      </c>
      <c r="G3897"/>
      <c r="H3897">
        <v>100</v>
      </c>
      <c r="I3897" t="inlineStr">
        <is>
          <t>连衣裙</t>
        </is>
      </c>
      <c r="J3897" t="inlineStr">
        <is>
          <t>0.04</t>
        </is>
      </c>
      <c r="K3897"/>
      <c r="L3897" t="inlineStr">
        <is>
          <t>发光欧尼的店</t>
        </is>
      </c>
      <c r="M3897">
        <v>26000</v>
      </c>
      <c r="N3897">
        <v>4.68</v>
      </c>
      <c r="O3897">
        <v>27000</v>
      </c>
      <c r="P3897" t="inlineStr">
        <is>
          <t>66972e338d1f2a00017e10d2</t>
        </is>
      </c>
      <c r="Q3897"/>
      <c r="R3897" t="inlineStr">
        <is>
          <t>15周</t>
        </is>
      </c>
      <c r="S3897" t="inlineStr">
        <is>
          <t>0.09</t>
        </is>
      </c>
      <c r="T3897" t="inlineStr">
        <is>
          <t>服饰穿搭</t>
        </is>
      </c>
      <c r="U3897" t="inlineStr">
        <is>
          <t>女装</t>
        </is>
      </c>
      <c r="V3897" s="3">
        <v>46120.939930555556</v>
      </c>
      <c r="W3897" t="inlineStr">
        <is>
          <t>2026-Q2</t>
        </is>
      </c>
    </row>
    <row r="3898" ht="25.5" customHeight="1">
      <c r="A3898" t="inlineStr">
        <is>
          <t>Fang Studios“月光独奏”银丝亚麻无袖收腰显瘦气质高质感连衣裙</t>
        </is>
      </c>
      <c r="B3898" t="inlineStr">
        <is>
          <t>recvgd5oYIaMVa.jpg</t>
        </is>
      </c>
      <c r="C3898" s="2" t="str">
        <f>=HYPERLINK("https://xhslink.com/m/7cwK0iT0vIm", "https://xhslink.com/m/7cwK0iT0vIm")</f>
        <v>https://xhslink.com/m/7cwK0iT0vIm</v>
      </c>
      <c r="D3898"/>
      <c r="E3898">
        <v>357</v>
      </c>
      <c r="F3898">
        <v>779</v>
      </c>
      <c r="G3898">
        <v>579</v>
      </c>
      <c r="H3898">
        <v>100</v>
      </c>
      <c r="I3898" t="inlineStr">
        <is>
          <t>连衣裙</t>
        </is>
      </c>
      <c r="J3898" t="inlineStr">
        <is>
          <t>0.28</t>
        </is>
      </c>
      <c r="K3898"/>
      <c r="L3898" t="inlineStr">
        <is>
          <t>Fang Studios的店</t>
        </is>
      </c>
      <c r="M3898">
        <v>15000</v>
      </c>
      <c r="N3898">
        <v>4.75</v>
      </c>
      <c r="O3898">
        <v>59000</v>
      </c>
      <c r="P3898" t="inlineStr">
        <is>
          <t>69ae82dd1166fe0001debbc5</t>
        </is>
      </c>
      <c r="Q3898"/>
      <c r="R3898" t="inlineStr">
        <is>
          <t>15周</t>
        </is>
      </c>
      <c r="S3898" t="inlineStr">
        <is>
          <t>0.02</t>
        </is>
      </c>
      <c r="T3898" t="inlineStr">
        <is>
          <t>服饰穿搭</t>
        </is>
      </c>
      <c r="U3898" t="inlineStr">
        <is>
          <t>女装</t>
        </is>
      </c>
      <c r="V3898" s="3">
        <v>46120.939930555556</v>
      </c>
      <c r="W3898" t="inlineStr">
        <is>
          <t>2026-Q2</t>
        </is>
      </c>
    </row>
    <row r="3899" ht="25.5" customHeight="1">
      <c r="A3899" t="inlineStr">
        <is>
          <t>2026夏季新款胖mm大码设计感长短款a字裙纯欲风假两件连衣裙64643</t>
        </is>
      </c>
      <c r="B3899" t="inlineStr">
        <is>
          <t>recvgd5oYIQGt8.jpg</t>
        </is>
      </c>
      <c r="C3899" s="2" t="str">
        <f>=HYPERLINK("https://xhslink.com/m/uVfr85VEgm", "https://xhslink.com/m/uVfr85VEgm")</f>
        <v>https://xhslink.com/m/uVfr85VEgm</v>
      </c>
      <c r="D3899"/>
      <c r="E3899">
        <v>314</v>
      </c>
      <c r="F3899">
        <v>169</v>
      </c>
      <c r="G3899">
        <v>118</v>
      </c>
      <c r="H3899">
        <v>100</v>
      </c>
      <c r="I3899" t="inlineStr">
        <is>
          <t>连衣裙</t>
        </is>
      </c>
      <c r="J3899" t="inlineStr">
        <is>
          <t>0.32</t>
        </is>
      </c>
      <c r="K3899"/>
      <c r="L3899" t="inlineStr">
        <is>
          <t>JanYan简言的店</t>
        </is>
      </c>
      <c r="M3899">
        <v>1911</v>
      </c>
      <c r="N3899">
        <v>4.49</v>
      </c>
      <c r="O3899">
        <v>6856</v>
      </c>
      <c r="P3899" t="inlineStr">
        <is>
          <t>688eae1186c0df00013fe35f</t>
        </is>
      </c>
      <c r="Q3899"/>
      <c r="R3899" t="inlineStr">
        <is>
          <t>15周</t>
        </is>
      </c>
      <c r="S3899" t="inlineStr">
        <is>
          <t>0.16</t>
        </is>
      </c>
      <c r="T3899" t="inlineStr">
        <is>
          <t>服饰穿搭</t>
        </is>
      </c>
      <c r="U3899" t="inlineStr">
        <is>
          <t>女装</t>
        </is>
      </c>
      <c r="V3899" s="3">
        <v>46120.939930555556</v>
      </c>
      <c r="W3899" t="inlineStr">
        <is>
          <t>2026-Q2</t>
        </is>
      </c>
    </row>
    <row r="3900" ht="25.5" customHeight="1">
      <c r="A3900" t="inlineStr">
        <is>
          <t>海派甜心釉下彩苹果碗陶瓷碗具餐盘套装</t>
        </is>
      </c>
      <c r="B3900" t="inlineStr">
        <is>
          <t>recvgd5oYI0gE1.jpg</t>
        </is>
      </c>
      <c r="C3900" s="2" t="str">
        <f>=HYPERLINK("https://xhslink.com/m/2FtBmeNuTbO", "https://xhslink.com/m/2FtBmeNuTbO")</f>
        <v>https://xhslink.com/m/2FtBmeNuTbO</v>
      </c>
      <c r="D3900"/>
      <c r="E3900">
        <v>13000</v>
      </c>
      <c r="F3900">
        <v>18.9</v>
      </c>
      <c r="G3900"/>
      <c r="H3900">
        <v>100</v>
      </c>
      <c r="I3900" t="inlineStr">
        <is>
          <t>餐具</t>
        </is>
      </c>
      <c r="J3900" t="inlineStr">
        <is>
          <t>0.01</t>
        </is>
      </c>
      <c r="K3900" t="inlineStr">
        <is>
          <t>🔥低粉爆款</t>
        </is>
      </c>
      <c r="L3900" t="inlineStr">
        <is>
          <t>I77 HOME（乾誉）的店</t>
        </is>
      </c>
      <c r="M3900">
        <v>813</v>
      </c>
      <c r="N3900">
        <v>4.48</v>
      </c>
      <c r="O3900">
        <v>16000</v>
      </c>
      <c r="P3900" t="inlineStr">
        <is>
          <t>692e5ad12cf0ca0001375114</t>
        </is>
      </c>
      <c r="Q3900" t="inlineStr">
        <is>
          <t>🚫重复</t>
        </is>
      </c>
      <c r="R3900" t="inlineStr">
        <is>
          <t>15周</t>
        </is>
      </c>
      <c r="S3900" t="inlineStr">
        <is>
          <t>15.99</t>
        </is>
      </c>
      <c r="T3900" t="inlineStr">
        <is>
          <t>家居生活</t>
        </is>
      </c>
      <c r="U3900" t="inlineStr">
        <is>
          <t>厨房餐饮</t>
        </is>
      </c>
      <c r="V3900" s="3">
        <v>46120.939930555556</v>
      </c>
      <c r="W3900" t="inlineStr">
        <is>
          <t>2026-Q2</t>
        </is>
      </c>
    </row>
    <row r="3901" ht="25.5" customHeight="1">
      <c r="A3901" t="inlineStr">
        <is>
          <t>碳烤八风干纯瘦牛肉干（无添加、非油炸）</t>
        </is>
      </c>
      <c r="B3901" t="inlineStr">
        <is>
          <t>recvgd5oYIMvZZ.jpg</t>
        </is>
      </c>
      <c r="C3901" s="2" t="str">
        <f>=HYPERLINK("https://xhslink.com/m/2t5ck9UvPUd", "https://xhslink.com/m/2t5ck9UvPUd")</f>
        <v>https://xhslink.com/m/2t5ck9UvPUd</v>
      </c>
      <c r="D3901"/>
      <c r="E3901">
        <v>129000</v>
      </c>
      <c r="F3901">
        <v>9.9</v>
      </c>
      <c r="G3901"/>
      <c r="H3901">
        <v>100</v>
      </c>
      <c r="I3901" t="inlineStr">
        <is>
          <t>卤味肉干</t>
        </is>
      </c>
      <c r="J3901" t="inlineStr">
        <is>
          <t>0.00</t>
        </is>
      </c>
      <c r="K3901" t="inlineStr">
        <is>
          <t>🔥低粉爆款</t>
        </is>
      </c>
      <c r="L3901" t="inlineStr">
        <is>
          <t>97只做现烤牛肉干的店</t>
        </is>
      </c>
      <c r="M3901">
        <v>11000</v>
      </c>
      <c r="N3901">
        <v>4.63</v>
      </c>
      <c r="O3901">
        <v>171000</v>
      </c>
      <c r="P3901" t="inlineStr">
        <is>
          <t>664980bf533bfa0001858fdf</t>
        </is>
      </c>
      <c r="Q3901" t="inlineStr">
        <is>
          <t>🚫重复</t>
        </is>
      </c>
      <c r="R3901" t="inlineStr">
        <is>
          <t>15周</t>
        </is>
      </c>
      <c r="S3901" t="inlineStr">
        <is>
          <t>11.73</t>
        </is>
      </c>
      <c r="T3901" t="inlineStr">
        <is>
          <t>美食滋补</t>
        </is>
      </c>
      <c r="U3901" t="inlineStr">
        <is>
          <t>休闲零食</t>
        </is>
      </c>
      <c r="V3901" s="3">
        <v>46120.939930555556</v>
      </c>
      <c r="W3901" t="inlineStr">
        <is>
          <t>2026-Q2</t>
        </is>
      </c>
    </row>
    <row r="3902" ht="25.5" customHeight="1">
      <c r="A3902" t="inlineStr">
        <is>
          <t>东方甄选 · 低脂香煎鸡胸肉 鸡排鸡肉早餐速食健身食材1kg/袋即食便携</t>
        </is>
      </c>
      <c r="B3902" t="inlineStr">
        <is>
          <t>recvgd5oYI925E_fix.jpg</t>
        </is>
      </c>
      <c r="C3902" s="2" t="str">
        <f>=HYPERLINK("https://xhslink.com/m/35KtDawGZgY", "https://xhslink.com/m/35KtDawGZgY")</f>
        <v>https://xhslink.com/m/35KtDawGZgY</v>
      </c>
      <c r="D3902"/>
      <c r="E3902">
        <v>30000</v>
      </c>
      <c r="F3902">
        <v>56</v>
      </c>
      <c r="G3902"/>
      <c r="H3902">
        <v>100</v>
      </c>
      <c r="I3902" t="inlineStr">
        <is>
          <t>健康早餐</t>
        </is>
      </c>
      <c r="J3902" t="inlineStr">
        <is>
          <t>0.00</t>
        </is>
      </c>
      <c r="K3902"/>
      <c r="L3902" t="inlineStr">
        <is>
          <t>东方甄选旗舰店</t>
        </is>
      </c>
      <c r="M3902">
        <v>991000</v>
      </c>
      <c r="N3902">
        <v>4.71</v>
      </c>
      <c r="O3902">
        <v>1753000</v>
      </c>
      <c r="P3902" t="inlineStr">
        <is>
          <t>655ad8f03edc980001bb490b</t>
        </is>
      </c>
      <c r="Q3902" t="inlineStr">
        <is>
          <t>🚫重复</t>
        </is>
      </c>
      <c r="R3902" t="inlineStr">
        <is>
          <t>15周</t>
        </is>
      </c>
      <c r="S3902" t="inlineStr">
        <is>
          <t>0.03</t>
        </is>
      </c>
      <c r="T3902" t="inlineStr">
        <is>
          <t>美食滋补</t>
        </is>
      </c>
      <c r="U3902" t="inlineStr">
        <is>
          <t>休闲零食</t>
        </is>
      </c>
      <c r="V3902" s="3">
        <v>46120.939930555556</v>
      </c>
      <c r="W3902" t="inlineStr">
        <is>
          <t>2026-Q2</t>
        </is>
      </c>
    </row>
    <row r="3903" ht="25.5" customHeight="1">
      <c r="A3903" t="inlineStr">
        <is>
          <t>【一个月不重样】养生米糊豆浆早餐五谷杂粮破壁机食谱豆浆包豆浆</t>
        </is>
      </c>
      <c r="B3903" t="inlineStr">
        <is>
          <t>recvgd5oYIowFj.jpg</t>
        </is>
      </c>
      <c r="C3903" s="2" t="str">
        <f>=HYPERLINK("https://xhslink.com/m/7AMG5HsuSYj", "https://xhslink.com/m/7AMG5HsuSYj")</f>
        <v>https://xhslink.com/m/7AMG5HsuSYj</v>
      </c>
      <c r="D3903"/>
      <c r="E3903">
        <v>9457</v>
      </c>
      <c r="F3903">
        <v>55.9</v>
      </c>
      <c r="G3903">
        <v>46.9</v>
      </c>
      <c r="H3903">
        <v>100</v>
      </c>
      <c r="I3903" t="inlineStr">
        <is>
          <t>健康早餐</t>
        </is>
      </c>
      <c r="J3903" t="inlineStr">
        <is>
          <t>0.01</t>
        </is>
      </c>
      <c r="K3903" t="inlineStr">
        <is>
          <t>🔥低粉爆款</t>
        </is>
      </c>
      <c r="L3903" t="inlineStr">
        <is>
          <t>七点半食养堂的店</t>
        </is>
      </c>
      <c r="M3903">
        <v>1369</v>
      </c>
      <c r="N3903">
        <v>4.61</v>
      </c>
      <c r="O3903">
        <v>9644</v>
      </c>
      <c r="P3903" t="inlineStr">
        <is>
          <t>691686c743699b0001b2445d</t>
        </is>
      </c>
      <c r="Q3903"/>
      <c r="R3903" t="inlineStr">
        <is>
          <t>15周</t>
        </is>
      </c>
      <c r="S3903" t="inlineStr">
        <is>
          <t>6.91</t>
        </is>
      </c>
      <c r="T3903" t="inlineStr">
        <is>
          <t>美食滋补</t>
        </is>
      </c>
      <c r="U3903" t="inlineStr">
        <is>
          <t>休闲零食</t>
        </is>
      </c>
      <c r="V3903" s="3">
        <v>46120.939930555556</v>
      </c>
      <c r="W3903" t="inlineStr">
        <is>
          <t>2026-Q2</t>
        </is>
      </c>
    </row>
    <row r="3904" ht="25.5" customHeight="1">
      <c r="A3904" t="inlineStr">
        <is>
          <t>一旬一味 · 【手工纸皮烧麦】网红大只纸皮糯米烧卖学生儿童营养速食方便早餐</t>
        </is>
      </c>
      <c r="B3904" t="inlineStr">
        <is>
          <t>recvgd5oYIir1P.jpg</t>
        </is>
      </c>
      <c r="C3904" s="2" t="str">
        <f>=HYPERLINK("https://xhslink.com/m/36CTBw1UqUs", "https://xhslink.com/m/36CTBw1UqUs")</f>
        <v>https://xhslink.com/m/36CTBw1UqUs</v>
      </c>
      <c r="D3904"/>
      <c r="E3904">
        <v>104000</v>
      </c>
      <c r="F3904">
        <v>89.9</v>
      </c>
      <c r="G3904">
        <v>67.9</v>
      </c>
      <c r="H3904">
        <v>100</v>
      </c>
      <c r="I3904" t="inlineStr">
        <is>
          <t>健康早餐</t>
        </is>
      </c>
      <c r="J3904" t="inlineStr">
        <is>
          <t>0.00</t>
        </is>
      </c>
      <c r="K3904" t="inlineStr">
        <is>
          <t>🔥低粉爆款</t>
        </is>
      </c>
      <c r="L3904" t="inlineStr">
        <is>
          <t>一旬一味旗舰店</t>
        </is>
      </c>
      <c r="M3904">
        <v>28000</v>
      </c>
      <c r="N3904">
        <v>4.5</v>
      </c>
      <c r="O3904">
        <v>251000</v>
      </c>
      <c r="P3904" t="inlineStr">
        <is>
          <t>65b0d2eb17f5dd0001c05a05</t>
        </is>
      </c>
      <c r="Q3904" t="inlineStr">
        <is>
          <t>🚫重复</t>
        </is>
      </c>
      <c r="R3904" t="inlineStr">
        <is>
          <t>15周</t>
        </is>
      </c>
      <c r="S3904" t="inlineStr">
        <is>
          <t>3.71</t>
        </is>
      </c>
      <c r="T3904" t="inlineStr">
        <is>
          <t>美食滋补</t>
        </is>
      </c>
      <c r="U3904" t="inlineStr">
        <is>
          <t>休闲零食</t>
        </is>
      </c>
      <c r="V3904" s="3">
        <v>46120.939930555556</v>
      </c>
      <c r="W3904" t="inlineStr">
        <is>
          <t>2026-Q2</t>
        </is>
      </c>
    </row>
    <row r="3905" ht="25.5" customHeight="1">
      <c r="A3905" t="inlineStr">
        <is>
          <t>周三的情书 天气：小雨 · 全麦面包森林蔬菜吐司 低脂轻卡0蔗糖添加代餐早餐面包整箱 7口味</t>
        </is>
      </c>
      <c r="B3905" t="inlineStr">
        <is>
          <t>recvgd5oYIiEnx.jpg</t>
        </is>
      </c>
      <c r="C3905" s="2" t="str">
        <f>=HYPERLINK("https://xhslink.com/m/6QnbArdcF7w", "https://xhslink.com/m/6QnbArdcF7w")</f>
        <v>https://xhslink.com/m/6QnbArdcF7w</v>
      </c>
      <c r="D3905"/>
      <c r="E3905">
        <v>38000</v>
      </c>
      <c r="F3905">
        <v>16.9</v>
      </c>
      <c r="G3905">
        <v>6.9</v>
      </c>
      <c r="H3905">
        <v>100</v>
      </c>
      <c r="I3905" t="inlineStr">
        <is>
          <t>健康早餐</t>
        </is>
      </c>
      <c r="J3905" t="inlineStr">
        <is>
          <t>0.00</t>
        </is>
      </c>
      <c r="K3905"/>
      <c r="L3905" t="inlineStr">
        <is>
          <t>周三的情书 天气：小雨旗舰店</t>
        </is>
      </c>
      <c r="M3905">
        <v>27000</v>
      </c>
      <c r="N3905">
        <v>3.89</v>
      </c>
      <c r="O3905">
        <v>430000</v>
      </c>
      <c r="P3905" t="inlineStr">
        <is>
          <t>66d80a2c0b841f000175d64f</t>
        </is>
      </c>
      <c r="Q3905" t="inlineStr">
        <is>
          <t>🚫重复</t>
        </is>
      </c>
      <c r="R3905" t="inlineStr">
        <is>
          <t>15周</t>
        </is>
      </c>
      <c r="S3905" t="inlineStr">
        <is>
          <t>1.41</t>
        </is>
      </c>
      <c r="T3905" t="inlineStr">
        <is>
          <t>美食滋补</t>
        </is>
      </c>
      <c r="U3905" t="inlineStr">
        <is>
          <t>休闲零食</t>
        </is>
      </c>
      <c r="V3905" s="3">
        <v>46120.939930555556</v>
      </c>
      <c r="W3905" t="inlineStr">
        <is>
          <t>2026-Q2</t>
        </is>
      </c>
    </row>
    <row r="3906" ht="25.5" customHeight="1">
      <c r="A3906" t="inlineStr">
        <is>
          <t>【春季上新季】 早春设计韩系蝴蝶结U型领纯棉长袖T恤上衣</t>
        </is>
      </c>
      <c r="B3906" t="inlineStr">
        <is>
          <t>recvgd5oYIONtT.jpg</t>
        </is>
      </c>
      <c r="C3906" s="2" t="str">
        <f>=HYPERLINK("https://xhslink.com/m/85VvEmqo2M5", "https://xhslink.com/m/85VvEmqo2M5")</f>
        <v>https://xhslink.com/m/85VvEmqo2M5</v>
      </c>
      <c r="D3906"/>
      <c r="E3906">
        <v>7311</v>
      </c>
      <c r="F3906">
        <v>89</v>
      </c>
      <c r="G3906">
        <v>39</v>
      </c>
      <c r="H3906">
        <v>100</v>
      </c>
      <c r="I3906" t="inlineStr">
        <is>
          <t>T恤</t>
        </is>
      </c>
      <c r="J3906" t="inlineStr">
        <is>
          <t>0.01</t>
        </is>
      </c>
      <c r="K3906"/>
      <c r="L3906" t="inlineStr">
        <is>
          <t>AH STUDIO工厂店的店</t>
        </is>
      </c>
      <c r="M3906">
        <v>7243</v>
      </c>
      <c r="N3906">
        <v>4.6</v>
      </c>
      <c r="O3906">
        <v>34000</v>
      </c>
      <c r="P3906" t="inlineStr">
        <is>
          <t>68725ca6527b4d000121a8b9</t>
        </is>
      </c>
      <c r="Q3906"/>
      <c r="R3906" t="inlineStr">
        <is>
          <t>15周</t>
        </is>
      </c>
      <c r="S3906" t="inlineStr">
        <is>
          <t>1.01</t>
        </is>
      </c>
      <c r="T3906" t="inlineStr">
        <is>
          <t>服饰穿搭</t>
        </is>
      </c>
      <c r="U3906" t="inlineStr">
        <is>
          <t>女装</t>
        </is>
      </c>
      <c r="V3906" s="3">
        <v>46120.939930555556</v>
      </c>
      <c r="W3906" t="inlineStr">
        <is>
          <t>2026-Q2</t>
        </is>
      </c>
    </row>
    <row r="3907" ht="25.5" customHeight="1">
      <c r="A3907" t="inlineStr">
        <is>
          <t>【加长款正肩短袖】全棉100%棉T恤女夏季合身百搭显瘦t恤设</t>
        </is>
      </c>
      <c r="B3907" t="inlineStr">
        <is>
          <t>recvgd5oYIznJg.jpg</t>
        </is>
      </c>
      <c r="C3907" s="2" t="str">
        <f>=HYPERLINK("https://xhslink.com/m/8IP5gzkjnAu", "https://xhslink.com/m/8IP5gzkjnAu")</f>
        <v>https://xhslink.com/m/8IP5gzkjnAu</v>
      </c>
      <c r="D3907"/>
      <c r="E3907">
        <v>9459</v>
      </c>
      <c r="F3907">
        <v>37.9</v>
      </c>
      <c r="G3907"/>
      <c r="H3907">
        <v>100</v>
      </c>
      <c r="I3907" t="inlineStr">
        <is>
          <t>T恤</t>
        </is>
      </c>
      <c r="J3907" t="inlineStr">
        <is>
          <t>0.01</t>
        </is>
      </c>
      <c r="K3907"/>
      <c r="L3907" t="inlineStr">
        <is>
          <t>ootxjsh的店</t>
        </is>
      </c>
      <c r="M3907">
        <v>7704</v>
      </c>
      <c r="N3907">
        <v>4.58</v>
      </c>
      <c r="O3907">
        <v>45000</v>
      </c>
      <c r="P3907" t="inlineStr">
        <is>
          <t>66934570232a81000134724d</t>
        </is>
      </c>
      <c r="Q3907" t="inlineStr">
        <is>
          <t>🚫重复</t>
        </is>
      </c>
      <c r="R3907" t="inlineStr">
        <is>
          <t>15周</t>
        </is>
      </c>
      <c r="S3907" t="inlineStr">
        <is>
          <t>1.23</t>
        </is>
      </c>
      <c r="T3907" t="inlineStr">
        <is>
          <t>服饰穿搭</t>
        </is>
      </c>
      <c r="U3907" t="inlineStr">
        <is>
          <t>女装</t>
        </is>
      </c>
      <c r="V3907" s="3">
        <v>46120.939930555556</v>
      </c>
      <c r="W3907" t="inlineStr">
        <is>
          <t>2026-Q2</t>
        </is>
      </c>
    </row>
    <row r="3908" ht="25.5" customHeight="1">
      <c r="A3908" t="inlineStr">
        <is>
          <t>简约黑色正肩短袖女2026新款夏季纯棉t恤显高显瘦小个子修身上衣</t>
        </is>
      </c>
      <c r="B3908" t="inlineStr">
        <is>
          <t>recvgd5oYICSx9.jpg</t>
        </is>
      </c>
      <c r="C3908" s="2" t="str">
        <f>=HYPERLINK("https://xhslink.com/m/8LXm8XE3svQ", "https://xhslink.com/m/8LXm8XE3svQ")</f>
        <v>https://xhslink.com/m/8LXm8XE3svQ</v>
      </c>
      <c r="D3908"/>
      <c r="E3908">
        <v>17000</v>
      </c>
      <c r="F3908">
        <v>35.9</v>
      </c>
      <c r="G3908">
        <v>34.9</v>
      </c>
      <c r="H3908">
        <v>100</v>
      </c>
      <c r="I3908" t="inlineStr">
        <is>
          <t>T恤</t>
        </is>
      </c>
      <c r="J3908" t="inlineStr">
        <is>
          <t>0.01</t>
        </is>
      </c>
      <c r="K3908"/>
      <c r="L3908" t="inlineStr">
        <is>
          <t>HSYE原创工作室的店</t>
        </is>
      </c>
      <c r="M3908">
        <v>85000</v>
      </c>
      <c r="N3908">
        <v>4.7</v>
      </c>
      <c r="O3908">
        <v>465000</v>
      </c>
      <c r="P3908" t="inlineStr">
        <is>
          <t>67bc11e67198db0001258496</t>
        </is>
      </c>
      <c r="Q3908" t="inlineStr">
        <is>
          <t>🚫重复</t>
        </is>
      </c>
      <c r="R3908" t="inlineStr">
        <is>
          <t>15周</t>
        </is>
      </c>
      <c r="S3908" t="inlineStr">
        <is>
          <t>0.20</t>
        </is>
      </c>
      <c r="T3908" t="inlineStr">
        <is>
          <t>服饰穿搭</t>
        </is>
      </c>
      <c r="U3908" t="inlineStr">
        <is>
          <t>女装</t>
        </is>
      </c>
      <c r="V3908" s="3">
        <v>46120.939930555556</v>
      </c>
      <c r="W3908" t="inlineStr">
        <is>
          <t>2026-Q2</t>
        </is>
      </c>
    </row>
    <row r="3909" ht="25.5" customHeight="1">
      <c r="A3909" t="inlineStr">
        <is>
          <t>韩系高级感绑腰收腰V领短袖T恤女夏季小众设计感修身短袖上衣</t>
        </is>
      </c>
      <c r="B3909" t="inlineStr">
        <is>
          <t>recvgd5oYIIclI.jpg</t>
        </is>
      </c>
      <c r="C3909" s="2" t="str">
        <f>=HYPERLINK("https://xhslink.com/m/4NqMphHOntS", "https://xhslink.com/m/4NqMphHOntS")</f>
        <v>https://xhslink.com/m/4NqMphHOntS</v>
      </c>
      <c r="D3909"/>
      <c r="E3909">
        <v>2608</v>
      </c>
      <c r="F3909">
        <v>59.9</v>
      </c>
      <c r="G3909">
        <v>39.9</v>
      </c>
      <c r="H3909">
        <v>100</v>
      </c>
      <c r="I3909" t="inlineStr">
        <is>
          <t>T恤</t>
        </is>
      </c>
      <c r="J3909" t="inlineStr">
        <is>
          <t>0.04</t>
        </is>
      </c>
      <c r="K3909"/>
      <c r="L3909" t="inlineStr">
        <is>
          <t>XIAO元爱穿搭的店</t>
        </is>
      </c>
      <c r="M3909">
        <v>930</v>
      </c>
      <c r="N3909">
        <v>4.46</v>
      </c>
      <c r="O3909">
        <v>17000</v>
      </c>
      <c r="P3909" t="inlineStr">
        <is>
          <t>69a81681befcbd00016f0fc9</t>
        </is>
      </c>
      <c r="Q3909" t="inlineStr">
        <is>
          <t>🚫重复</t>
        </is>
      </c>
      <c r="R3909" t="inlineStr">
        <is>
          <t>15周</t>
        </is>
      </c>
      <c r="S3909" t="inlineStr">
        <is>
          <t>2.80</t>
        </is>
      </c>
      <c r="T3909" t="inlineStr">
        <is>
          <t>服饰穿搭</t>
        </is>
      </c>
      <c r="U3909" t="inlineStr">
        <is>
          <t>女装</t>
        </is>
      </c>
      <c r="V3909" s="3">
        <v>46120.939930555556</v>
      </c>
      <c r="W3909" t="inlineStr">
        <is>
          <t>2026-Q2</t>
        </is>
      </c>
    </row>
    <row r="3910" ht="25.5" customHeight="1">
      <c r="A3910" t="inlineStr">
        <is>
          <t>美式复古字母印花假两件长袖T恤女春新款显瘦宽松设计感小众上衣</t>
        </is>
      </c>
      <c r="B3910" t="inlineStr">
        <is>
          <t>recvgd5oYIkb7y.jpg</t>
        </is>
      </c>
      <c r="C3910" s="2" t="str">
        <f>=HYPERLINK("https://xhslink.com/m/AUBHFVTgIjh", "https://xhslink.com/m/AUBHFVTgIjh")</f>
        <v>https://xhslink.com/m/AUBHFVTgIjh</v>
      </c>
      <c r="D3910"/>
      <c r="E3910">
        <v>2834</v>
      </c>
      <c r="F3910">
        <v>69.9</v>
      </c>
      <c r="G3910"/>
      <c r="H3910">
        <v>100</v>
      </c>
      <c r="I3910" t="inlineStr">
        <is>
          <t>T恤</t>
        </is>
      </c>
      <c r="J3910" t="inlineStr">
        <is>
          <t>0.04</t>
        </is>
      </c>
      <c r="K3910"/>
      <c r="L3910" t="inlineStr">
        <is>
          <t>宁澄服装的店</t>
        </is>
      </c>
      <c r="M3910">
        <v>5990</v>
      </c>
      <c r="N3910">
        <v>4.73</v>
      </c>
      <c r="O3910">
        <v>42000</v>
      </c>
      <c r="P3910" t="inlineStr">
        <is>
          <t>696611be1d3786000145c807</t>
        </is>
      </c>
      <c r="Q3910" t="inlineStr">
        <is>
          <t>🚫重复</t>
        </is>
      </c>
      <c r="R3910" t="inlineStr">
        <is>
          <t>15周</t>
        </is>
      </c>
      <c r="S3910" t="inlineStr">
        <is>
          <t>0.47</t>
        </is>
      </c>
      <c r="T3910" t="inlineStr">
        <is>
          <t>服饰穿搭</t>
        </is>
      </c>
      <c r="U3910" t="inlineStr">
        <is>
          <t>女装</t>
        </is>
      </c>
      <c r="V3910" s="3">
        <v>46120.939930555556</v>
      </c>
      <c r="W3910" t="inlineStr">
        <is>
          <t>2026-Q2</t>
        </is>
      </c>
    </row>
    <row r="3911" ht="25.5" customHeight="1">
      <c r="A3911" t="inlineStr">
        <is>
          <t>夏日纯棉百搭短袖女夏季新款宽松圆领面包印花休闲T恤美式简约</t>
        </is>
      </c>
      <c r="B3911" t="inlineStr">
        <is>
          <t>recvgd5oYIH5l2.jpg</t>
        </is>
      </c>
      <c r="C3911" s="2" t="str">
        <f>=HYPERLINK("https://xhslink.com/m/ATJKnULcDQZ", "https://xhslink.com/m/ATJKnULcDQZ")</f>
        <v>https://xhslink.com/m/ATJKnULcDQZ</v>
      </c>
      <c r="D3911"/>
      <c r="E3911">
        <v>16000</v>
      </c>
      <c r="F3911">
        <v>35.9</v>
      </c>
      <c r="G3911">
        <v>34.9</v>
      </c>
      <c r="H3911">
        <v>100</v>
      </c>
      <c r="I3911" t="inlineStr">
        <is>
          <t>T恤</t>
        </is>
      </c>
      <c r="J3911" t="inlineStr">
        <is>
          <t>0.01</t>
        </is>
      </c>
      <c r="K3911"/>
      <c r="L3911" t="inlineStr">
        <is>
          <t>HSYE原创工作室的店</t>
        </is>
      </c>
      <c r="M3911">
        <v>85000</v>
      </c>
      <c r="N3911">
        <v>4.7</v>
      </c>
      <c r="O3911">
        <v>465000</v>
      </c>
      <c r="P3911" t="inlineStr">
        <is>
          <t>66890036d2166e000182efa9</t>
        </is>
      </c>
      <c r="Q3911" t="inlineStr">
        <is>
          <t>🚫重复</t>
        </is>
      </c>
      <c r="R3911" t="inlineStr">
        <is>
          <t>15周</t>
        </is>
      </c>
      <c r="S3911" t="inlineStr">
        <is>
          <t>0.19</t>
        </is>
      </c>
      <c r="T3911" t="inlineStr">
        <is>
          <t>服饰穿搭</t>
        </is>
      </c>
      <c r="U3911" t="inlineStr">
        <is>
          <t>女装</t>
        </is>
      </c>
      <c r="V3911" s="3">
        <v>46120.939930555556</v>
      </c>
      <c r="W3911" t="inlineStr">
        <is>
          <t>2026-Q2</t>
        </is>
      </c>
    </row>
    <row r="3912" ht="25.5" customHeight="1">
      <c r="A3912" t="inlineStr">
        <is>
          <t>星星满印波点正肩短袖减龄V领T恤</t>
        </is>
      </c>
      <c r="B3912" t="inlineStr">
        <is>
          <t>recvgd5oYI7Nqz.jpg</t>
        </is>
      </c>
      <c r="C3912" s="2" t="str">
        <f>=HYPERLINK("https://xhslink.com/m/9nhV3T35FCl", "https://xhslink.com/m/9nhV3T35FCl")</f>
        <v>https://xhslink.com/m/9nhV3T35FCl</v>
      </c>
      <c r="D3912"/>
      <c r="E3912">
        <v>1167</v>
      </c>
      <c r="F3912">
        <v>78</v>
      </c>
      <c r="G3912">
        <v>59.8</v>
      </c>
      <c r="H3912">
        <v>100</v>
      </c>
      <c r="I3912" t="inlineStr">
        <is>
          <t>T恤</t>
        </is>
      </c>
      <c r="J3912" t="inlineStr">
        <is>
          <t>0.09</t>
        </is>
      </c>
      <c r="K3912"/>
      <c r="L3912" t="inlineStr">
        <is>
          <t>朵朵杍的店</t>
        </is>
      </c>
      <c r="M3912">
        <v>5384</v>
      </c>
      <c r="N3912">
        <v>4.73</v>
      </c>
      <c r="O3912">
        <v>3079</v>
      </c>
      <c r="P3912" t="inlineStr">
        <is>
          <t>69b8e084e6196b00013f17ea</t>
        </is>
      </c>
      <c r="Q3912"/>
      <c r="R3912" t="inlineStr">
        <is>
          <t>15周</t>
        </is>
      </c>
      <c r="S3912" t="inlineStr">
        <is>
          <t>0.22</t>
        </is>
      </c>
      <c r="T3912" t="inlineStr">
        <is>
          <t>服饰穿搭</t>
        </is>
      </c>
      <c r="U3912" t="inlineStr">
        <is>
          <t>女装</t>
        </is>
      </c>
      <c r="V3912" s="3">
        <v>46120.939930555556</v>
      </c>
      <c r="W3912" t="inlineStr">
        <is>
          <t>2026-Q2</t>
        </is>
      </c>
    </row>
    <row r="3913" ht="25.5" customHeight="1">
      <c r="A3913" t="inlineStr">
        <is>
          <t>纯棉猫咪短袖原创简约风男女宽松显瘦T恤平价百搭夏季新款上衣潮</t>
        </is>
      </c>
      <c r="B3913" t="inlineStr">
        <is>
          <t>recvgd5oYIgPHp.jpg</t>
        </is>
      </c>
      <c r="C3913" s="2" t="str">
        <f>=HYPERLINK("https://xhslink.com/m/Or5wffWpaN", "https://xhslink.com/m/Or5wffWpaN")</f>
        <v>https://xhslink.com/m/Or5wffWpaN</v>
      </c>
      <c r="D3913"/>
      <c r="E3913">
        <v>11000</v>
      </c>
      <c r="F3913">
        <v>35.9</v>
      </c>
      <c r="G3913">
        <v>34.9</v>
      </c>
      <c r="H3913">
        <v>100</v>
      </c>
      <c r="I3913" t="inlineStr">
        <is>
          <t>T恤</t>
        </is>
      </c>
      <c r="J3913" t="inlineStr">
        <is>
          <t>0.01</t>
        </is>
      </c>
      <c r="K3913"/>
      <c r="L3913" t="inlineStr">
        <is>
          <t>HSYE原创工作室的店</t>
        </is>
      </c>
      <c r="M3913">
        <v>85000</v>
      </c>
      <c r="N3913">
        <v>4.7</v>
      </c>
      <c r="O3913">
        <v>465000</v>
      </c>
      <c r="P3913" t="inlineStr">
        <is>
          <t>662c5b4b9caea10001f117a0</t>
        </is>
      </c>
      <c r="Q3913" t="inlineStr">
        <is>
          <t>🚫重复</t>
        </is>
      </c>
      <c r="R3913" t="inlineStr">
        <is>
          <t>15周</t>
        </is>
      </c>
      <c r="S3913" t="inlineStr">
        <is>
          <t>0.13</t>
        </is>
      </c>
      <c r="T3913" t="inlineStr">
        <is>
          <t>服饰穿搭</t>
        </is>
      </c>
      <c r="U3913" t="inlineStr">
        <is>
          <t>女装</t>
        </is>
      </c>
      <c r="V3913" s="3">
        <v>46120.939930555556</v>
      </c>
      <c r="W3913" t="inlineStr">
        <is>
          <t>2026-Q2</t>
        </is>
      </c>
    </row>
    <row r="3914" ht="25.5" customHeight="1">
      <c r="A3914" t="inlineStr">
        <is>
          <t>北欧简约大气百搭显瘦100棉针织衫纯色短袖T恤女26春夏季6408</t>
        </is>
      </c>
      <c r="B3914" t="inlineStr">
        <is>
          <t>recvgd5oYI7tEk.jpg</t>
        </is>
      </c>
      <c r="C3914" s="2" t="str">
        <f>=HYPERLINK("https://xhslink.com/m/6Cub8juNmm0", "https://xhslink.com/m/6Cub8juNmm0")</f>
        <v>https://xhslink.com/m/6Cub8juNmm0</v>
      </c>
      <c r="D3914"/>
      <c r="E3914">
        <v>15000</v>
      </c>
      <c r="F3914">
        <v>169</v>
      </c>
      <c r="G3914">
        <v>158</v>
      </c>
      <c r="H3914">
        <v>100</v>
      </c>
      <c r="I3914" t="inlineStr">
        <is>
          <t>T恤</t>
        </is>
      </c>
      <c r="J3914" t="inlineStr">
        <is>
          <t>0.01</t>
        </is>
      </c>
      <c r="K3914"/>
      <c r="L3914" t="inlineStr">
        <is>
          <t>兔兔要飞的店</t>
        </is>
      </c>
      <c r="M3914">
        <v>15000</v>
      </c>
      <c r="N3914">
        <v>4.72</v>
      </c>
      <c r="O3914">
        <v>88000</v>
      </c>
      <c r="P3914" t="inlineStr">
        <is>
          <t>643d48b81b444b0001e3c8c8</t>
        </is>
      </c>
      <c r="Q3914" t="inlineStr">
        <is>
          <t>🚫重复</t>
        </is>
      </c>
      <c r="R3914" t="inlineStr">
        <is>
          <t>15周</t>
        </is>
      </c>
      <c r="S3914" t="inlineStr">
        <is>
          <t>1.00</t>
        </is>
      </c>
      <c r="T3914" t="inlineStr">
        <is>
          <t>服饰穿搭</t>
        </is>
      </c>
      <c r="U3914" t="inlineStr">
        <is>
          <t>女装</t>
        </is>
      </c>
      <c r="V3914" s="3">
        <v>46120.939930555556</v>
      </c>
      <c r="W3914" t="inlineStr">
        <is>
          <t>2026-Q2</t>
        </is>
      </c>
    </row>
    <row r="3915" ht="25.5" customHeight="1">
      <c r="A3915" t="inlineStr">
        <is>
          <t>欧货设计白色纯棉正肩鱼骨纹短袖T恤女夏季修身显瘦别致圆领上衣</t>
        </is>
      </c>
      <c r="B3915" t="inlineStr">
        <is>
          <t>recvgd5oYIyV31.jpg</t>
        </is>
      </c>
      <c r="C3915" s="2" t="str">
        <f>=HYPERLINK("https://xhslink.com/m/191JhGikXV3", "https://xhslink.com/m/191JhGikXV3")</f>
        <v>https://xhslink.com/m/191JhGikXV3</v>
      </c>
      <c r="D3915"/>
      <c r="E3915">
        <v>1051</v>
      </c>
      <c r="F3915">
        <v>69.9</v>
      </c>
      <c r="G3915">
        <v>39.9</v>
      </c>
      <c r="H3915">
        <v>100</v>
      </c>
      <c r="I3915" t="inlineStr">
        <is>
          <t>T恤</t>
        </is>
      </c>
      <c r="J3915" t="inlineStr">
        <is>
          <t>0.10</t>
        </is>
      </c>
      <c r="K3915"/>
      <c r="L3915" t="inlineStr">
        <is>
          <t>若娴服装的店</t>
        </is>
      </c>
      <c r="M3915">
        <v>2170</v>
      </c>
      <c r="N3915">
        <v>4.62</v>
      </c>
      <c r="O3915">
        <v>40000</v>
      </c>
      <c r="P3915" t="inlineStr">
        <is>
          <t>69c1818bd95b5a0001f23458</t>
        </is>
      </c>
      <c r="Q3915" t="inlineStr">
        <is>
          <t>🚫重复</t>
        </is>
      </c>
      <c r="R3915" t="inlineStr">
        <is>
          <t>15周</t>
        </is>
      </c>
      <c r="S3915" t="inlineStr">
        <is>
          <t>0.48</t>
        </is>
      </c>
      <c r="T3915" t="inlineStr">
        <is>
          <t>服饰穿搭</t>
        </is>
      </c>
      <c r="U3915" t="inlineStr">
        <is>
          <t>女装</t>
        </is>
      </c>
      <c r="V3915" s="3">
        <v>46120.939930555556</v>
      </c>
      <c r="W3915" t="inlineStr">
        <is>
          <t>2026-Q2</t>
        </is>
      </c>
    </row>
    <row r="3916" ht="25.5" customHeight="1">
      <c r="A3916" t="inlineStr">
        <is>
          <t>【上新特惠】简约百搭休闲显瘦短袖T恤（高品质版）</t>
        </is>
      </c>
      <c r="B3916" t="inlineStr">
        <is>
          <t>recvgd5oYICe5T.jpg</t>
        </is>
      </c>
      <c r="C3916" s="2" t="str">
        <f>=HYPERLINK("https://xhslink.com/m/6pyPOZw1Yco", "https://xhslink.com/m/6pyPOZw1Yco")</f>
        <v>https://xhslink.com/m/6pyPOZw1Yco</v>
      </c>
      <c r="D3916"/>
      <c r="E3916">
        <v>1485</v>
      </c>
      <c r="F3916">
        <v>79</v>
      </c>
      <c r="G3916">
        <v>59</v>
      </c>
      <c r="H3916">
        <v>100</v>
      </c>
      <c r="I3916" t="inlineStr">
        <is>
          <t>T恤</t>
        </is>
      </c>
      <c r="J3916" t="inlineStr">
        <is>
          <t>0.07</t>
        </is>
      </c>
      <c r="K3916"/>
      <c r="L3916" t="inlineStr">
        <is>
          <t>好运丽姿的店</t>
        </is>
      </c>
      <c r="M3916">
        <v>5886</v>
      </c>
      <c r="N3916">
        <v>4.74</v>
      </c>
      <c r="O3916">
        <v>212000</v>
      </c>
      <c r="P3916" t="inlineStr">
        <is>
          <t>69809ef76d22e70001c79877</t>
        </is>
      </c>
      <c r="Q3916" t="inlineStr">
        <is>
          <t>🚫重复</t>
        </is>
      </c>
      <c r="R3916" t="inlineStr">
        <is>
          <t>15周</t>
        </is>
      </c>
      <c r="S3916" t="inlineStr">
        <is>
          <t>0.25</t>
        </is>
      </c>
      <c r="T3916" t="inlineStr">
        <is>
          <t>服饰穿搭</t>
        </is>
      </c>
      <c r="U3916" t="inlineStr">
        <is>
          <t>女装</t>
        </is>
      </c>
      <c r="V3916" s="3">
        <v>46120.939930555556</v>
      </c>
      <c r="W3916" t="inlineStr">
        <is>
          <t>2026-Q2</t>
        </is>
      </c>
    </row>
    <row r="3917" ht="25.5" customHeight="1">
      <c r="A3917" t="inlineStr">
        <is>
          <t>夏季薄荷曼波风短袖t恤女2024新款雪花棉宽松基础百搭U领半袖上衣</t>
        </is>
      </c>
      <c r="B3917" t="inlineStr">
        <is>
          <t>recvgd5oYIExsW.jpg</t>
        </is>
      </c>
      <c r="C3917" s="2" t="str">
        <f>=HYPERLINK("https://xhslink.com/m/8BBNyt3wgXu", "https://xhslink.com/m/8BBNyt3wgXu")</f>
        <v>https://xhslink.com/m/8BBNyt3wgXu</v>
      </c>
      <c r="D3917"/>
      <c r="E3917">
        <v>1265</v>
      </c>
      <c r="F3917">
        <v>59.9</v>
      </c>
      <c r="G3917">
        <v>45.9</v>
      </c>
      <c r="H3917">
        <v>100</v>
      </c>
      <c r="I3917" t="inlineStr">
        <is>
          <t>T恤</t>
        </is>
      </c>
      <c r="J3917" t="inlineStr">
        <is>
          <t>0.08</t>
        </is>
      </c>
      <c r="K3917"/>
      <c r="L3917" t="inlineStr">
        <is>
          <t>小夏爱穿搭studio的店</t>
        </is>
      </c>
      <c r="M3917">
        <v>11000</v>
      </c>
      <c r="N3917">
        <v>4.55</v>
      </c>
      <c r="O3917">
        <v>109000</v>
      </c>
      <c r="P3917" t="inlineStr">
        <is>
          <t>6610fa23da3ac10001469986</t>
        </is>
      </c>
      <c r="Q3917" t="inlineStr">
        <is>
          <t>🚫重复</t>
        </is>
      </c>
      <c r="R3917" t="inlineStr">
        <is>
          <t>15周</t>
        </is>
      </c>
      <c r="S3917" t="inlineStr">
        <is>
          <t>0.12</t>
        </is>
      </c>
      <c r="T3917" t="inlineStr">
        <is>
          <t>服饰穿搭</t>
        </is>
      </c>
      <c r="U3917" t="inlineStr">
        <is>
          <t>女装</t>
        </is>
      </c>
      <c r="V3917" s="3">
        <v>46120.939930555556</v>
      </c>
      <c r="W3917" t="inlineStr">
        <is>
          <t>2026-Q2</t>
        </is>
      </c>
    </row>
    <row r="3918" ht="25.5" customHeight="1">
      <c r="A3918" t="inlineStr">
        <is>
          <t>猫meme硬拉全民健身起猛了在做卧推波点印花男女短袖宽松凉感T恤</t>
        </is>
      </c>
      <c r="B3918" t="inlineStr">
        <is>
          <t>recvgd5oYI0NVV.jpg</t>
        </is>
      </c>
      <c r="C3918" s="2" t="str">
        <f>=HYPERLINK("https://xhslink.com/m/610iYSeIuPO", "https://xhslink.com/m/610iYSeIuPO")</f>
        <v>https://xhslink.com/m/610iYSeIuPO</v>
      </c>
      <c r="D3918"/>
      <c r="E3918">
        <v>1530</v>
      </c>
      <c r="F3918">
        <v>99.88</v>
      </c>
      <c r="G3918">
        <v>69.88</v>
      </c>
      <c r="H3918">
        <v>100</v>
      </c>
      <c r="I3918" t="inlineStr">
        <is>
          <t>T恤</t>
        </is>
      </c>
      <c r="J3918" t="inlineStr">
        <is>
          <t>0.07</t>
        </is>
      </c>
      <c r="K3918"/>
      <c r="L3918" t="inlineStr">
        <is>
          <t>CreaWear线上店的店</t>
        </is>
      </c>
      <c r="M3918">
        <v>2610</v>
      </c>
      <c r="N3918">
        <v>4.65</v>
      </c>
      <c r="O3918">
        <v>12000</v>
      </c>
      <c r="P3918" t="inlineStr">
        <is>
          <t>68aee0653f78410001e413e5</t>
        </is>
      </c>
      <c r="Q3918" t="inlineStr">
        <is>
          <t>🚫重复</t>
        </is>
      </c>
      <c r="R3918" t="inlineStr">
        <is>
          <t>15周</t>
        </is>
      </c>
      <c r="S3918" t="inlineStr">
        <is>
          <t>0.59</t>
        </is>
      </c>
      <c r="T3918" t="inlineStr">
        <is>
          <t>服饰穿搭</t>
        </is>
      </c>
      <c r="U3918" t="inlineStr">
        <is>
          <t>女装</t>
        </is>
      </c>
      <c r="V3918" s="3">
        <v>46120.939930555556</v>
      </c>
      <c r="W3918" t="inlineStr">
        <is>
          <t>2026-Q2</t>
        </is>
      </c>
    </row>
    <row r="3919" ht="25.5" customHeight="1">
      <c r="A3919" t="inlineStr">
        <is>
          <t>欧货小衫正肩短袖T恤女2026夏季新款爆款纯棉半袖内搭打底衫ins</t>
        </is>
      </c>
      <c r="B3919" t="inlineStr">
        <is>
          <t>recvgd5oYIFW2F.jpg</t>
        </is>
      </c>
      <c r="C3919" s="2" t="str">
        <f>=HYPERLINK("https://xhslink.com/m/9zd5EjAhAjb", "https://xhslink.com/m/9zd5EjAhAjb")</f>
        <v>https://xhslink.com/m/9zd5EjAhAjb</v>
      </c>
      <c r="D3919"/>
      <c r="E3919">
        <v>1014</v>
      </c>
      <c r="F3919">
        <v>69.8</v>
      </c>
      <c r="G3919">
        <v>39.8</v>
      </c>
      <c r="H3919">
        <v>100</v>
      </c>
      <c r="I3919" t="inlineStr">
        <is>
          <t>T恤</t>
        </is>
      </c>
      <c r="J3919" t="inlineStr">
        <is>
          <t>0.10</t>
        </is>
      </c>
      <c r="K3919"/>
      <c r="L3919" t="inlineStr">
        <is>
          <t>LAN桉家原创工作室的店</t>
        </is>
      </c>
      <c r="M3919">
        <v>2305</v>
      </c>
      <c r="N3919">
        <v>4.67</v>
      </c>
      <c r="O3919">
        <v>26000</v>
      </c>
      <c r="P3919" t="inlineStr">
        <is>
          <t>682074963aa6a6001538a123</t>
        </is>
      </c>
      <c r="Q3919" t="inlineStr">
        <is>
          <t>🚫重复</t>
        </is>
      </c>
      <c r="R3919" t="inlineStr">
        <is>
          <t>15周</t>
        </is>
      </c>
      <c r="S3919" t="inlineStr">
        <is>
          <t>0.44</t>
        </is>
      </c>
      <c r="T3919" t="inlineStr">
        <is>
          <t>服饰穿搭</t>
        </is>
      </c>
      <c r="U3919" t="inlineStr">
        <is>
          <t>女装</t>
        </is>
      </c>
      <c r="V3919" s="3">
        <v>46120.939930555556</v>
      </c>
      <c r="W3919" t="inlineStr">
        <is>
          <t>2026-Q2</t>
        </is>
      </c>
    </row>
    <row r="3920" ht="25.5" customHeight="1">
      <c r="A3920" t="inlineStr">
        <is>
          <t>韩系甜美感蝴蝶结天使正肩短袖修身T恤女2026夏季显瘦上衣设计感</t>
        </is>
      </c>
      <c r="B3920" t="inlineStr">
        <is>
          <t>recvgd5oYINgwN.jpg</t>
        </is>
      </c>
      <c r="C3920" s="2" t="str">
        <f>=HYPERLINK("https://xhslink.com/m/1EU8E9NSgnL", "https://xhslink.com/m/1EU8E9NSgnL")</f>
        <v>https://xhslink.com/m/1EU8E9NSgnL</v>
      </c>
      <c r="D3920"/>
      <c r="E3920">
        <v>1580</v>
      </c>
      <c r="F3920">
        <v>35.9</v>
      </c>
      <c r="G3920">
        <v>34.9</v>
      </c>
      <c r="H3920">
        <v>100</v>
      </c>
      <c r="I3920" t="inlineStr">
        <is>
          <t>T恤</t>
        </is>
      </c>
      <c r="J3920" t="inlineStr">
        <is>
          <t>0.06</t>
        </is>
      </c>
      <c r="K3920"/>
      <c r="L3920" t="inlineStr">
        <is>
          <t>HSYE原创工作室的店</t>
        </is>
      </c>
      <c r="M3920">
        <v>85000</v>
      </c>
      <c r="N3920">
        <v>4.7</v>
      </c>
      <c r="O3920">
        <v>465000</v>
      </c>
      <c r="P3920" t="inlineStr">
        <is>
          <t>68662357e53c100015989968</t>
        </is>
      </c>
      <c r="Q3920" t="inlineStr">
        <is>
          <t>🚫重复</t>
        </is>
      </c>
      <c r="R3920" t="inlineStr">
        <is>
          <t>15周</t>
        </is>
      </c>
      <c r="S3920" t="inlineStr">
        <is>
          <t>0.02</t>
        </is>
      </c>
      <c r="T3920" t="inlineStr">
        <is>
          <t>服饰穿搭</t>
        </is>
      </c>
      <c r="U3920" t="inlineStr">
        <is>
          <t>女装</t>
        </is>
      </c>
      <c r="V3920" s="3">
        <v>46120.939930555556</v>
      </c>
      <c r="W3920" t="inlineStr">
        <is>
          <t>2026-Q2</t>
        </is>
      </c>
    </row>
    <row r="3921" ht="25.5" customHeight="1">
      <c r="A3921" t="inlineStr">
        <is>
          <t>【春季新款】半袖圆领修身显瘦短袖T恤女夏季百搭上衣</t>
        </is>
      </c>
      <c r="B3921" t="inlineStr">
        <is>
          <t>recvgd5oYIoo18.jpg</t>
        </is>
      </c>
      <c r="C3921" s="2" t="str">
        <f>=HYPERLINK("https://xhslink.com/m/ddqa9itEeC", "https://xhslink.com/m/ddqa9itEeC")</f>
        <v>https://xhslink.com/m/ddqa9itEeC</v>
      </c>
      <c r="D3921"/>
      <c r="E3921">
        <v>760</v>
      </c>
      <c r="F3921">
        <v>44.9</v>
      </c>
      <c r="G3921"/>
      <c r="H3921">
        <v>100</v>
      </c>
      <c r="I3921" t="inlineStr">
        <is>
          <t>T恤</t>
        </is>
      </c>
      <c r="J3921" t="inlineStr">
        <is>
          <t>0.13</t>
        </is>
      </c>
      <c r="K3921"/>
      <c r="L3921" t="inlineStr">
        <is>
          <t>韩圆圆OVO的店</t>
        </is>
      </c>
      <c r="M3921">
        <v>14000</v>
      </c>
      <c r="N3921">
        <v>4.51</v>
      </c>
      <c r="O3921">
        <v>343000</v>
      </c>
      <c r="P3921" t="inlineStr">
        <is>
          <t>69a28b0bb90bc50001bd2dcf</t>
        </is>
      </c>
      <c r="Q3921" t="inlineStr">
        <is>
          <t>🚫重复</t>
        </is>
      </c>
      <c r="R3921" t="inlineStr">
        <is>
          <t>15周</t>
        </is>
      </c>
      <c r="S3921" t="inlineStr">
        <is>
          <t>0.05</t>
        </is>
      </c>
      <c r="T3921" t="inlineStr">
        <is>
          <t>服饰穿搭</t>
        </is>
      </c>
      <c r="U3921" t="inlineStr">
        <is>
          <t>女装</t>
        </is>
      </c>
      <c r="V3921" s="3">
        <v>46120.939930555556</v>
      </c>
      <c r="W3921" t="inlineStr">
        <is>
          <t>2026-Q2</t>
        </is>
      </c>
    </row>
    <row r="3922" ht="25.5" customHeight="1">
      <c r="A3922" t="inlineStr">
        <is>
          <t>麻仁 · 灰色原创设计小众短袖T恤女夏季美式高街宽松慵懒风100%纯棉上衣</t>
        </is>
      </c>
      <c r="B3922" t="inlineStr">
        <is>
          <t>recvgd5oYIvSc7.jpg</t>
        </is>
      </c>
      <c r="C3922" s="2" t="str">
        <f>=HYPERLINK("https://xhslink.com/m/2uXVNIXso5y", "https://xhslink.com/m/2uXVNIXso5y")</f>
        <v>https://xhslink.com/m/2uXVNIXso5y</v>
      </c>
      <c r="D3922"/>
      <c r="E3922">
        <v>1127</v>
      </c>
      <c r="F3922">
        <v>39.8</v>
      </c>
      <c r="G3922">
        <v>37.8</v>
      </c>
      <c r="H3922">
        <v>100</v>
      </c>
      <c r="I3922" t="inlineStr">
        <is>
          <t>短袖</t>
        </is>
      </c>
      <c r="J3922" t="inlineStr">
        <is>
          <t>0.09</t>
        </is>
      </c>
      <c r="K3922"/>
      <c r="L3922" t="inlineStr">
        <is>
          <t>麻仁旗舰店</t>
        </is>
      </c>
      <c r="M3922">
        <v>27000</v>
      </c>
      <c r="N3922">
        <v>4.69</v>
      </c>
      <c r="O3922">
        <v>213000</v>
      </c>
      <c r="P3922" t="inlineStr">
        <is>
          <t>69aa37befbdff60001ebe130</t>
        </is>
      </c>
      <c r="Q3922" t="inlineStr">
        <is>
          <t>🚫重复</t>
        </is>
      </c>
      <c r="R3922" t="inlineStr">
        <is>
          <t>15周</t>
        </is>
      </c>
      <c r="S3922" t="inlineStr">
        <is>
          <t>0.04</t>
        </is>
      </c>
      <c r="T3922" t="inlineStr">
        <is>
          <t>服饰穿搭</t>
        </is>
      </c>
      <c r="U3922" t="inlineStr">
        <is>
          <t>女装</t>
        </is>
      </c>
      <c r="V3922" s="3">
        <v>46120.939930555556</v>
      </c>
      <c r="W3922" t="inlineStr">
        <is>
          <t>2026-Q2</t>
        </is>
      </c>
    </row>
    <row r="3923" ht="25.5" customHeight="1">
      <c r="A3923" t="inlineStr">
        <is>
          <t>印花宽松纯棉短袖T恤女夏季韩版设计感显瘦百搭休闲慵懒风上衣</t>
        </is>
      </c>
      <c r="B3923" t="inlineStr">
        <is>
          <t>recvgd5oYItCge.jpg</t>
        </is>
      </c>
      <c r="C3923" s="2" t="str">
        <f>=HYPERLINK("https://xhslink.com/m/9IigCLT1YHo", "https://xhslink.com/m/9IigCLT1YHo")</f>
        <v>https://xhslink.com/m/9IigCLT1YHo</v>
      </c>
      <c r="D3923"/>
      <c r="E3923">
        <v>3606</v>
      </c>
      <c r="F3923">
        <v>39.9</v>
      </c>
      <c r="G3923">
        <v>38.9</v>
      </c>
      <c r="H3923">
        <v>100</v>
      </c>
      <c r="I3923" t="inlineStr">
        <is>
          <t>短袖</t>
        </is>
      </c>
      <c r="J3923" t="inlineStr">
        <is>
          <t>0.03</t>
        </is>
      </c>
      <c r="K3923"/>
      <c r="L3923" t="inlineStr">
        <is>
          <t>佳里有银的店</t>
        </is>
      </c>
      <c r="M3923">
        <v>1758</v>
      </c>
      <c r="N3923">
        <v>4.76</v>
      </c>
      <c r="O3923">
        <v>20000</v>
      </c>
      <c r="P3923" t="inlineStr">
        <is>
          <t>6897714fe019f20001d9a27c</t>
        </is>
      </c>
      <c r="Q3923" t="inlineStr">
        <is>
          <t>🚫重复</t>
        </is>
      </c>
      <c r="R3923" t="inlineStr">
        <is>
          <t>15周</t>
        </is>
      </c>
      <c r="S3923" t="inlineStr">
        <is>
          <t>2.05</t>
        </is>
      </c>
      <c r="T3923" t="inlineStr">
        <is>
          <t>服饰穿搭</t>
        </is>
      </c>
      <c r="U3923" t="inlineStr">
        <is>
          <t>女装</t>
        </is>
      </c>
      <c r="V3923" s="3">
        <v>46120.939930555556</v>
      </c>
      <c r="W3923" t="inlineStr">
        <is>
          <t>2026-Q2</t>
        </is>
      </c>
    </row>
    <row r="3924" ht="25.5" customHeight="1">
      <c r="A3924" t="inlineStr">
        <is>
          <t>【珍珍】胖mm大码2026春夏新款设计感斜下摆显瘦遮肉T恤短袖上衣</t>
        </is>
      </c>
      <c r="B3924" t="inlineStr">
        <is>
          <t>recvgd5oYIYXHP.jpg</t>
        </is>
      </c>
      <c r="C3924" s="2" t="str">
        <f>=HYPERLINK("https://xhslink.com/m/9Hn9NXg4S14", "https://xhslink.com/m/9Hn9NXg4S14")</f>
        <v>https://xhslink.com/m/9Hn9NXg4S14</v>
      </c>
      <c r="D3924"/>
      <c r="E3924">
        <v>1200</v>
      </c>
      <c r="F3924">
        <v>39.99</v>
      </c>
      <c r="G3924"/>
      <c r="H3924">
        <v>100</v>
      </c>
      <c r="I3924" t="inlineStr">
        <is>
          <t>短袖</t>
        </is>
      </c>
      <c r="J3924" t="inlineStr">
        <is>
          <t>0.08</t>
        </is>
      </c>
      <c r="K3924" t="inlineStr">
        <is>
          <t>🔥低粉爆款</t>
        </is>
      </c>
      <c r="L3924" t="inlineStr">
        <is>
          <t>杭Z微胖显瘦的店</t>
        </is>
      </c>
      <c r="M3924">
        <v>151</v>
      </c>
      <c r="N3924">
        <v>4.61</v>
      </c>
      <c r="O3924">
        <v>6361</v>
      </c>
      <c r="P3924" t="inlineStr">
        <is>
          <t>69bfefe21b42610015a075c1</t>
        </is>
      </c>
      <c r="Q3924" t="inlineStr">
        <is>
          <t>🚫重复</t>
        </is>
      </c>
      <c r="R3924" t="inlineStr">
        <is>
          <t>15周</t>
        </is>
      </c>
      <c r="S3924" t="inlineStr">
        <is>
          <t>7.95</t>
        </is>
      </c>
      <c r="T3924" t="inlineStr">
        <is>
          <t>服饰穿搭</t>
        </is>
      </c>
      <c r="U3924" t="inlineStr">
        <is>
          <t>女装</t>
        </is>
      </c>
      <c r="V3924" s="3">
        <v>46120.939930555556</v>
      </c>
      <c r="W3924" t="inlineStr">
        <is>
          <t>2026-Q2</t>
        </is>
      </c>
    </row>
    <row r="3925" ht="25.5" customHeight="1">
      <c r="A3925" t="inlineStr">
        <is>
          <t>大码胖mm纯棉正肩短袖t恤女夏季穿搭推荐修身显瘦设计感上衣潮牌</t>
        </is>
      </c>
      <c r="B3925" t="inlineStr">
        <is>
          <t>recvgd5oYIDfOT.jpg</t>
        </is>
      </c>
      <c r="C3925" s="2" t="str">
        <f>=HYPERLINK("https://xhslink.com/m/4FAUyF6ZxUw", "https://xhslink.com/m/4FAUyF6ZxUw")</f>
        <v>https://xhslink.com/m/4FAUyF6ZxUw</v>
      </c>
      <c r="D3925"/>
      <c r="E3925">
        <v>9607</v>
      </c>
      <c r="F3925">
        <v>35.8</v>
      </c>
      <c r="G3925"/>
      <c r="H3925">
        <v>100</v>
      </c>
      <c r="I3925" t="inlineStr">
        <is>
          <t>短袖</t>
        </is>
      </c>
      <c r="J3925" t="inlineStr">
        <is>
          <t>0.01</t>
        </is>
      </c>
      <c r="K3925"/>
      <c r="L3925" t="inlineStr">
        <is>
          <t>BEIFANNA潮牌的店</t>
        </is>
      </c>
      <c r="M3925">
        <v>5736</v>
      </c>
      <c r="N3925">
        <v>4.49</v>
      </c>
      <c r="O3925">
        <v>70000</v>
      </c>
      <c r="P3925" t="inlineStr">
        <is>
          <t>666e83f6646d1500010cca1e</t>
        </is>
      </c>
      <c r="Q3925"/>
      <c r="R3925" t="inlineStr">
        <is>
          <t>15周</t>
        </is>
      </c>
      <c r="S3925" t="inlineStr">
        <is>
          <t>1.67</t>
        </is>
      </c>
      <c r="T3925" t="inlineStr">
        <is>
          <t>服饰穿搭</t>
        </is>
      </c>
      <c r="U3925" t="inlineStr">
        <is>
          <t>女装</t>
        </is>
      </c>
      <c r="V3925" s="3">
        <v>46120.939930555556</v>
      </c>
      <c r="W3925" t="inlineStr">
        <is>
          <t>2026-Q2</t>
        </is>
      </c>
    </row>
    <row r="3926" ht="25.5" customHeight="1">
      <c r="A3926" t="inlineStr">
        <is>
          <t>春也白小众设计感粉色polo翻领短袖T恤女显瘦休闲U领百搭上衣夏</t>
        </is>
      </c>
      <c r="B3926" t="inlineStr">
        <is>
          <t>recvgd5oYI48OG.jpg</t>
        </is>
      </c>
      <c r="C3926" s="2" t="str">
        <f>=HYPERLINK("https://xhslink.com/m/1xoV2fntfKA", "https://xhslink.com/m/1xoV2fntfKA")</f>
        <v>https://xhslink.com/m/1xoV2fntfKA</v>
      </c>
      <c r="D3926"/>
      <c r="E3926">
        <v>555</v>
      </c>
      <c r="F3926">
        <v>129</v>
      </c>
      <c r="G3926"/>
      <c r="H3926">
        <v>100</v>
      </c>
      <c r="I3926" t="inlineStr">
        <is>
          <t>短袖</t>
        </is>
      </c>
      <c r="J3926" t="inlineStr">
        <is>
          <t>0.18</t>
        </is>
      </c>
      <c r="K3926"/>
      <c r="L3926" t="inlineStr">
        <is>
          <t>REEWHITE春也白的店</t>
        </is>
      </c>
      <c r="M3926">
        <v>8094</v>
      </c>
      <c r="N3926">
        <v>4.42</v>
      </c>
      <c r="O3926">
        <v>6528</v>
      </c>
      <c r="P3926" t="inlineStr">
        <is>
          <t>69a278d6c9f5da0001e0c0be</t>
        </is>
      </c>
      <c r="Q3926"/>
      <c r="R3926" t="inlineStr">
        <is>
          <t>15周</t>
        </is>
      </c>
      <c r="S3926" t="inlineStr">
        <is>
          <t>0.07</t>
        </is>
      </c>
      <c r="T3926" t="inlineStr">
        <is>
          <t>服饰穿搭</t>
        </is>
      </c>
      <c r="U3926" t="inlineStr">
        <is>
          <t>女装</t>
        </is>
      </c>
      <c r="V3926" s="3">
        <v>46120.939930555556</v>
      </c>
      <c r="W3926" t="inlineStr">
        <is>
          <t>2026-Q2</t>
        </is>
      </c>
    </row>
    <row r="3927" ht="25.5" customHeight="1">
      <c r="A3927" t="inlineStr">
        <is>
          <t>eva 5cm厚底一体洞洞鞋带足弓支撑～增高5厘米 可套毛绒内胆四季</t>
        </is>
      </c>
      <c r="B3927" t="inlineStr">
        <is>
          <t>recvgd5oYI072r.jpg</t>
        </is>
      </c>
      <c r="C3927" s="2" t="str">
        <f>=HYPERLINK("https://xhslink.com/m/7oI73WzsZL", "https://xhslink.com/m/7oI73WzsZL")</f>
        <v>https://xhslink.com/m/7oI73WzsZL</v>
      </c>
      <c r="D3927"/>
      <c r="E3927">
        <v>6743</v>
      </c>
      <c r="F3927">
        <v>69.9</v>
      </c>
      <c r="G3927">
        <v>43.98</v>
      </c>
      <c r="H3927">
        <v>100</v>
      </c>
      <c r="I3927" t="inlineStr">
        <is>
          <t>凉鞋</t>
        </is>
      </c>
      <c r="J3927" t="inlineStr">
        <is>
          <t>0.01</t>
        </is>
      </c>
      <c r="K3927" t="inlineStr">
        <is>
          <t>🔥低粉爆款</t>
        </is>
      </c>
      <c r="L3927" t="inlineStr">
        <is>
          <t>桃子🍑的卖鞋日记的店</t>
        </is>
      </c>
      <c r="M3927">
        <v>332</v>
      </c>
      <c r="N3927">
        <v>4.48</v>
      </c>
      <c r="O3927">
        <v>19000</v>
      </c>
      <c r="P3927" t="inlineStr">
        <is>
          <t>6810950c4dac330001e57c90</t>
        </is>
      </c>
      <c r="Q3927"/>
      <c r="R3927" t="inlineStr">
        <is>
          <t>15周</t>
        </is>
      </c>
      <c r="S3927" t="inlineStr">
        <is>
          <t>20.31</t>
        </is>
      </c>
      <c r="T3927" t="inlineStr">
        <is>
          <t>服饰穿搭</t>
        </is>
      </c>
      <c r="U3927" t="inlineStr">
        <is>
          <t>鞋靴箱包</t>
        </is>
      </c>
      <c r="V3927" s="3">
        <v>46120.939930555556</v>
      </c>
      <c r="W3927" t="inlineStr">
        <is>
          <t>2026-Q2</t>
        </is>
      </c>
    </row>
    <row r="3928" ht="25.5" customHeight="1">
      <c r="A3928" t="inlineStr">
        <is>
          <t>【限时活动】新手拼豆221色融合豆全套工具带收纳每罐约10g1000粒</t>
        </is>
      </c>
      <c r="B3928" t="inlineStr">
        <is>
          <t>recvgd5oYIVzWv.jpg</t>
        </is>
      </c>
      <c r="C3928" s="2" t="str">
        <f>=HYPERLINK("https://xhslink.com/m/3Eu8kQtwVEa", "https://xhslink.com/m/3Eu8kQtwVEa")</f>
        <v>https://xhslink.com/m/3Eu8kQtwVEa</v>
      </c>
      <c r="D3928"/>
      <c r="E3928">
        <v>642</v>
      </c>
      <c r="F3928">
        <v>189</v>
      </c>
      <c r="G3928"/>
      <c r="H3928">
        <v>100</v>
      </c>
      <c r="I3928" t="inlineStr">
        <is>
          <t>拼豆</t>
        </is>
      </c>
      <c r="J3928" t="inlineStr">
        <is>
          <t>0.16</t>
        </is>
      </c>
      <c r="K3928"/>
      <c r="L3928" t="inlineStr">
        <is>
          <t>薯宝宝优选的店</t>
        </is>
      </c>
      <c r="M3928">
        <v>2579</v>
      </c>
      <c r="N3928">
        <v>4.3</v>
      </c>
      <c r="O3928">
        <v>1089</v>
      </c>
      <c r="P3928" t="inlineStr">
        <is>
          <t>69be162e265269000118b7d2</t>
        </is>
      </c>
      <c r="Q3928"/>
      <c r="R3928" t="inlineStr">
        <is>
          <t>15周</t>
        </is>
      </c>
      <c r="S3928" t="inlineStr">
        <is>
          <t>0.25</t>
        </is>
      </c>
      <c r="T3928" t="inlineStr">
        <is>
          <t>家居生活</t>
        </is>
      </c>
      <c r="U3928" t="inlineStr">
        <is>
          <t>家居日用</t>
        </is>
      </c>
      <c r="V3928" s="3">
        <v>46120.939930555556</v>
      </c>
      <c r="W3928" t="inlineStr">
        <is>
          <t>2026-Q2</t>
        </is>
      </c>
    </row>
    <row r="3929" ht="25.5" customHeight="1">
      <c r="A3929" t="inlineStr">
        <is>
          <t>小精灵拼豆星球2.6mm全系列高品质融合豆MARD婆娑晴天COCO同色10g</t>
        </is>
      </c>
      <c r="B3929" t="inlineStr">
        <is>
          <t>recvgd5oYI7AtG.jpg</t>
        </is>
      </c>
      <c r="C3929" s="2" t="str">
        <f>=HYPERLINK("https://xhslink.com/m/6yx8LO31swD", "https://xhslink.com/m/6yx8LO31swD")</f>
        <v>https://xhslink.com/m/6yx8LO31swD</v>
      </c>
      <c r="D3929"/>
      <c r="E3929">
        <v>19000</v>
      </c>
      <c r="F3929">
        <v>262.99</v>
      </c>
      <c r="G3929"/>
      <c r="H3929">
        <v>100</v>
      </c>
      <c r="I3929" t="inlineStr">
        <is>
          <t>拼豆</t>
        </is>
      </c>
      <c r="J3929" t="inlineStr">
        <is>
          <t>0.01</t>
        </is>
      </c>
      <c r="K3929"/>
      <c r="L3929" t="inlineStr">
        <is>
          <t>小精灵拼豆星球的店</t>
        </is>
      </c>
      <c r="M3929">
        <v>10000</v>
      </c>
      <c r="N3929">
        <v>4.42</v>
      </c>
      <c r="O3929">
        <v>59000</v>
      </c>
      <c r="P3929" t="inlineStr">
        <is>
          <t>694782f9e40d43000117f755</t>
        </is>
      </c>
      <c r="Q3929" t="inlineStr">
        <is>
          <t>🚫重复</t>
        </is>
      </c>
      <c r="R3929" t="inlineStr">
        <is>
          <t>15周</t>
        </is>
      </c>
      <c r="S3929" t="inlineStr">
        <is>
          <t>1.90</t>
        </is>
      </c>
      <c r="T3929" t="inlineStr">
        <is>
          <t>运动潮玩</t>
        </is>
      </c>
      <c r="U3929" t="inlineStr">
        <is>
          <t>潮玩手办</t>
        </is>
      </c>
      <c r="V3929" s="3">
        <v>46120.939930555556</v>
      </c>
      <c r="W3929" t="inlineStr">
        <is>
          <t>2026-Q2</t>
        </is>
      </c>
    </row>
    <row r="3930" ht="25.5" customHeight="1">
      <c r="A3930" t="inlineStr">
        <is>
          <t>火星拼豆套装 融合豆 MARD漫漫咪小窝COCO黄豆豆DODO通用221色</t>
        </is>
      </c>
      <c r="B3930" t="inlineStr">
        <is>
          <t>recvgd5oYIEfc2.jpg</t>
        </is>
      </c>
      <c r="C3930" s="2" t="str">
        <f>=HYPERLINK("https://xhslink.com/m/4qqwhbXJIUj", "https://xhslink.com/m/4qqwhbXJIUj")</f>
        <v>https://xhslink.com/m/4qqwhbXJIUj</v>
      </c>
      <c r="D3930"/>
      <c r="E3930">
        <v>4859</v>
      </c>
      <c r="F3930">
        <v>216.58</v>
      </c>
      <c r="G3930"/>
      <c r="H3930">
        <v>100</v>
      </c>
      <c r="I3930" t="inlineStr">
        <is>
          <t>拼豆</t>
        </is>
      </c>
      <c r="J3930" t="inlineStr">
        <is>
          <t>0.02</t>
        </is>
      </c>
      <c r="K3930"/>
      <c r="L3930" t="inlineStr">
        <is>
          <t>火星拼豆的店</t>
        </is>
      </c>
      <c r="M3930">
        <v>4392</v>
      </c>
      <c r="N3930">
        <v>4.55</v>
      </c>
      <c r="O3930">
        <v>47000</v>
      </c>
      <c r="P3930" t="inlineStr">
        <is>
          <t>696b474019260d00011e6c51</t>
        </is>
      </c>
      <c r="Q3930" t="inlineStr">
        <is>
          <t>🚫重复</t>
        </is>
      </c>
      <c r="R3930" t="inlineStr">
        <is>
          <t>15周</t>
        </is>
      </c>
      <c r="S3930" t="inlineStr">
        <is>
          <t>1.11</t>
        </is>
      </c>
      <c r="T3930" t="inlineStr">
        <is>
          <t>运动潮玩</t>
        </is>
      </c>
      <c r="U3930" t="inlineStr">
        <is>
          <t>潮玩手办</t>
        </is>
      </c>
      <c r="V3930" s="3">
        <v>46120.939930555556</v>
      </c>
      <c r="W3930" t="inlineStr">
        <is>
          <t>2026-Q2</t>
        </is>
      </c>
    </row>
    <row r="3931" ht="25.5" customHeight="1">
      <c r="A3931" t="inlineStr">
        <is>
          <t>包邮包邮包邮！！大容量黑白透明色常用色2.6mmMARD融合豆diy拼豆</t>
        </is>
      </c>
      <c r="B3931" t="inlineStr">
        <is>
          <t>recvgd5oYIExVN.jpg</t>
        </is>
      </c>
      <c r="C3931" s="2" t="str">
        <f>=HYPERLINK("https://xhslink.com/m/8sSPZGM6N7E", "https://xhslink.com/m/8sSPZGM6N7E")</f>
        <v>https://xhslink.com/m/8sSPZGM6N7E</v>
      </c>
      <c r="D3931"/>
      <c r="E3931">
        <v>893</v>
      </c>
      <c r="F3931">
        <v>3.89</v>
      </c>
      <c r="G3931"/>
      <c r="H3931">
        <v>100</v>
      </c>
      <c r="I3931" t="inlineStr">
        <is>
          <t>拼豆</t>
        </is>
      </c>
      <c r="J3931" t="inlineStr">
        <is>
          <t>0.11</t>
        </is>
      </c>
      <c r="K3931"/>
      <c r="L3931" t="inlineStr">
        <is>
          <t>偷心小糖豆的店</t>
        </is>
      </c>
      <c r="M3931">
        <v>1680</v>
      </c>
      <c r="N3931">
        <v>4.39</v>
      </c>
      <c r="O3931">
        <v>58000</v>
      </c>
      <c r="P3931" t="inlineStr">
        <is>
          <t>69c5219814f5f20001b02fba</t>
        </is>
      </c>
      <c r="Q3931"/>
      <c r="R3931" t="inlineStr">
        <is>
          <t>15周</t>
        </is>
      </c>
      <c r="S3931" t="inlineStr">
        <is>
          <t>0.53</t>
        </is>
      </c>
      <c r="T3931" t="inlineStr">
        <is>
          <t>运动潮玩</t>
        </is>
      </c>
      <c r="U3931" t="inlineStr">
        <is>
          <t>潮玩手办</t>
        </is>
      </c>
      <c r="V3931" s="3">
        <v>46120.939930555556</v>
      </c>
      <c r="W3931" t="inlineStr">
        <is>
          <t>2026-Q2</t>
        </is>
      </c>
    </row>
    <row r="3932" ht="25.5" customHeight="1">
      <c r="A3932" t="inlineStr">
        <is>
          <t>重工中式新娘秀禾团扇双面双色婚礼送闺蜜结婚喜扇diy材料包成品</t>
        </is>
      </c>
      <c r="B3932" t="inlineStr">
        <is>
          <t>recvgd5oYI3Zi1.jpg</t>
        </is>
      </c>
      <c r="C3932" s="2" t="str">
        <f>=HYPERLINK("https://xhslink.com/m/4XKLkYI933z", "https://xhslink.com/m/4XKLkYI933z")</f>
        <v>https://xhslink.com/m/4XKLkYI933z</v>
      </c>
      <c r="D3932"/>
      <c r="E3932">
        <v>22000</v>
      </c>
      <c r="F3932">
        <v>188</v>
      </c>
      <c r="G3932">
        <v>158</v>
      </c>
      <c r="H3932">
        <v>100</v>
      </c>
      <c r="I3932" t="inlineStr">
        <is>
          <t>家居用品</t>
        </is>
      </c>
      <c r="J3932" t="inlineStr">
        <is>
          <t>0.00</t>
        </is>
      </c>
      <c r="K3932" t="inlineStr">
        <is>
          <t>🔥低粉爆款</t>
        </is>
      </c>
      <c r="L3932" t="inlineStr">
        <is>
          <t>禾韵团扇的店</t>
        </is>
      </c>
      <c r="M3932">
        <v>2615</v>
      </c>
      <c r="N3932">
        <v>4.63</v>
      </c>
      <c r="O3932">
        <v>27000</v>
      </c>
      <c r="P3932" t="inlineStr">
        <is>
          <t>67f5dca9b2c30c000157f3da</t>
        </is>
      </c>
      <c r="Q3932" t="inlineStr">
        <is>
          <t>🚫重复</t>
        </is>
      </c>
      <c r="R3932" t="inlineStr">
        <is>
          <t>15周</t>
        </is>
      </c>
      <c r="S3932" t="inlineStr">
        <is>
          <t>8.41</t>
        </is>
      </c>
      <c r="T3932" t="inlineStr">
        <is>
          <t>家居生活</t>
        </is>
      </c>
      <c r="U3932" t="inlineStr">
        <is>
          <t>家居日用</t>
        </is>
      </c>
      <c r="V3932" s="3">
        <v>46120.939930555556</v>
      </c>
      <c r="W3932" t="inlineStr">
        <is>
          <t>2026-Q2</t>
        </is>
      </c>
    </row>
    <row r="3933" ht="25.5" customHeight="1">
      <c r="A3933" t="inlineStr">
        <is>
          <t>STILL【蘑菇小夜灯】创意卧室床头灯香薰蜡烛烛台送生日礼物礼品</t>
        </is>
      </c>
      <c r="B3933" t="inlineStr">
        <is>
          <t>recvgd5oYIHYwd.jpg</t>
        </is>
      </c>
      <c r="C3933" s="2" t="str">
        <f>=HYPERLINK("https://xhslink.com/m/1XeUPEBazvH", "https://xhslink.com/m/1XeUPEBazvH")</f>
        <v>https://xhslink.com/m/1XeUPEBazvH</v>
      </c>
      <c r="D3933"/>
      <c r="E3933">
        <v>58000</v>
      </c>
      <c r="F3933">
        <v>29</v>
      </c>
      <c r="G3933"/>
      <c r="H3933">
        <v>100</v>
      </c>
      <c r="I3933" t="inlineStr">
        <is>
          <t>家居用品</t>
        </is>
      </c>
      <c r="J3933" t="inlineStr">
        <is>
          <t>0.00</t>
        </is>
      </c>
      <c r="K3933"/>
      <c r="L3933" t="inlineStr">
        <is>
          <t>still far的店</t>
        </is>
      </c>
      <c r="M3933">
        <v>43000</v>
      </c>
      <c r="N3933">
        <v>4.7</v>
      </c>
      <c r="O3933">
        <v>330000</v>
      </c>
      <c r="P3933" t="inlineStr">
        <is>
          <t>65f91d4cfcf75d000150af97</t>
        </is>
      </c>
      <c r="Q3933" t="inlineStr">
        <is>
          <t>🚫重复</t>
        </is>
      </c>
      <c r="R3933" t="inlineStr">
        <is>
          <t>15周</t>
        </is>
      </c>
      <c r="S3933" t="inlineStr">
        <is>
          <t>1.35</t>
        </is>
      </c>
      <c r="T3933" t="inlineStr">
        <is>
          <t>家居生活</t>
        </is>
      </c>
      <c r="U3933" t="inlineStr">
        <is>
          <t>家居日用</t>
        </is>
      </c>
      <c r="V3933" s="3">
        <v>46120.939930555556</v>
      </c>
      <c r="W3933" t="inlineStr">
        <is>
          <t>2026-Q2</t>
        </is>
      </c>
    </row>
    <row r="3934" ht="25.5" customHeight="1">
      <c r="A3934" t="inlineStr">
        <is>
          <t>再见萤火虫 稀有蝴蝶兰 室内养护 带花带花苞</t>
        </is>
      </c>
      <c r="B3934" t="inlineStr">
        <is>
          <t>recvgd5oYIMnwE.jpg</t>
        </is>
      </c>
      <c r="C3934" s="2" t="str">
        <f>=HYPERLINK("https://xhslink.com/m/5X2P55QY16q", "https://xhslink.com/m/5X2P55QY16q")</f>
        <v>https://xhslink.com/m/5X2P55QY16q</v>
      </c>
      <c r="D3934"/>
      <c r="E3934">
        <v>2171</v>
      </c>
      <c r="F3934">
        <v>46.8</v>
      </c>
      <c r="G3934"/>
      <c r="H3934">
        <v>100</v>
      </c>
      <c r="I3934" t="inlineStr">
        <is>
          <t>家居用品</t>
        </is>
      </c>
      <c r="J3934" t="inlineStr">
        <is>
          <t>0.05</t>
        </is>
      </c>
      <c r="K3934"/>
      <c r="L3934" t="inlineStr">
        <is>
          <t>阿子花卉的店</t>
        </is>
      </c>
      <c r="M3934">
        <v>115000</v>
      </c>
      <c r="N3934">
        <v>4.47</v>
      </c>
      <c r="O3934">
        <v>297000</v>
      </c>
      <c r="P3934" t="inlineStr">
        <is>
          <t>69be56caffa26d000195a605</t>
        </is>
      </c>
      <c r="Q3934"/>
      <c r="R3934" t="inlineStr">
        <is>
          <t>15周</t>
        </is>
      </c>
      <c r="S3934" t="inlineStr">
        <is>
          <t>0.02</t>
        </is>
      </c>
      <c r="T3934" t="inlineStr">
        <is>
          <t>家居生活</t>
        </is>
      </c>
      <c r="U3934" t="inlineStr">
        <is>
          <t>家居日用</t>
        </is>
      </c>
      <c r="V3934" s="3">
        <v>46120.939930555556</v>
      </c>
      <c r="W3934" t="inlineStr">
        <is>
          <t>2026-Q2</t>
        </is>
      </c>
    </row>
    <row r="3935" ht="25.5" customHeight="1">
      <c r="A3935" t="inlineStr">
        <is>
          <t>景德镇陶瓷花束生日礼物女生成品花束礼物520母亲节毕业送女朋友</t>
        </is>
      </c>
      <c r="B3935" t="inlineStr">
        <is>
          <t>recvgd5oYI7YRB.jpg</t>
        </is>
      </c>
      <c r="C3935" s="2" t="str">
        <f>=HYPERLINK("https://xhslink.com/m/7SRy7d6N3wJ", "https://xhslink.com/m/7SRy7d6N3wJ")</f>
        <v>https://xhslink.com/m/7SRy7d6N3wJ</v>
      </c>
      <c r="D3935"/>
      <c r="E3935">
        <v>1252</v>
      </c>
      <c r="F3935">
        <v>49.9</v>
      </c>
      <c r="G3935"/>
      <c r="H3935">
        <v>100</v>
      </c>
      <c r="I3935" t="inlineStr">
        <is>
          <t>家居用品</t>
        </is>
      </c>
      <c r="J3935" t="inlineStr">
        <is>
          <t>0.08</t>
        </is>
      </c>
      <c r="K3935"/>
      <c r="L3935" t="inlineStr">
        <is>
          <t>心意中转站的店</t>
        </is>
      </c>
      <c r="M3935">
        <v>2057</v>
      </c>
      <c r="N3935">
        <v>4.65</v>
      </c>
      <c r="O3935">
        <v>23000</v>
      </c>
      <c r="P3935" t="inlineStr">
        <is>
          <t>6960952611e5950001853db2</t>
        </is>
      </c>
      <c r="Q3935"/>
      <c r="R3935" t="inlineStr">
        <is>
          <t>15周</t>
        </is>
      </c>
      <c r="S3935" t="inlineStr">
        <is>
          <t>0.61</t>
        </is>
      </c>
      <c r="T3935" t="inlineStr">
        <is>
          <t>家居生活</t>
        </is>
      </c>
      <c r="U3935" t="inlineStr">
        <is>
          <t>家居日用</t>
        </is>
      </c>
      <c r="V3935" s="3">
        <v>46120.939930555556</v>
      </c>
      <c r="W3935" t="inlineStr">
        <is>
          <t>2026-Q2</t>
        </is>
      </c>
    </row>
    <row r="3936" ht="25.5" customHeight="1">
      <c r="A3936" t="inlineStr">
        <is>
          <t>自制手工冰箱贴四方透明方砖ins正方形带磁片亚克力diy圆形材料包</t>
        </is>
      </c>
      <c r="B3936" t="inlineStr">
        <is>
          <t>recvgd5oYI7RV6.jpg</t>
        </is>
      </c>
      <c r="C3936" s="2" t="str">
        <f>=HYPERLINK("https://xhslink.com/m/4XfEEozeIJQ", "https://xhslink.com/m/4XfEEozeIJQ")</f>
        <v>https://xhslink.com/m/4XfEEozeIJQ</v>
      </c>
      <c r="D3936"/>
      <c r="E3936">
        <v>22000</v>
      </c>
      <c r="F3936">
        <v>12.9</v>
      </c>
      <c r="G3936">
        <v>9.9</v>
      </c>
      <c r="H3936">
        <v>100</v>
      </c>
      <c r="I3936" t="inlineStr">
        <is>
          <t>家居用品</t>
        </is>
      </c>
      <c r="J3936" t="inlineStr">
        <is>
          <t>0.00</t>
        </is>
      </c>
      <c r="K3936" t="inlineStr">
        <is>
          <t>🔥低粉爆款</t>
        </is>
      </c>
      <c r="L3936" t="inlineStr">
        <is>
          <t>松清日用品的店</t>
        </is>
      </c>
      <c r="M3936">
        <v>874</v>
      </c>
      <c r="N3936">
        <v>4.55</v>
      </c>
      <c r="O3936">
        <v>22000</v>
      </c>
      <c r="P3936" t="inlineStr">
        <is>
          <t>695b30f5e30b940015eff195</t>
        </is>
      </c>
      <c r="Q3936"/>
      <c r="R3936" t="inlineStr">
        <is>
          <t>15周</t>
        </is>
      </c>
      <c r="S3936" t="inlineStr">
        <is>
          <t>25.17</t>
        </is>
      </c>
      <c r="T3936" t="inlineStr">
        <is>
          <t>数码家电</t>
        </is>
      </c>
      <c r="U3936" t="inlineStr">
        <is>
          <t>大家电</t>
        </is>
      </c>
      <c r="V3936" s="3">
        <v>46120.939930555556</v>
      </c>
      <c r="W3936" t="inlineStr">
        <is>
          <t>2026-Q2</t>
        </is>
      </c>
    </row>
    <row r="3937" ht="25.5" customHeight="1">
      <c r="A3937" t="inlineStr">
        <is>
          <t>孕妇春夏新款韩系复古格子系带背心连衣裙+开衫两件套</t>
        </is>
      </c>
      <c r="B3937" t="inlineStr">
        <is>
          <t>recvgd5oYIvslT.jpg</t>
        </is>
      </c>
      <c r="C3937" s="2" t="str">
        <f>=HYPERLINK("https://xhslink.com/m/AuyGhDdZ12a", "https://xhslink.com/m/AuyGhDdZ12a")</f>
        <v>https://xhslink.com/m/AuyGhDdZ12a</v>
      </c>
      <c r="D3937"/>
      <c r="E3937">
        <v>563</v>
      </c>
      <c r="F3937">
        <v>79</v>
      </c>
      <c r="G3937"/>
      <c r="H3937">
        <v>100</v>
      </c>
      <c r="I3937" t="inlineStr">
        <is>
          <t>孕妇上衣</t>
        </is>
      </c>
      <c r="J3937" t="inlineStr">
        <is>
          <t>0.18</t>
        </is>
      </c>
      <c r="K3937"/>
      <c r="L3937" t="inlineStr">
        <is>
          <t>小丸纸的孕期穿搭的店</t>
        </is>
      </c>
      <c r="M3937">
        <v>23000</v>
      </c>
      <c r="N3937">
        <v>4.5</v>
      </c>
      <c r="O3937">
        <v>23000</v>
      </c>
      <c r="P3937" t="inlineStr">
        <is>
          <t>69adc5e17bbc8200155b8aab</t>
        </is>
      </c>
      <c r="Q3937" t="inlineStr">
        <is>
          <t>🚫重复</t>
        </is>
      </c>
      <c r="R3937" t="inlineStr">
        <is>
          <t>15周</t>
        </is>
      </c>
      <c r="S3937" t="inlineStr">
        <is>
          <t>0.02</t>
        </is>
      </c>
      <c r="T3937" t="inlineStr">
        <is>
          <t>服饰穿搭</t>
        </is>
      </c>
      <c r="U3937" t="inlineStr">
        <is>
          <t>女装</t>
        </is>
      </c>
      <c r="V3937" s="3">
        <v>46120.939930555556</v>
      </c>
      <c r="W3937" t="inlineStr">
        <is>
          <t>2026-Q2</t>
        </is>
      </c>
    </row>
    <row r="3938" ht="25.5" customHeight="1">
      <c r="A3938" t="inlineStr">
        <is>
          <t>孕妇装2026夏季新款气质韩系软糯背心连衣裙+开叉设计衬衫两件套</t>
        </is>
      </c>
      <c r="B3938" t="inlineStr">
        <is>
          <t>recvgd5oYIT1N2.jpg</t>
        </is>
      </c>
      <c r="C3938" s="2" t="str">
        <f>=HYPERLINK("https://xhslink.com/m/AfPbntcEnqs", "https://xhslink.com/m/AfPbntcEnqs")</f>
        <v>https://xhslink.com/m/AfPbntcEnqs</v>
      </c>
      <c r="D3938"/>
      <c r="E3938">
        <v>818</v>
      </c>
      <c r="F3938">
        <v>89</v>
      </c>
      <c r="G3938"/>
      <c r="H3938">
        <v>100</v>
      </c>
      <c r="I3938" t="inlineStr">
        <is>
          <t>孕妇上衣</t>
        </is>
      </c>
      <c r="J3938" t="inlineStr">
        <is>
          <t>0.12</t>
        </is>
      </c>
      <c r="K3938"/>
      <c r="L3938" t="inlineStr">
        <is>
          <t>小丸纸的孕期穿搭的店</t>
        </is>
      </c>
      <c r="M3938">
        <v>23000</v>
      </c>
      <c r="N3938">
        <v>4.5</v>
      </c>
      <c r="O3938">
        <v>23000</v>
      </c>
      <c r="P3938" t="inlineStr">
        <is>
          <t>67fe9032a548d000153b7446</t>
        </is>
      </c>
      <c r="Q3938" t="inlineStr">
        <is>
          <t>🚫重复</t>
        </is>
      </c>
      <c r="R3938" t="inlineStr">
        <is>
          <t>15周</t>
        </is>
      </c>
      <c r="S3938" t="inlineStr">
        <is>
          <t>0.04</t>
        </is>
      </c>
      <c r="T3938" t="inlineStr">
        <is>
          <t>服饰穿搭</t>
        </is>
      </c>
      <c r="U3938" t="inlineStr">
        <is>
          <t>女装</t>
        </is>
      </c>
      <c r="V3938" s="3">
        <v>46120.939930555556</v>
      </c>
      <c r="W3938" t="inlineStr">
        <is>
          <t>2026-Q2</t>
        </is>
      </c>
    </row>
    <row r="3939" ht="25.5" customHeight="1">
      <c r="A3939" t="inlineStr">
        <is>
          <t>孕之优品 · 【新品】孕妇上衣蘑菇印花罩衫春季孕期外穿遮孕肚休闲T恤孕妇装</t>
        </is>
      </c>
      <c r="B3939" t="inlineStr">
        <is>
          <t>recvgd5oYIKNoK.jpg</t>
        </is>
      </c>
      <c r="C3939" s="2" t="str">
        <f>=HYPERLINK("https://xhslink.com/m/5xkllfU4BtC", "https://xhslink.com/m/5xkllfU4BtC")</f>
        <v>https://xhslink.com/m/5xkllfU4BtC</v>
      </c>
      <c r="D3939"/>
      <c r="E3939">
        <v>719</v>
      </c>
      <c r="F3939">
        <v>159</v>
      </c>
      <c r="G3939">
        <v>139</v>
      </c>
      <c r="H3939">
        <v>100</v>
      </c>
      <c r="I3939" t="inlineStr">
        <is>
          <t>孕妇上衣</t>
        </is>
      </c>
      <c r="J3939" t="inlineStr">
        <is>
          <t>0.14</t>
        </is>
      </c>
      <c r="K3939"/>
      <c r="L3939" t="inlineStr">
        <is>
          <t>孕之优品旗舰店</t>
        </is>
      </c>
      <c r="M3939">
        <v>12000</v>
      </c>
      <c r="N3939">
        <v>4.55</v>
      </c>
      <c r="O3939">
        <v>44000</v>
      </c>
      <c r="P3939" t="inlineStr">
        <is>
          <t>696dee5f306dc50001d4f2c9</t>
        </is>
      </c>
      <c r="Q3939" t="inlineStr">
        <is>
          <t>🚫重复</t>
        </is>
      </c>
      <c r="R3939" t="inlineStr">
        <is>
          <t>15周</t>
        </is>
      </c>
      <c r="S3939" t="inlineStr">
        <is>
          <t>0.06</t>
        </is>
      </c>
      <c r="T3939" t="inlineStr">
        <is>
          <t>服饰穿搭</t>
        </is>
      </c>
      <c r="U3939" t="inlineStr">
        <is>
          <t>女装</t>
        </is>
      </c>
      <c r="V3939" s="3">
        <v>46120.939930555556</v>
      </c>
      <c r="W3939" t="inlineStr">
        <is>
          <t>2026-Q2</t>
        </is>
      </c>
    </row>
    <row r="3940" ht="25.5" customHeight="1">
      <c r="A3940" t="inlineStr">
        <is>
          <t>怪兽小夕 · 儿童速干长袖T恤吸湿排汗速干改性棉感糯糯衣日常休闲运动长T</t>
        </is>
      </c>
      <c r="B3940" t="inlineStr">
        <is>
          <t>recvgd5oYIUURZ.jpg</t>
        </is>
      </c>
      <c r="C3940" s="2" t="str">
        <f>=HYPERLINK("https://xhslink.com/m/8vyIpalUPLh", "https://xhslink.com/m/8vyIpalUPLh")</f>
        <v>https://xhslink.com/m/8vyIpalUPLh</v>
      </c>
      <c r="D3940"/>
      <c r="E3940">
        <v>1802</v>
      </c>
      <c r="F3940">
        <v>79</v>
      </c>
      <c r="G3940">
        <v>67</v>
      </c>
      <c r="H3940">
        <v>100</v>
      </c>
      <c r="I3940" t="inlineStr">
        <is>
          <t>儿童衣服</t>
        </is>
      </c>
      <c r="J3940" t="inlineStr">
        <is>
          <t>0.06</t>
        </is>
      </c>
      <c r="K3940"/>
      <c r="L3940" t="inlineStr">
        <is>
          <t>怪兽小夕儿童速干衣的店</t>
        </is>
      </c>
      <c r="M3940">
        <v>936</v>
      </c>
      <c r="N3940">
        <v>4.71</v>
      </c>
      <c r="O3940">
        <v>4991</v>
      </c>
      <c r="P3940" t="inlineStr">
        <is>
          <t>678f5de7f4d657000180a695</t>
        </is>
      </c>
      <c r="Q3940"/>
      <c r="R3940" t="inlineStr">
        <is>
          <t>15周</t>
        </is>
      </c>
      <c r="S3940" t="inlineStr">
        <is>
          <t>1.93</t>
        </is>
      </c>
      <c r="T3940" t="inlineStr">
        <is>
          <t>服饰穿搭</t>
        </is>
      </c>
      <c r="U3940" t="inlineStr">
        <is>
          <t>女装</t>
        </is>
      </c>
      <c r="V3940" s="3">
        <v>46120.939930555556</v>
      </c>
      <c r="W3940" t="inlineStr">
        <is>
          <t>2026-Q2</t>
        </is>
      </c>
    </row>
    <row r="3941" ht="25.5" customHeight="1">
      <c r="A3941" t="inlineStr">
        <is>
          <t>兔头妈妈 · 乳脂水凝面霜春夏滋润保湿舒缓宝宝面霜婴童儿童润肤乳</t>
        </is>
      </c>
      <c r="B3941" t="inlineStr">
        <is>
          <t>recvgd5oYIfAyi.jpg</t>
        </is>
      </c>
      <c r="C3941" s="2" t="str">
        <f>=HYPERLINK("https://xhslink.com/m/25OcbKzGa80", "https://xhslink.com/m/25OcbKzGa80")</f>
        <v>https://xhslink.com/m/25OcbKzGa80</v>
      </c>
      <c r="D3941"/>
      <c r="E3941">
        <v>1109</v>
      </c>
      <c r="F3941">
        <v>79</v>
      </c>
      <c r="G3941"/>
      <c r="H3941">
        <v>100</v>
      </c>
      <c r="I3941" t="inlineStr">
        <is>
          <t>儿童洗护</t>
        </is>
      </c>
      <c r="J3941" t="inlineStr">
        <is>
          <t>0.09</t>
        </is>
      </c>
      <c r="K3941"/>
      <c r="L3941" t="inlineStr">
        <is>
          <t>兔头妈妈旗舰店</t>
        </is>
      </c>
      <c r="M3941">
        <v>49000</v>
      </c>
      <c r="N3941">
        <v>4.76</v>
      </c>
      <c r="O3941">
        <v>276000</v>
      </c>
      <c r="P3941" t="inlineStr">
        <is>
          <t>699ecbe534470f0001e734dc</t>
        </is>
      </c>
      <c r="Q3941"/>
      <c r="R3941" t="inlineStr">
        <is>
          <t>15周</t>
        </is>
      </c>
      <c r="S3941" t="inlineStr">
        <is>
          <t>0.02</t>
        </is>
      </c>
      <c r="T3941" t="inlineStr">
        <is>
          <t>母婴亲子</t>
        </is>
      </c>
      <c r="U3941" t="inlineStr">
        <is>
          <t>童装童鞋</t>
        </is>
      </c>
      <c r="V3941" s="3">
        <v>46120.939930555556</v>
      </c>
      <c r="W3941" t="inlineStr">
        <is>
          <t>2026-Q2</t>
        </is>
      </c>
    </row>
    <row r="3942" ht="25.5" customHeight="1">
      <c r="A3942" t="inlineStr">
        <is>
          <t>【出版社直发】德国幼儿专注力培养绘本（1—4岁）全套12册可点读</t>
        </is>
      </c>
      <c r="B3942" t="inlineStr">
        <is>
          <t>recvgd5oYIHBl6.jpg</t>
        </is>
      </c>
      <c r="C3942" s="2" t="str">
        <f>=HYPERLINK("https://xhslink.com/m/1PZA7GSp7AB", "https://xhslink.com/m/1PZA7GSp7AB")</f>
        <v>https://xhslink.com/m/1PZA7GSp7AB</v>
      </c>
      <c r="D3942"/>
      <c r="E3942">
        <v>497</v>
      </c>
      <c r="F3942">
        <v>79</v>
      </c>
      <c r="G3942">
        <v>49.98</v>
      </c>
      <c r="H3942">
        <v>100</v>
      </c>
      <c r="I3942" t="inlineStr">
        <is>
          <t>儿童图书</t>
        </is>
      </c>
      <c r="J3942" t="inlineStr">
        <is>
          <t>0.20</t>
        </is>
      </c>
      <c r="K3942"/>
      <c r="L3942" t="inlineStr">
        <is>
          <t>哈爸来了的店</t>
        </is>
      </c>
      <c r="M3942">
        <v>159000</v>
      </c>
      <c r="N3942">
        <v>4.54</v>
      </c>
      <c r="O3942">
        <v>285000</v>
      </c>
      <c r="P3942" t="inlineStr">
        <is>
          <t>696cfaaf5d156300013477b5</t>
        </is>
      </c>
      <c r="Q3942" t="inlineStr">
        <is>
          <t>🚫重复</t>
        </is>
      </c>
      <c r="R3942" t="inlineStr">
        <is>
          <t>15周</t>
        </is>
      </c>
      <c r="S3942" t="inlineStr">
        <is>
          <t>0.00</t>
        </is>
      </c>
      <c r="T3942" t="inlineStr">
        <is>
          <t>母婴亲子</t>
        </is>
      </c>
      <c r="U3942" t="inlineStr">
        <is>
          <t>玩具早教</t>
        </is>
      </c>
      <c r="V3942" s="3">
        <v>46120.939930555556</v>
      </c>
      <c r="W3942" t="inlineStr">
        <is>
          <t>2026-Q2</t>
        </is>
      </c>
    </row>
    <row r="3943" ht="25.5" customHeight="1">
      <c r="A3943" t="inlineStr">
        <is>
          <t>Juicy戴文车打奶酪包欧包健康早餐代餐零食</t>
        </is>
      </c>
      <c r="B3943" t="inlineStr">
        <is>
          <t>recvgd5oYIJJ7L.jpg</t>
        </is>
      </c>
      <c r="C3943" s="2" t="str">
        <f>=HYPERLINK("https://xhslink.com/m/9pnoGuUB6qO", "https://xhslink.com/m/9pnoGuUB6qO")</f>
        <v>https://xhslink.com/m/9pnoGuUB6qO</v>
      </c>
      <c r="D3943"/>
      <c r="E3943">
        <v>40000</v>
      </c>
      <c r="F3943">
        <v>24</v>
      </c>
      <c r="G3943">
        <v>21.99</v>
      </c>
      <c r="H3943">
        <v>100</v>
      </c>
      <c r="I3943" t="inlineStr">
        <is>
          <t>面包</t>
        </is>
      </c>
      <c r="J3943" t="inlineStr">
        <is>
          <t>0.00</t>
        </is>
      </c>
      <c r="K3943"/>
      <c r="L3943" t="inlineStr">
        <is>
          <t>JUICY SUPPLY的店</t>
        </is>
      </c>
      <c r="M3943">
        <v>266000</v>
      </c>
      <c r="N3943">
        <v>4.34</v>
      </c>
      <c r="O3943">
        <v>854000</v>
      </c>
      <c r="P3943" t="inlineStr">
        <is>
          <t>68907b2302d7b00001344f8a</t>
        </is>
      </c>
      <c r="Q3943" t="inlineStr">
        <is>
          <t>🚫重复</t>
        </is>
      </c>
      <c r="R3943" t="inlineStr">
        <is>
          <t>15周</t>
        </is>
      </c>
      <c r="S3943" t="inlineStr">
        <is>
          <t>0.15</t>
        </is>
      </c>
      <c r="T3943" t="inlineStr">
        <is>
          <t>美食滋补</t>
        </is>
      </c>
      <c r="U3943" t="inlineStr">
        <is>
          <t>休闲零食</t>
        </is>
      </c>
      <c r="V3943" s="3">
        <v>46120.939930555556</v>
      </c>
      <c r="W3943" t="inlineStr">
        <is>
          <t>2026-Q2</t>
        </is>
      </c>
    </row>
    <row r="3944" ht="25.5" customHeight="1">
      <c r="A3944" t="inlineStr">
        <is>
          <t>海水特大号虾 净重3.3斤 活虾盐冻只只分离 多种规格可挑选</t>
        </is>
      </c>
      <c r="B3944" t="inlineStr">
        <is>
          <t>recvgd5oYIs7Tr.jpg</t>
        </is>
      </c>
      <c r="C3944" s="2" t="str">
        <f>=HYPERLINK("https://xhslink.com/m/4bvkIfiQvn7", "https://xhslink.com/m/4bvkIfiQvn7")</f>
        <v>https://xhslink.com/m/4bvkIfiQvn7</v>
      </c>
      <c r="D3944"/>
      <c r="E3944">
        <v>128000</v>
      </c>
      <c r="F3944">
        <v>118</v>
      </c>
      <c r="G3944">
        <v>89</v>
      </c>
      <c r="H3944">
        <v>100</v>
      </c>
      <c r="I3944" t="inlineStr">
        <is>
          <t>虾</t>
        </is>
      </c>
      <c r="J3944" t="inlineStr">
        <is>
          <t>0.00</t>
        </is>
      </c>
      <c r="K3944" t="inlineStr">
        <is>
          <t>🔥低粉爆款</t>
        </is>
      </c>
      <c r="L3944" t="inlineStr">
        <is>
          <t>海边原著的店</t>
        </is>
      </c>
      <c r="M3944">
        <v>36000</v>
      </c>
      <c r="N3944">
        <v>4.69</v>
      </c>
      <c r="O3944">
        <v>431000</v>
      </c>
      <c r="P3944" t="inlineStr">
        <is>
          <t>68cfc952e8b4ad00018c75fc</t>
        </is>
      </c>
      <c r="Q3944" t="inlineStr">
        <is>
          <t>🚫重复</t>
        </is>
      </c>
      <c r="R3944" t="inlineStr">
        <is>
          <t>15周</t>
        </is>
      </c>
      <c r="S3944" t="inlineStr">
        <is>
          <t>3.56</t>
        </is>
      </c>
      <c r="T3944" t="inlineStr">
        <is>
          <t>美食滋补</t>
        </is>
      </c>
      <c r="U3944" t="inlineStr">
        <is>
          <t>生鲜特产</t>
        </is>
      </c>
      <c r="V3944" s="3">
        <v>46120.939930555556</v>
      </c>
      <c r="W3944" t="inlineStr">
        <is>
          <t>2026-Q2</t>
        </is>
      </c>
    </row>
    <row r="3945" ht="25.5" customHeight="1">
      <c r="A3945" t="inlineStr">
        <is>
          <t>王牌：海水大虾3斤-3.2斤/箱 无冰净重 只只分离 海洋大虾.虾仁</t>
        </is>
      </c>
      <c r="B3945" t="inlineStr">
        <is>
          <t>recvgd5oYIHE9A.jpg</t>
        </is>
      </c>
      <c r="C3945" s="2" t="str">
        <f>=HYPERLINK("https://xhslink.com/m/3xcXIZbFNas", "https://xhslink.com/m/3xcXIZbFNas")</f>
        <v>https://xhslink.com/m/3xcXIZbFNas</v>
      </c>
      <c r="D3945"/>
      <c r="E3945">
        <v>2689</v>
      </c>
      <c r="F3945">
        <v>119.9</v>
      </c>
      <c r="G3945">
        <v>76.6</v>
      </c>
      <c r="H3945">
        <v>100</v>
      </c>
      <c r="I3945" t="inlineStr">
        <is>
          <t>虾</t>
        </is>
      </c>
      <c r="J3945" t="inlineStr">
        <is>
          <t>0.04</t>
        </is>
      </c>
      <c r="K3945" t="inlineStr">
        <is>
          <t>🔥低粉爆款</t>
        </is>
      </c>
      <c r="L3945" t="inlineStr">
        <is>
          <t>海之鲜海鲜的店</t>
        </is>
      </c>
      <c r="M3945">
        <v>92</v>
      </c>
      <c r="N3945">
        <v>4.64</v>
      </c>
      <c r="O3945">
        <v>7407</v>
      </c>
      <c r="P3945" t="inlineStr">
        <is>
          <t>673707185ce0330001780eae</t>
        </is>
      </c>
      <c r="Q3945"/>
      <c r="R3945" t="inlineStr">
        <is>
          <t>15周</t>
        </is>
      </c>
      <c r="S3945" t="inlineStr">
        <is>
          <t>29.23</t>
        </is>
      </c>
      <c r="T3945" t="inlineStr">
        <is>
          <t>美食滋补</t>
        </is>
      </c>
      <c r="U3945" t="inlineStr">
        <is>
          <t>生鲜特产</t>
        </is>
      </c>
      <c r="V3945" s="3">
        <v>46120.939930555556</v>
      </c>
      <c r="W3945" t="inlineStr">
        <is>
          <t>2026-Q2</t>
        </is>
      </c>
    </row>
    <row r="3946" ht="25.5" customHeight="1">
      <c r="A3946" t="inlineStr">
        <is>
          <t>超大活冻黑虎虾鲜甜饱满青岛顺丰发货无冰衣大虾海鲜</t>
        </is>
      </c>
      <c r="B3946" t="inlineStr">
        <is>
          <t>recvgd5oYID0NR.jpg</t>
        </is>
      </c>
      <c r="C3946" s="2" t="str">
        <f>=HYPERLINK("https://xhslink.com/m/5W0gD9jGhNI", "https://xhslink.com/m/5W0gD9jGhNI")</f>
        <v>https://xhslink.com/m/5W0gD9jGhNI</v>
      </c>
      <c r="D3946"/>
      <c r="E3946">
        <v>4411</v>
      </c>
      <c r="F3946">
        <v>259</v>
      </c>
      <c r="G3946">
        <v>209</v>
      </c>
      <c r="H3946">
        <v>100</v>
      </c>
      <c r="I3946" t="inlineStr">
        <is>
          <t>虾</t>
        </is>
      </c>
      <c r="J3946" t="inlineStr">
        <is>
          <t>0.02</t>
        </is>
      </c>
      <c r="K3946" t="inlineStr">
        <is>
          <t>🔥低粉爆款</t>
        </is>
      </c>
      <c r="L3946" t="inlineStr">
        <is>
          <t>朴食集的店</t>
        </is>
      </c>
      <c r="M3946">
        <v>26</v>
      </c>
      <c r="N3946">
        <v>4.67</v>
      </c>
      <c r="O3946">
        <v>5119</v>
      </c>
      <c r="P3946" t="inlineStr">
        <is>
          <t>69c4d4c5ff00dc000174726a</t>
        </is>
      </c>
      <c r="Q3946" t="inlineStr">
        <is>
          <t>🚫重复</t>
        </is>
      </c>
      <c r="R3946" t="inlineStr">
        <is>
          <t>15周</t>
        </is>
      </c>
      <c r="S3946" t="inlineStr">
        <is>
          <t>169.65</t>
        </is>
      </c>
      <c r="T3946" t="inlineStr">
        <is>
          <t>美食滋补</t>
        </is>
      </c>
      <c r="U3946" t="inlineStr">
        <is>
          <t>生鲜特产</t>
        </is>
      </c>
      <c r="V3946" s="3">
        <v>46120.939930555556</v>
      </c>
      <c r="W3946" t="inlineStr">
        <is>
          <t>2026-Q2</t>
        </is>
      </c>
    </row>
    <row r="3947" ht="25.5" customHeight="1">
      <c r="A3947" t="inlineStr">
        <is>
          <t>【顺丰冷链】皮皮虾·纯母满膏皮皮虾·带黄·熟冻皮皮虾·海鲜</t>
        </is>
      </c>
      <c r="B3947" t="inlineStr">
        <is>
          <t>recvgd5oYI7TFS.jpg</t>
        </is>
      </c>
      <c r="C3947" s="2" t="str">
        <f>=HYPERLINK("https://xhslink.com/m/70RA7CtSE8M", "https://xhslink.com/m/70RA7CtSE8M")</f>
        <v>https://xhslink.com/m/70RA7CtSE8M</v>
      </c>
      <c r="D3947"/>
      <c r="E3947">
        <v>4964</v>
      </c>
      <c r="F3947">
        <v>168.9</v>
      </c>
      <c r="G3947">
        <v>111.9</v>
      </c>
      <c r="H3947">
        <v>100</v>
      </c>
      <c r="I3947" t="inlineStr">
        <is>
          <t>虾</t>
        </is>
      </c>
      <c r="J3947" t="inlineStr">
        <is>
          <t>0.02</t>
        </is>
      </c>
      <c r="K3947" t="inlineStr">
        <is>
          <t>🔥低粉爆款</t>
        </is>
      </c>
      <c r="L3947" t="inlineStr">
        <is>
          <t>大安船长的店</t>
        </is>
      </c>
      <c r="M3947">
        <v>115</v>
      </c>
      <c r="N3947">
        <v>4.63</v>
      </c>
      <c r="O3947">
        <v>5155</v>
      </c>
      <c r="P3947" t="inlineStr">
        <is>
          <t>69635ad15739d5000169512e</t>
        </is>
      </c>
      <c r="Q3947"/>
      <c r="R3947" t="inlineStr">
        <is>
          <t>15周</t>
        </is>
      </c>
      <c r="S3947" t="inlineStr">
        <is>
          <t>43.17</t>
        </is>
      </c>
      <c r="T3947" t="inlineStr">
        <is>
          <t>美食滋补</t>
        </is>
      </c>
      <c r="U3947" t="inlineStr">
        <is>
          <t>生鲜特产</t>
        </is>
      </c>
      <c r="V3947" s="3">
        <v>46120.939930555556</v>
      </c>
      <c r="W3947" t="inlineStr">
        <is>
          <t>2026-Q2</t>
        </is>
      </c>
    </row>
    <row r="3948" ht="25.5" customHeight="1">
      <c r="A3948" t="inlineStr">
        <is>
          <t>手剥虾仁 鲜剥海虾仁 无冰 不泡药 去虾线 海鲜 冷冻虾仁 水产</t>
        </is>
      </c>
      <c r="B3948" t="inlineStr">
        <is>
          <t>recvgd5oYIbUmj.jpg</t>
        </is>
      </c>
      <c r="C3948" s="2" t="str">
        <f>=HYPERLINK("https://xhslink.com/m/27imcoQLoPQ", "https://xhslink.com/m/27imcoQLoPQ")</f>
        <v>https://xhslink.com/m/27imcoQLoPQ</v>
      </c>
      <c r="D3948"/>
      <c r="E3948">
        <v>611</v>
      </c>
      <c r="F3948">
        <v>89.9</v>
      </c>
      <c r="G3948">
        <v>69.9</v>
      </c>
      <c r="H3948">
        <v>100</v>
      </c>
      <c r="I3948" t="inlineStr">
        <is>
          <t>虾</t>
        </is>
      </c>
      <c r="J3948" t="inlineStr">
        <is>
          <t>0.16</t>
        </is>
      </c>
      <c r="K3948"/>
      <c r="L3948" t="inlineStr">
        <is>
          <t>归来渔船的店</t>
        </is>
      </c>
      <c r="M3948">
        <v>312</v>
      </c>
      <c r="N3948">
        <v>4.64</v>
      </c>
      <c r="O3948">
        <v>596</v>
      </c>
      <c r="P3948" t="inlineStr">
        <is>
          <t>693531d27a38a60001678ba1</t>
        </is>
      </c>
      <c r="Q3948" t="inlineStr">
        <is>
          <t>🚫重复</t>
        </is>
      </c>
      <c r="R3948" t="inlineStr">
        <is>
          <t>15周</t>
        </is>
      </c>
      <c r="S3948" t="inlineStr">
        <is>
          <t>1.96</t>
        </is>
      </c>
      <c r="T3948" t="inlineStr">
        <is>
          <t>美食滋补</t>
        </is>
      </c>
      <c r="U3948" t="inlineStr">
        <is>
          <t>生鲜特产</t>
        </is>
      </c>
      <c r="V3948" s="3">
        <v>46120.939930555556</v>
      </c>
      <c r="W3948" t="inlineStr">
        <is>
          <t>2026-Q2</t>
        </is>
      </c>
    </row>
    <row r="3949" ht="25.5" customHeight="1">
      <c r="A3949" t="inlineStr">
        <is>
          <t>联想 · 真无线蓝牙耳机运动降噪高音质学生党推荐高颜值新款平替高性价</t>
        </is>
      </c>
      <c r="B3949" t="inlineStr">
        <is>
          <t>recvgd5oYIW1yd.jpg</t>
        </is>
      </c>
      <c r="C3949" s="2" t="str">
        <f>=HYPERLINK("https://xhslink.com/m/1hFlxg4JEh0", "https://xhslink.com/m/1hFlxg4JEh0")</f>
        <v>https://xhslink.com/m/1hFlxg4JEh0</v>
      </c>
      <c r="D3949"/>
      <c r="E3949">
        <v>280000</v>
      </c>
      <c r="F3949">
        <v>71.9</v>
      </c>
      <c r="G3949">
        <v>32.9</v>
      </c>
      <c r="H3949">
        <v>100</v>
      </c>
      <c r="I3949" t="inlineStr">
        <is>
          <t>耳机</t>
        </is>
      </c>
      <c r="J3949" t="inlineStr">
        <is>
          <t>0.00</t>
        </is>
      </c>
      <c r="K3949" t="inlineStr">
        <is>
          <t>🔥低粉爆款</t>
        </is>
      </c>
      <c r="L3949" t="inlineStr">
        <is>
          <t>A 人杰数码的店</t>
        </is>
      </c>
      <c r="M3949">
        <v>6269</v>
      </c>
      <c r="N3949">
        <v>4.53</v>
      </c>
      <c r="O3949">
        <v>396000</v>
      </c>
      <c r="P3949" t="inlineStr">
        <is>
          <t>671f0ef575e23c00013716a7</t>
        </is>
      </c>
      <c r="Q3949"/>
      <c r="R3949" t="inlineStr">
        <is>
          <t>15周</t>
        </is>
      </c>
      <c r="S3949" t="inlineStr">
        <is>
          <t>44.66</t>
        </is>
      </c>
      <c r="T3949" t="inlineStr">
        <is>
          <t>数码家电</t>
        </is>
      </c>
      <c r="U3949" t="inlineStr">
        <is>
          <t>数码配件</t>
        </is>
      </c>
      <c r="V3949" s="3">
        <v>46120.939930555556</v>
      </c>
      <c r="W3949" t="inlineStr">
        <is>
          <t>2026-Q2</t>
        </is>
      </c>
    </row>
    <row r="3950" ht="25.5" customHeight="1">
      <c r="A3950" t="inlineStr">
        <is>
          <t>灵亓 · 风鸣发烧级有线耳机MMCX平头塞可换线半入耳式铝合金腔体锥形球体</t>
        </is>
      </c>
      <c r="B3950" t="inlineStr">
        <is>
          <t>recvgd5oYIvP4V.jpg</t>
        </is>
      </c>
      <c r="C3950" s="2" t="str">
        <f>=HYPERLINK("https://xhslink.com/m/AsFXgnaJtgE", "https://xhslink.com/m/AsFXgnaJtgE")</f>
        <v>https://xhslink.com/m/AsFXgnaJtgE</v>
      </c>
      <c r="D3950"/>
      <c r="E3950">
        <v>14000</v>
      </c>
      <c r="F3950">
        <v>299</v>
      </c>
      <c r="G3950">
        <v>269</v>
      </c>
      <c r="H3950">
        <v>100</v>
      </c>
      <c r="I3950" t="inlineStr">
        <is>
          <t>耳机</t>
        </is>
      </c>
      <c r="J3950" t="inlineStr">
        <is>
          <t>0.01</t>
        </is>
      </c>
      <c r="K3950"/>
      <c r="L3950" t="inlineStr">
        <is>
          <t>灵亓科技的店</t>
        </is>
      </c>
      <c r="M3950">
        <v>13000</v>
      </c>
      <c r="N3950">
        <v>4.68</v>
      </c>
      <c r="O3950">
        <v>65000</v>
      </c>
      <c r="P3950" t="inlineStr">
        <is>
          <t>6574ea0775af9d00015e46a2</t>
        </is>
      </c>
      <c r="Q3950"/>
      <c r="R3950" t="inlineStr">
        <is>
          <t>15周</t>
        </is>
      </c>
      <c r="S3950" t="inlineStr">
        <is>
          <t>1.08</t>
        </is>
      </c>
      <c r="T3950" t="inlineStr">
        <is>
          <t>数码家电</t>
        </is>
      </c>
      <c r="U3950" t="inlineStr">
        <is>
          <t>数码配件</t>
        </is>
      </c>
      <c r="V3950" s="3">
        <v>46120.939930555556</v>
      </c>
      <c r="W3950" t="inlineStr">
        <is>
          <t>2026-Q2</t>
        </is>
      </c>
    </row>
    <row r="3951" ht="25.5" customHeight="1">
      <c r="A3951" t="inlineStr">
        <is>
          <t>极有心 · 无线充氛围灯蓝牙音箱生日礼物女生情人节女朋友闺蜜实用毕业礼物</t>
        </is>
      </c>
      <c r="B3951" t="inlineStr">
        <is>
          <t>recvgd5oYI7y40.jpg</t>
        </is>
      </c>
      <c r="C3951" s="2" t="str">
        <f>=HYPERLINK("https://xhslink.com/m/3bCAgDklXu9", "https://xhslink.com/m/3bCAgDklXu9")</f>
        <v>https://xhslink.com/m/3bCAgDklXu9</v>
      </c>
      <c r="D3951"/>
      <c r="E3951">
        <v>1831</v>
      </c>
      <c r="F3951">
        <v>169</v>
      </c>
      <c r="G3951">
        <v>119</v>
      </c>
      <c r="H3951">
        <v>100</v>
      </c>
      <c r="I3951" t="inlineStr">
        <is>
          <t>耳机</t>
        </is>
      </c>
      <c r="J3951" t="inlineStr">
        <is>
          <t>0.05</t>
        </is>
      </c>
      <c r="K3951"/>
      <c r="L3951" t="inlineStr">
        <is>
          <t>极有心礼物的店</t>
        </is>
      </c>
      <c r="M3951">
        <v>14000</v>
      </c>
      <c r="N3951">
        <v>4.48</v>
      </c>
      <c r="O3951">
        <v>112000</v>
      </c>
      <c r="P3951" t="inlineStr">
        <is>
          <t>6965c10a06ca450001d615e5</t>
        </is>
      </c>
      <c r="Q3951"/>
      <c r="R3951" t="inlineStr">
        <is>
          <t>15周</t>
        </is>
      </c>
      <c r="S3951" t="inlineStr">
        <is>
          <t>0.13</t>
        </is>
      </c>
      <c r="T3951" t="inlineStr">
        <is>
          <t>数码家电</t>
        </is>
      </c>
      <c r="U3951" t="inlineStr">
        <is>
          <t>数码配件</t>
        </is>
      </c>
      <c r="V3951" s="3">
        <v>46120.939930555556</v>
      </c>
      <c r="W3951" t="inlineStr">
        <is>
          <t>2026-Q2</t>
        </is>
      </c>
    </row>
    <row r="3952" ht="25.5" customHeight="1">
      <c r="A3952" t="inlineStr">
        <is>
          <t>大疆 · Osmo Pocket 3 一英寸口袋云台相机 OP数码相机 旅游摄影直播vlog</t>
        </is>
      </c>
      <c r="B3952" t="inlineStr">
        <is>
          <t>recvgd5oYIxf3J.jpg</t>
        </is>
      </c>
      <c r="C3952" s="2" t="str">
        <f>=HYPERLINK("https://xhslink.com/m/4OYnwMe8JVW", "https://xhslink.com/m/4OYnwMe8JVW")</f>
        <v>https://xhslink.com/m/4OYnwMe8JVW</v>
      </c>
      <c r="D3952"/>
      <c r="E3952">
        <v>2191</v>
      </c>
      <c r="F3952">
        <v>3499</v>
      </c>
      <c r="G3952">
        <v>2799</v>
      </c>
      <c r="H3952">
        <v>100</v>
      </c>
      <c r="I3952" t="inlineStr">
        <is>
          <t>相机</t>
        </is>
      </c>
      <c r="J3952" t="inlineStr">
        <is>
          <t>0.05</t>
        </is>
      </c>
      <c r="K3952"/>
      <c r="L3952" t="inlineStr">
        <is>
          <t>DJI大疆旗舰店</t>
        </is>
      </c>
      <c r="M3952">
        <v>67000</v>
      </c>
      <c r="N3952">
        <v>4.76</v>
      </c>
      <c r="O3952">
        <v>24000</v>
      </c>
      <c r="P3952" t="inlineStr">
        <is>
          <t>68c00a9e24d64a0001dc031d</t>
        </is>
      </c>
      <c r="Q3952"/>
      <c r="R3952" t="inlineStr">
        <is>
          <t>15周</t>
        </is>
      </c>
      <c r="S3952" t="inlineStr">
        <is>
          <t>0.03</t>
        </is>
      </c>
      <c r="T3952" t="inlineStr">
        <is>
          <t>数码家电</t>
        </is>
      </c>
      <c r="U3952" t="inlineStr">
        <is>
          <t>数码配件</t>
        </is>
      </c>
      <c r="V3952" s="3">
        <v>46120.939930555556</v>
      </c>
      <c r="W3952" t="inlineStr">
        <is>
          <t>2026-Q2</t>
        </is>
      </c>
    </row>
    <row r="3953" ht="25.5" customHeight="1">
      <c r="A3953" t="inlineStr">
        <is>
          <t>42.195km · 富士相机胶片饼干镜头 CCD色彩 索尼 便携无需对焦就可以拍</t>
        </is>
      </c>
      <c r="B3953" t="inlineStr">
        <is>
          <t>recvgd5oYIcueT.jpg</t>
        </is>
      </c>
      <c r="C3953" s="2" t="str">
        <f>=HYPERLINK("https://xhslink.com/m/ABYvVNOnB7N", "https://xhslink.com/m/ABYvVNOnB7N")</f>
        <v>https://xhslink.com/m/ABYvVNOnB7N</v>
      </c>
      <c r="D3953"/>
      <c r="E3953">
        <v>9309</v>
      </c>
      <c r="F3953">
        <v>68</v>
      </c>
      <c r="G3953"/>
      <c r="H3953">
        <v>100</v>
      </c>
      <c r="I3953" t="inlineStr">
        <is>
          <t>相机</t>
        </is>
      </c>
      <c r="J3953" t="inlineStr">
        <is>
          <t>0.01</t>
        </is>
      </c>
      <c r="K3953" t="inlineStr">
        <is>
          <t>🔥低粉爆款</t>
        </is>
      </c>
      <c r="L3953" t="inlineStr">
        <is>
          <t>十茜君（图文版）的店</t>
        </is>
      </c>
      <c r="M3953">
        <v>1970</v>
      </c>
      <c r="N3953">
        <v>4.38</v>
      </c>
      <c r="O3953">
        <v>10000</v>
      </c>
      <c r="P3953" t="inlineStr">
        <is>
          <t>68284613c3bab900014e9338</t>
        </is>
      </c>
      <c r="Q3953"/>
      <c r="R3953" t="inlineStr">
        <is>
          <t>15周</t>
        </is>
      </c>
      <c r="S3953" t="inlineStr">
        <is>
          <t>4.73</t>
        </is>
      </c>
      <c r="T3953" t="inlineStr">
        <is>
          <t>美食滋补</t>
        </is>
      </c>
      <c r="U3953" t="inlineStr">
        <is>
          <t>休闲零食</t>
        </is>
      </c>
      <c r="V3953" s="3">
        <v>46120.939930555556</v>
      </c>
      <c r="W3953" t="inlineStr">
        <is>
          <t>2026-Q2</t>
        </is>
      </c>
    </row>
    <row r="3954" ht="25.5" customHeight="1">
      <c r="A3954" t="inlineStr">
        <is>
          <t>fokli · 一次性胶片机入门复古傻瓜胶卷胶片相机36张彩色半格带闪光灯电影</t>
        </is>
      </c>
      <c r="B3954" t="inlineStr">
        <is>
          <t>recvgd5oYI0fhl.jpg</t>
        </is>
      </c>
      <c r="C3954" s="2" t="str">
        <f>=HYPERLINK("https://xhslink.com/m/2mjAhqmU3ss", "https://xhslink.com/m/2mjAhqmU3ss")</f>
        <v>https://xhslink.com/m/2mjAhqmU3ss</v>
      </c>
      <c r="D3954"/>
      <c r="E3954">
        <v>5664</v>
      </c>
      <c r="F3954">
        <v>139</v>
      </c>
      <c r="G3954">
        <v>119</v>
      </c>
      <c r="H3954">
        <v>100</v>
      </c>
      <c r="I3954" t="inlineStr">
        <is>
          <t>相机</t>
        </is>
      </c>
      <c r="J3954" t="inlineStr">
        <is>
          <t>0.02</t>
        </is>
      </c>
      <c r="K3954" t="inlineStr">
        <is>
          <t>🔥低粉爆款</t>
        </is>
      </c>
      <c r="L3954" t="inlineStr">
        <is>
          <t>瑞唛西西的店</t>
        </is>
      </c>
      <c r="M3954">
        <v>326</v>
      </c>
      <c r="N3954">
        <v>4.64</v>
      </c>
      <c r="O3954">
        <v>8751</v>
      </c>
      <c r="P3954" t="inlineStr">
        <is>
          <t>675bcfedba1e91000148d8f0</t>
        </is>
      </c>
      <c r="Q3954"/>
      <c r="R3954" t="inlineStr">
        <is>
          <t>15周</t>
        </is>
      </c>
      <c r="S3954" t="inlineStr">
        <is>
          <t>17.37</t>
        </is>
      </c>
      <c r="T3954" t="inlineStr">
        <is>
          <t>数码家电</t>
        </is>
      </c>
      <c r="U3954" t="inlineStr">
        <is>
          <t>数码配件</t>
        </is>
      </c>
      <c r="V3954" s="3">
        <v>46120.939930555556</v>
      </c>
      <c r="W3954" t="inlineStr">
        <is>
          <t>2026-Q2</t>
        </is>
      </c>
    </row>
    <row r="3955" ht="25.5" customHeight="1">
      <c r="A3955" t="inlineStr">
        <is>
          <t>大容量双肩包女户外背包初高中大学生书包百搭旅行包15寸电脑背包</t>
        </is>
      </c>
      <c r="B3955" t="inlineStr">
        <is>
          <t>recvgd5oYI4fBP.jpg</t>
        </is>
      </c>
      <c r="C3955" s="2" t="str">
        <f>=HYPERLINK("https://xhslink.com/m/8o6JUg4gvMF", "https://xhslink.com/m/8o6JUg4gvMF")</f>
        <v>https://xhslink.com/m/8o6JUg4gvMF</v>
      </c>
      <c r="D3955"/>
      <c r="E3955">
        <v>8229</v>
      </c>
      <c r="F3955">
        <v>59.9</v>
      </c>
      <c r="G3955"/>
      <c r="H3955">
        <v>100</v>
      </c>
      <c r="I3955" t="inlineStr">
        <is>
          <t>户外双肩包</t>
        </is>
      </c>
      <c r="J3955" t="inlineStr">
        <is>
          <t>0.01</t>
        </is>
      </c>
      <c r="K3955"/>
      <c r="L3955" t="inlineStr">
        <is>
          <t>慢客箱包的店</t>
        </is>
      </c>
      <c r="M3955">
        <v>3036</v>
      </c>
      <c r="N3955">
        <v>4.78</v>
      </c>
      <c r="O3955">
        <v>81000</v>
      </c>
      <c r="P3955" t="inlineStr">
        <is>
          <t>689ca6844dbac20001a35401</t>
        </is>
      </c>
      <c r="Q3955" t="inlineStr">
        <is>
          <t>🚫重复</t>
        </is>
      </c>
      <c r="R3955" t="inlineStr">
        <is>
          <t>15周</t>
        </is>
      </c>
      <c r="S3955" t="inlineStr">
        <is>
          <t>2.71</t>
        </is>
      </c>
      <c r="T3955" t="inlineStr">
        <is>
          <t>服饰穿搭</t>
        </is>
      </c>
      <c r="U3955" t="inlineStr">
        <is>
          <t>鞋靴箱包</t>
        </is>
      </c>
      <c r="V3955" s="3">
        <v>46120.939930555556</v>
      </c>
      <c r="W3955" t="inlineStr">
        <is>
          <t>2026-Q2</t>
        </is>
      </c>
    </row>
    <row r="3956" ht="25.5" customHeight="1">
      <c r="A3956" t="inlineStr">
        <is>
          <t>【新疆发货】2/4/5斤正宗新疆特产拉条子劲道爽滑粗面条挂面炒面</t>
        </is>
      </c>
      <c r="B3956" t="inlineStr">
        <is>
          <t>recvgd5oYIRaRy.jpg</t>
        </is>
      </c>
      <c r="C3956" s="2" t="str">
        <f>=HYPERLINK("https://xhslink.com/m/1el3JGcBwC7", "https://xhslink.com/m/1el3JGcBwC7")</f>
        <v>https://xhslink.com/m/1el3JGcBwC7</v>
      </c>
      <c r="D3956"/>
      <c r="E3956">
        <v>71000</v>
      </c>
      <c r="F3956">
        <v>36.8</v>
      </c>
      <c r="G3956">
        <v>26.8</v>
      </c>
      <c r="H3956">
        <v>100</v>
      </c>
      <c r="I3956" t="inlineStr">
        <is>
          <t>面条</t>
        </is>
      </c>
      <c r="J3956" t="inlineStr">
        <is>
          <t>0.00</t>
        </is>
      </c>
      <c r="K3956" t="inlineStr">
        <is>
          <t>🔥低粉爆款</t>
        </is>
      </c>
      <c r="L3956" t="inlineStr">
        <is>
          <t>吃不胖的小欣的店</t>
        </is>
      </c>
      <c r="M3956">
        <v>4991</v>
      </c>
      <c r="N3956">
        <v>4.49</v>
      </c>
      <c r="O3956">
        <v>128000</v>
      </c>
      <c r="P3956" t="inlineStr">
        <is>
          <t>66f13bfe232e390001bc4776</t>
        </is>
      </c>
      <c r="Q3956"/>
      <c r="R3956" t="inlineStr">
        <is>
          <t>15周</t>
        </is>
      </c>
      <c r="S3956" t="inlineStr">
        <is>
          <t>14.23</t>
        </is>
      </c>
      <c r="T3956" t="inlineStr">
        <is>
          <t>美食滋补</t>
        </is>
      </c>
      <c r="U3956" t="inlineStr">
        <is>
          <t>生鲜特产</t>
        </is>
      </c>
      <c r="V3956" s="3">
        <v>46120.939930555556</v>
      </c>
      <c r="W3956" t="inlineStr">
        <is>
          <t>2026-Q2</t>
        </is>
      </c>
    </row>
    <row r="3957" ht="25.5" customHeight="1">
      <c r="A3957" t="inlineStr">
        <is>
          <t>名城嘟嘟妹大宽面贵州特产宽面挂面油泼面劲道午餐晚餐太阳面</t>
        </is>
      </c>
      <c r="B3957" t="inlineStr">
        <is>
          <t>recvgd5oYIUsb2.jpg</t>
        </is>
      </c>
      <c r="C3957" s="2" t="str">
        <f>=HYPERLINK("https://xhslink.com/m/4pOv3fa20Zg", "https://xhslink.com/m/4pOv3fa20Zg")</f>
        <v>https://xhslink.com/m/4pOv3fa20Zg</v>
      </c>
      <c r="D3957"/>
      <c r="E3957">
        <v>9236</v>
      </c>
      <c r="F3957">
        <v>18.8</v>
      </c>
      <c r="G3957">
        <v>17.8</v>
      </c>
      <c r="H3957">
        <v>100</v>
      </c>
      <c r="I3957" t="inlineStr">
        <is>
          <t>面条</t>
        </is>
      </c>
      <c r="J3957" t="inlineStr">
        <is>
          <t>0.01</t>
        </is>
      </c>
      <c r="K3957" t="inlineStr">
        <is>
          <t>🔥低粉爆款</t>
        </is>
      </c>
      <c r="L3957" t="inlineStr">
        <is>
          <t>嘟嘟妹大宽面的店</t>
        </is>
      </c>
      <c r="M3957">
        <v>58</v>
      </c>
      <c r="N3957">
        <v>4.41</v>
      </c>
      <c r="O3957">
        <v>10000</v>
      </c>
      <c r="P3957" t="inlineStr">
        <is>
          <t>69259c013501090001e21ab5</t>
        </is>
      </c>
      <c r="Q3957"/>
      <c r="R3957" t="inlineStr">
        <is>
          <t>15周</t>
        </is>
      </c>
      <c r="S3957" t="inlineStr">
        <is>
          <t>159.24</t>
        </is>
      </c>
      <c r="T3957" t="inlineStr">
        <is>
          <t>美食滋补</t>
        </is>
      </c>
      <c r="U3957" t="inlineStr">
        <is>
          <t>生鲜特产</t>
        </is>
      </c>
      <c r="V3957" s="3">
        <v>46120.939930555556</v>
      </c>
      <c r="W3957" t="inlineStr">
        <is>
          <t>2026-Q2</t>
        </is>
      </c>
    </row>
    <row r="3958" ht="25.5" customHeight="1">
      <c r="A3958" t="inlineStr">
        <is>
          <t>湾仔岛 · 【到手6袋】日式大骨汤拉面酸辣豚骨拉面非油炸速食面条</t>
        </is>
      </c>
      <c r="B3958" t="inlineStr">
        <is>
          <t>recvgd5oYIfmrl.jpg</t>
        </is>
      </c>
      <c r="C3958" s="2" t="str">
        <f>=HYPERLINK("https://xhslink.com/m/9Ez6hKNYCSN", "https://xhslink.com/m/9Ez6hKNYCSN")</f>
        <v>https://xhslink.com/m/9Ez6hKNYCSN</v>
      </c>
      <c r="D3958"/>
      <c r="E3958">
        <v>21000</v>
      </c>
      <c r="F3958">
        <v>24.99</v>
      </c>
      <c r="G3958">
        <v>19.99</v>
      </c>
      <c r="H3958">
        <v>100</v>
      </c>
      <c r="I3958" t="inlineStr">
        <is>
          <t>面条</t>
        </is>
      </c>
      <c r="J3958" t="inlineStr">
        <is>
          <t>0.00</t>
        </is>
      </c>
      <c r="K3958" t="inlineStr">
        <is>
          <t>🔥低粉爆款</t>
        </is>
      </c>
      <c r="L3958" t="inlineStr">
        <is>
          <t>鑫鑫零食屋的店</t>
        </is>
      </c>
      <c r="M3958">
        <v>5665</v>
      </c>
      <c r="N3958">
        <v>4.39</v>
      </c>
      <c r="O3958">
        <v>111000</v>
      </c>
      <c r="P3958" t="inlineStr">
        <is>
          <t>69704db130608a0015810151</t>
        </is>
      </c>
      <c r="Q3958"/>
      <c r="R3958" t="inlineStr">
        <is>
          <t>15周</t>
        </is>
      </c>
      <c r="S3958" t="inlineStr">
        <is>
          <t>3.71</t>
        </is>
      </c>
      <c r="T3958" t="inlineStr">
        <is>
          <t>美食滋补</t>
        </is>
      </c>
      <c r="U3958" t="inlineStr">
        <is>
          <t>休闲零食</t>
        </is>
      </c>
      <c r="V3958" s="3">
        <v>46120.939930555556</v>
      </c>
      <c r="W3958" t="inlineStr">
        <is>
          <t>2026-Q2</t>
        </is>
      </c>
    </row>
    <row r="3959" ht="25.5" customHeight="1">
      <c r="A3959" t="inlineStr">
        <is>
          <t>blingbling素链合集｜钛钢真空镀18K/24K金高保色素链条</t>
        </is>
      </c>
      <c r="B3959" t="inlineStr">
        <is>
          <t>recvgd5oYIHHke.jpg</t>
        </is>
      </c>
      <c r="C3959" s="2" t="str">
        <f>=HYPERLINK("https://xhslink.com/m/AzCtllswYdM", "https://xhslink.com/m/AzCtllswYdM")</f>
        <v>https://xhslink.com/m/AzCtllswYdM</v>
      </c>
      <c r="D3959"/>
      <c r="E3959">
        <v>11000</v>
      </c>
      <c r="F3959">
        <v>32.8</v>
      </c>
      <c r="G3959"/>
      <c r="H3959">
        <v>100</v>
      </c>
      <c r="I3959" t="inlineStr">
        <is>
          <t>配饰</t>
        </is>
      </c>
      <c r="J3959" t="inlineStr">
        <is>
          <t>0.01</t>
        </is>
      </c>
      <c r="K3959" t="inlineStr">
        <is>
          <t>🔥低粉爆款</t>
        </is>
      </c>
      <c r="L3959" t="inlineStr">
        <is>
          <t>nora叨叨的店</t>
        </is>
      </c>
      <c r="M3959">
        <v>3539</v>
      </c>
      <c r="N3959">
        <v>4.57</v>
      </c>
      <c r="O3959">
        <v>14000</v>
      </c>
      <c r="P3959" t="inlineStr">
        <is>
          <t>685e3e4447fd8b0001269a33</t>
        </is>
      </c>
      <c r="Q3959" t="inlineStr">
        <is>
          <t>🚫重复</t>
        </is>
      </c>
      <c r="R3959" t="inlineStr">
        <is>
          <t>15周</t>
        </is>
      </c>
      <c r="S3959" t="inlineStr">
        <is>
          <t>3.11</t>
        </is>
      </c>
      <c r="T3959" t="inlineStr">
        <is>
          <t>服饰穿搭</t>
        </is>
      </c>
      <c r="U3959" t="inlineStr">
        <is>
          <t>配饰</t>
        </is>
      </c>
      <c r="V3959" s="3">
        <v>46120.939930555556</v>
      </c>
      <c r="W3959" t="inlineStr">
        <is>
          <t>2026-Q2</t>
        </is>
      </c>
    </row>
    <row r="3960" ht="25.5" customHeight="1">
      <c r="A3960" t="inlineStr">
        <is>
          <t>JUDY LADIE'S · 洗澡不用摘戒指 极简18K磨砂素圈戒指女基础款极简指环冷淡风</t>
        </is>
      </c>
      <c r="B3960" t="inlineStr">
        <is>
          <t>recvgd5oYIGxEn.jpg</t>
        </is>
      </c>
      <c r="C3960" s="2" t="str">
        <f>=HYPERLINK("https://xhslink.com/m/9lkdRRcHLvm", "https://xhslink.com/m/9lkdRRcHLvm")</f>
        <v>https://xhslink.com/m/9lkdRRcHLvm</v>
      </c>
      <c r="D3960"/>
      <c r="E3960">
        <v>8181</v>
      </c>
      <c r="F3960">
        <v>59</v>
      </c>
      <c r="G3960">
        <v>51.92</v>
      </c>
      <c r="H3960">
        <v>100</v>
      </c>
      <c r="I3960" t="inlineStr">
        <is>
          <t>配饰</t>
        </is>
      </c>
      <c r="J3960" t="inlineStr">
        <is>
          <t>0.01</t>
        </is>
      </c>
      <c r="K3960"/>
      <c r="L3960" t="inlineStr">
        <is>
          <t>JUDY LADIE'S旗舰店</t>
        </is>
      </c>
      <c r="M3960">
        <v>66000</v>
      </c>
      <c r="N3960">
        <v>4.56</v>
      </c>
      <c r="O3960">
        <v>84000</v>
      </c>
      <c r="P3960" t="inlineStr">
        <is>
          <t>6353bb692bb55e0001eddaf7</t>
        </is>
      </c>
      <c r="Q3960"/>
      <c r="R3960" t="inlineStr">
        <is>
          <t>15周</t>
        </is>
      </c>
      <c r="S3960" t="inlineStr">
        <is>
          <t>0.12</t>
        </is>
      </c>
      <c r="T3960" t="inlineStr">
        <is>
          <t>服饰穿搭</t>
        </is>
      </c>
      <c r="U3960" t="inlineStr">
        <is>
          <t>配饰</t>
        </is>
      </c>
      <c r="V3960" s="3">
        <v>46120.939930555556</v>
      </c>
      <c r="W3960" t="inlineStr">
        <is>
          <t>2026-Q2</t>
        </is>
      </c>
    </row>
    <row r="3961" ht="25.5" customHeight="1">
      <c r="A3961" t="inlineStr">
        <is>
          <t>早八人的天命发夹！韩系学院风复古格纹蝴蝶结抓夹气质香蕉夹女</t>
        </is>
      </c>
      <c r="B3961" t="inlineStr">
        <is>
          <t>recvgd5oYIYFFt.jpg</t>
        </is>
      </c>
      <c r="C3961" s="2" t="str">
        <f>=HYPERLINK("https://xhslink.com/m/gJ3c4Di4Do", "https://xhslink.com/m/gJ3c4Di4Do")</f>
        <v>https://xhslink.com/m/gJ3c4Di4Do</v>
      </c>
      <c r="D3961"/>
      <c r="E3961">
        <v>2637</v>
      </c>
      <c r="F3961">
        <v>19.9</v>
      </c>
      <c r="G3961"/>
      <c r="H3961">
        <v>100</v>
      </c>
      <c r="I3961" t="inlineStr">
        <is>
          <t>配饰</t>
        </is>
      </c>
      <c r="J3961" t="inlineStr">
        <is>
          <t>0.04</t>
        </is>
      </c>
      <c r="K3961"/>
      <c r="L3961" t="inlineStr">
        <is>
          <t>Oakmoss kr-棣柏的店</t>
        </is>
      </c>
      <c r="M3961">
        <v>14000</v>
      </c>
      <c r="N3961">
        <v>4.57</v>
      </c>
      <c r="O3961">
        <v>62000</v>
      </c>
      <c r="P3961" t="inlineStr">
        <is>
          <t>69799ba88c608e00018b2b61</t>
        </is>
      </c>
      <c r="Q3961"/>
      <c r="R3961" t="inlineStr">
        <is>
          <t>15周</t>
        </is>
      </c>
      <c r="S3961" t="inlineStr">
        <is>
          <t>0.19</t>
        </is>
      </c>
      <c r="T3961" t="inlineStr">
        <is>
          <t>服饰穿搭</t>
        </is>
      </c>
      <c r="U3961" t="inlineStr">
        <is>
          <t>配饰</t>
        </is>
      </c>
      <c r="V3961" s="3">
        <v>46120.939930555556</v>
      </c>
      <c r="W3961" t="inlineStr">
        <is>
          <t>2026-Q2</t>
        </is>
      </c>
    </row>
    <row r="3962" ht="25.5" customHeight="1">
      <c r="A3962" t="inlineStr">
        <is>
          <t>双层小裙子·项链 扇形贝母玉髓粉钻项链</t>
        </is>
      </c>
      <c r="B3962" t="inlineStr">
        <is>
          <t>recvgd5oYIXUTQ.jpg</t>
        </is>
      </c>
      <c r="C3962" s="2" t="str">
        <f>=HYPERLINK("https://xhslink.com/m/250xG2W1BlF", "https://xhslink.com/m/250xG2W1BlF")</f>
        <v>https://xhslink.com/m/250xG2W1BlF</v>
      </c>
      <c r="D3962"/>
      <c r="E3962">
        <v>536</v>
      </c>
      <c r="F3962">
        <v>209.9</v>
      </c>
      <c r="G3962"/>
      <c r="H3962">
        <v>100</v>
      </c>
      <c r="I3962" t="inlineStr">
        <is>
          <t>配饰</t>
        </is>
      </c>
      <c r="J3962" t="inlineStr">
        <is>
          <t>0.19</t>
        </is>
      </c>
      <c r="K3962"/>
      <c r="L3962" t="inlineStr">
        <is>
          <t>Fanyi珠宝阁的店</t>
        </is>
      </c>
      <c r="M3962">
        <v>3020</v>
      </c>
      <c r="N3962">
        <v>4.51</v>
      </c>
      <c r="O3962">
        <v>6259</v>
      </c>
      <c r="P3962" t="inlineStr">
        <is>
          <t>68a01c3d16b0c800016bf385</t>
        </is>
      </c>
      <c r="Q3962" t="inlineStr">
        <is>
          <t>🚫重复</t>
        </is>
      </c>
      <c r="R3962" t="inlineStr">
        <is>
          <t>15周</t>
        </is>
      </c>
      <c r="S3962" t="inlineStr">
        <is>
          <t>0.18</t>
        </is>
      </c>
      <c r="T3962" t="inlineStr">
        <is>
          <t>服饰穿搭</t>
        </is>
      </c>
      <c r="U3962" t="inlineStr">
        <is>
          <t>配饰</t>
        </is>
      </c>
      <c r="V3962" s="3">
        <v>46120.939930555556</v>
      </c>
      <c r="W3962" t="inlineStr">
        <is>
          <t>2026-Q2</t>
        </is>
      </c>
    </row>
    <row r="3963" ht="25.5" customHeight="1">
      <c r="A3963" t="inlineStr">
        <is>
          <t>emis · 徽章刺绣标志鸭舌帽</t>
        </is>
      </c>
      <c r="B3963" t="inlineStr">
        <is>
          <t>recvgd5oYISJ6V.jpg</t>
        </is>
      </c>
      <c r="C3963" s="2" t="str">
        <f>=HYPERLINK("https://xhslink.com/m/7Hv5NYybFyf", "https://xhslink.com/m/7Hv5NYybFyf")</f>
        <v>https://xhslink.com/m/7Hv5NYybFyf</v>
      </c>
      <c r="D3963"/>
      <c r="E3963">
        <v>560</v>
      </c>
      <c r="F3963">
        <v>265</v>
      </c>
      <c r="G3963"/>
      <c r="H3963">
        <v>100</v>
      </c>
      <c r="I3963" t="inlineStr">
        <is>
          <t>配饰</t>
        </is>
      </c>
      <c r="J3963" t="inlineStr">
        <is>
          <t>0.18</t>
        </is>
      </c>
      <c r="K3963"/>
      <c r="L3963" t="inlineStr">
        <is>
          <t>好货市场的店</t>
        </is>
      </c>
      <c r="M3963">
        <v>10000</v>
      </c>
      <c r="N3963">
        <v>4.48</v>
      </c>
      <c r="O3963">
        <v>7775</v>
      </c>
      <c r="P3963" t="inlineStr">
        <is>
          <t>69c16b5564c86a001516d286</t>
        </is>
      </c>
      <c r="Q3963" t="inlineStr">
        <is>
          <t>🚫重复</t>
        </is>
      </c>
      <c r="R3963" t="inlineStr">
        <is>
          <t>15周</t>
        </is>
      </c>
      <c r="S3963" t="inlineStr">
        <is>
          <t>0.06</t>
        </is>
      </c>
      <c r="T3963" t="inlineStr">
        <is>
          <t>服饰穿搭</t>
        </is>
      </c>
      <c r="U3963" t="inlineStr">
        <is>
          <t>配饰</t>
        </is>
      </c>
      <c r="V3963" s="3">
        <v>46120.939930555556</v>
      </c>
      <c r="W3963" t="inlineStr">
        <is>
          <t>2026-Q2</t>
        </is>
      </c>
    </row>
    <row r="3964" ht="25.5" customHeight="1">
      <c r="A3964" t="inlineStr">
        <is>
          <t>满钻镂空四叶草·项链 爆闪轻奢锁骨链V金</t>
        </is>
      </c>
      <c r="B3964" t="inlineStr">
        <is>
          <t>recvgd5oYIUA3u.jpg</t>
        </is>
      </c>
      <c r="C3964" s="2" t="str">
        <f>=HYPERLINK("https://xhslink.com/m/3HcKQt8hjnK", "https://xhslink.com/m/3HcKQt8hjnK")</f>
        <v>https://xhslink.com/m/3HcKQt8hjnK</v>
      </c>
      <c r="D3964"/>
      <c r="E3964">
        <v>376</v>
      </c>
      <c r="F3964">
        <v>239</v>
      </c>
      <c r="G3964"/>
      <c r="H3964">
        <v>100</v>
      </c>
      <c r="I3964" t="inlineStr">
        <is>
          <t>配饰</t>
        </is>
      </c>
      <c r="J3964" t="inlineStr">
        <is>
          <t>0.27</t>
        </is>
      </c>
      <c r="K3964"/>
      <c r="L3964" t="inlineStr">
        <is>
          <t>Fanyi珠宝阁的店</t>
        </is>
      </c>
      <c r="M3964">
        <v>3020</v>
      </c>
      <c r="N3964">
        <v>4.51</v>
      </c>
      <c r="O3964">
        <v>6259</v>
      </c>
      <c r="P3964" t="inlineStr">
        <is>
          <t>689f51834dbac20001bdea1c</t>
        </is>
      </c>
      <c r="Q3964" t="inlineStr">
        <is>
          <t>🚫重复</t>
        </is>
      </c>
      <c r="R3964" t="inlineStr">
        <is>
          <t>15周</t>
        </is>
      </c>
      <c r="S3964" t="inlineStr">
        <is>
          <t>0.12</t>
        </is>
      </c>
      <c r="T3964" t="inlineStr">
        <is>
          <t>服饰穿搭</t>
        </is>
      </c>
      <c r="U3964" t="inlineStr">
        <is>
          <t>配饰</t>
        </is>
      </c>
      <c r="V3964" s="3">
        <v>46120.939930555556</v>
      </c>
      <c r="W3964" t="inlineStr">
        <is>
          <t>2026-Q2</t>
        </is>
      </c>
    </row>
    <row r="3965" ht="25.5" customHeight="1">
      <c r="A3965" t="inlineStr">
        <is>
          <t>（72h上新特惠）莫奈花园 粉色碎花连衣裙女夏收腰显瘦韩系度假风</t>
        </is>
      </c>
      <c r="B3965" t="inlineStr">
        <is>
          <t>recvgd5oYI5O3O.jpg</t>
        </is>
      </c>
      <c r="C3965" s="2" t="str">
        <f>=HYPERLINK("https://xhslink.com/m/2rbtZK8etWh", "https://xhslink.com/m/2rbtZK8etWh")</f>
        <v>https://xhslink.com/m/2rbtZK8etWh</v>
      </c>
      <c r="D3965"/>
      <c r="E3965">
        <v>1394</v>
      </c>
      <c r="F3965">
        <v>79.9</v>
      </c>
      <c r="G3965">
        <v>76.9</v>
      </c>
      <c r="H3965">
        <v>100</v>
      </c>
      <c r="I3965" t="inlineStr">
        <is>
          <t>连衣裙</t>
        </is>
      </c>
      <c r="J3965" t="inlineStr">
        <is>
          <t>0.07</t>
        </is>
      </c>
      <c r="K3965"/>
      <c r="L3965" t="inlineStr">
        <is>
          <t>a喵喵缝纫机的店</t>
        </is>
      </c>
      <c r="M3965">
        <v>54000</v>
      </c>
      <c r="N3965">
        <v>4.54</v>
      </c>
      <c r="O3965">
        <v>158000</v>
      </c>
      <c r="P3965" t="inlineStr">
        <is>
          <t>69aa8a6a70850a0001ea92dc</t>
        </is>
      </c>
      <c r="Q3965"/>
      <c r="R3965" t="inlineStr">
        <is>
          <t>15周</t>
        </is>
      </c>
      <c r="S3965" t="inlineStr">
        <is>
          <t>0.03</t>
        </is>
      </c>
      <c r="T3965" t="inlineStr">
        <is>
          <t>服饰穿搭</t>
        </is>
      </c>
      <c r="U3965" t="inlineStr">
        <is>
          <t>女装</t>
        </is>
      </c>
      <c r="V3965" s="3">
        <v>46120.939930555556</v>
      </c>
      <c r="W3965" t="inlineStr">
        <is>
          <t>2026-Q2</t>
        </is>
      </c>
    </row>
    <row r="3966" ht="25.5" customHeight="1">
      <c r="A3966" t="inlineStr">
        <is>
          <t>清新ins风可爱雪花陶瓷碗勺釉下彩高颜值餐具冰碗甜品碗超好看</t>
        </is>
      </c>
      <c r="B3966" t="inlineStr">
        <is>
          <t>recvgd5oYIU6jV.jpg</t>
        </is>
      </c>
      <c r="C3966" s="2" t="str">
        <f>=HYPERLINK("https://xhslink.com/m/9jprqGxBeRO", "https://xhslink.com/m/9jprqGxBeRO")</f>
        <v>https://xhslink.com/m/9jprqGxBeRO</v>
      </c>
      <c r="D3966"/>
      <c r="E3966">
        <v>33000</v>
      </c>
      <c r="F3966">
        <v>17.8</v>
      </c>
      <c r="G3966">
        <v>7.8</v>
      </c>
      <c r="H3966">
        <v>100</v>
      </c>
      <c r="I3966" t="inlineStr">
        <is>
          <t>餐具</t>
        </is>
      </c>
      <c r="J3966" t="inlineStr">
        <is>
          <t>0.00</t>
        </is>
      </c>
      <c r="K3966" t="inlineStr">
        <is>
          <t>🔥低粉爆款</t>
        </is>
      </c>
      <c r="L3966" t="inlineStr">
        <is>
          <t>sweet元气日记的店</t>
        </is>
      </c>
      <c r="M3966">
        <v>1732</v>
      </c>
      <c r="N3966">
        <v>4.51</v>
      </c>
      <c r="O3966">
        <v>35000</v>
      </c>
      <c r="P3966" t="inlineStr">
        <is>
          <t>68403f38d0af0a0001795ca2</t>
        </is>
      </c>
      <c r="Q3966" t="inlineStr">
        <is>
          <t>🚫重复</t>
        </is>
      </c>
      <c r="R3966" t="inlineStr">
        <is>
          <t>15周</t>
        </is>
      </c>
      <c r="S3966" t="inlineStr">
        <is>
          <t>19.05</t>
        </is>
      </c>
      <c r="T3966" t="inlineStr">
        <is>
          <t>家居生活</t>
        </is>
      </c>
      <c r="U3966" t="inlineStr">
        <is>
          <t>厨房餐饮</t>
        </is>
      </c>
      <c r="V3966" s="3">
        <v>46120.939930555556</v>
      </c>
      <c r="W3966" t="inlineStr">
        <is>
          <t>2026-Q2</t>
        </is>
      </c>
    </row>
    <row r="3967" ht="25.5" customHeight="1">
      <c r="A3967" t="inlineStr">
        <is>
          <t>【董饱饱手作馄饨】60任选5盒加购自动改价手作早餐</t>
        </is>
      </c>
      <c r="B3967" t="inlineStr">
        <is>
          <t>recvgd5oYIjktk.jpg</t>
        </is>
      </c>
      <c r="C3967" s="2" t="str">
        <f>=HYPERLINK("https://xhslink.com/m/9arcMXQTE6j", "https://xhslink.com/m/9arcMXQTE6j")</f>
        <v>https://xhslink.com/m/9arcMXQTE6j</v>
      </c>
      <c r="D3967"/>
      <c r="E3967">
        <v>28000</v>
      </c>
      <c r="F3967">
        <v>30</v>
      </c>
      <c r="G3967"/>
      <c r="H3967">
        <v>100</v>
      </c>
      <c r="I3967" t="inlineStr">
        <is>
          <t>健康早餐</t>
        </is>
      </c>
      <c r="J3967" t="inlineStr">
        <is>
          <t>0.00</t>
        </is>
      </c>
      <c r="K3967"/>
      <c r="L3967" t="inlineStr">
        <is>
          <t>董饱饱手作工坊的店</t>
        </is>
      </c>
      <c r="M3967">
        <v>55000</v>
      </c>
      <c r="N3967">
        <v>4.66</v>
      </c>
      <c r="O3967">
        <v>977000</v>
      </c>
      <c r="P3967" t="inlineStr">
        <is>
          <t>691bdebc6ea74e000199eaab</t>
        </is>
      </c>
      <c r="Q3967" t="inlineStr">
        <is>
          <t>🚫重复</t>
        </is>
      </c>
      <c r="R3967" t="inlineStr">
        <is>
          <t>15周</t>
        </is>
      </c>
      <c r="S3967" t="inlineStr">
        <is>
          <t>0.51</t>
        </is>
      </c>
      <c r="T3967" t="inlineStr">
        <is>
          <t>美食滋补</t>
        </is>
      </c>
      <c r="U3967" t="inlineStr">
        <is>
          <t>休闲零食</t>
        </is>
      </c>
      <c r="V3967" s="3">
        <v>46120.939930555556</v>
      </c>
      <c r="W3967" t="inlineStr">
        <is>
          <t>2026-Q2</t>
        </is>
      </c>
    </row>
    <row r="3968" ht="25.5" customHeight="1">
      <c r="A3968" t="inlineStr">
        <is>
          <t>水感tee大V领宽松T恤夏露肩透气上衣跑步健身短袖百搭不挑人8766</t>
        </is>
      </c>
      <c r="B3968" t="inlineStr">
        <is>
          <t>recvgd5oYIDV7m.jpg</t>
        </is>
      </c>
      <c r="C3968" s="2" t="str">
        <f>=HYPERLINK("https://xhslink.com/m/8faR8eRv5ZH", "https://xhslink.com/m/8faR8eRv5ZH")</f>
        <v>https://xhslink.com/m/8faR8eRv5ZH</v>
      </c>
      <c r="D3968"/>
      <c r="E3968">
        <v>11000</v>
      </c>
      <c r="F3968">
        <v>68</v>
      </c>
      <c r="G3968"/>
      <c r="H3968">
        <v>100</v>
      </c>
      <c r="I3968" t="inlineStr">
        <is>
          <t>T恤</t>
        </is>
      </c>
      <c r="J3968" t="inlineStr">
        <is>
          <t>0.01</t>
        </is>
      </c>
      <c r="K3968"/>
      <c r="L3968" t="inlineStr">
        <is>
          <t>小鱼爱穿搭的店</t>
        </is>
      </c>
      <c r="M3968">
        <v>129000</v>
      </c>
      <c r="N3968">
        <v>4.47</v>
      </c>
      <c r="O3968">
        <v>611000</v>
      </c>
      <c r="P3968" t="inlineStr">
        <is>
          <t>67ceb9012aad8200014a051c</t>
        </is>
      </c>
      <c r="Q3968" t="inlineStr">
        <is>
          <t>🚫重复</t>
        </is>
      </c>
      <c r="R3968" t="inlineStr">
        <is>
          <t>15周</t>
        </is>
      </c>
      <c r="S3968" t="inlineStr">
        <is>
          <t>0.09</t>
        </is>
      </c>
      <c r="T3968" t="inlineStr">
        <is>
          <t>服饰穿搭</t>
        </is>
      </c>
      <c r="U3968" t="inlineStr">
        <is>
          <t>女装</t>
        </is>
      </c>
      <c r="V3968" s="3">
        <v>46120.939930555556</v>
      </c>
      <c r="W3968" t="inlineStr">
        <is>
          <t>2026-Q2</t>
        </is>
      </c>
    </row>
    <row r="3969" ht="25.5" customHeight="1">
      <c r="A3969" t="inlineStr">
        <is>
          <t>拿铁萝莉 · 【螺纹双肩带美背Bra】自带Bra健身瑜伽运动背心交叉美背透气舒适</t>
        </is>
      </c>
      <c r="B3969" t="inlineStr">
        <is>
          <t>recvgjaKncD20Q.jpg</t>
        </is>
      </c>
      <c r="C3969" s="2" t="str">
        <f>=HYPERLINK("https://xhslink.com/m/WZ8HJfqHHr", "https://xhslink.com/m/WZ8HJfqHHr")</f>
        <v>https://xhslink.com/m/WZ8HJfqHHr</v>
      </c>
      <c r="D3969"/>
      <c r="E3969">
        <v>7771</v>
      </c>
      <c r="F3969">
        <v>84.9</v>
      </c>
      <c r="G3969">
        <v>64.9</v>
      </c>
      <c r="H3969">
        <v>100</v>
      </c>
      <c r="I3969" t="inlineStr">
        <is>
          <t>背心吊带</t>
        </is>
      </c>
      <c r="J3969" t="inlineStr">
        <is>
          <t>0.01</t>
        </is>
      </c>
      <c r="K3969"/>
      <c r="L3969" t="inlineStr">
        <is>
          <t>猪猪健身穿什么的店</t>
        </is>
      </c>
      <c r="M3969">
        <v>48000</v>
      </c>
      <c r="N3969">
        <v>4.5</v>
      </c>
      <c r="O3969">
        <v>118000</v>
      </c>
      <c r="P3969" t="inlineStr">
        <is>
          <t>67161cd9c42e3d0001d62daa</t>
        </is>
      </c>
      <c r="Q3969" t="inlineStr">
        <is>
          <t>🚫重复</t>
        </is>
      </c>
      <c r="R3969" t="inlineStr">
        <is>
          <t>15周</t>
        </is>
      </c>
      <c r="S3969" t="inlineStr">
        <is>
          <t>0.16</t>
        </is>
      </c>
      <c r="T3969" t="inlineStr">
        <is>
          <t>运动潮玩</t>
        </is>
      </c>
      <c r="U3969" t="inlineStr">
        <is>
          <t>运动户外装备</t>
        </is>
      </c>
      <c r="V3969" s="3">
        <v>46121.98079861111</v>
      </c>
      <c r="W3969" t="inlineStr">
        <is>
          <t>2026-Q2</t>
        </is>
      </c>
    </row>
    <row r="3970" ht="25.5" customHeight="1">
      <c r="A3970" t="inlineStr">
        <is>
          <t>宽肩带遮副乳弹力棉质背心修身内搭打底衫圆领无袖T恤</t>
        </is>
      </c>
      <c r="B3970" t="inlineStr">
        <is>
          <t>recvgjaKncdglp.jpg</t>
        </is>
      </c>
      <c r="C3970" s="2" t="str">
        <f>=HYPERLINK("https://xhslink.com/m/1JFE07zdSFy", "https://xhslink.com/m/1JFE07zdSFy")</f>
        <v>https://xhslink.com/m/1JFE07zdSFy</v>
      </c>
      <c r="D3970"/>
      <c r="E3970">
        <v>14000</v>
      </c>
      <c r="F3970">
        <v>69.9</v>
      </c>
      <c r="G3970">
        <v>39.9</v>
      </c>
      <c r="H3970">
        <v>100</v>
      </c>
      <c r="I3970" t="inlineStr">
        <is>
          <t>背心吊带</t>
        </is>
      </c>
      <c r="J3970" t="inlineStr">
        <is>
          <t>0.01</t>
        </is>
      </c>
      <c r="K3970"/>
      <c r="L3970" t="inlineStr">
        <is>
          <t>小京鱼i穿搭的店</t>
        </is>
      </c>
      <c r="M3970">
        <v>28000</v>
      </c>
      <c r="N3970">
        <v>4.58</v>
      </c>
      <c r="O3970">
        <v>216000</v>
      </c>
      <c r="P3970" t="inlineStr">
        <is>
          <t>67c19c03f65889000155423d</t>
        </is>
      </c>
      <c r="Q3970" t="inlineStr">
        <is>
          <t>🚫重复</t>
        </is>
      </c>
      <c r="R3970" t="inlineStr">
        <is>
          <t>15周</t>
        </is>
      </c>
      <c r="S3970" t="inlineStr">
        <is>
          <t>0.50</t>
        </is>
      </c>
      <c r="T3970" t="inlineStr">
        <is>
          <t>服饰穿搭</t>
        </is>
      </c>
      <c r="U3970" t="inlineStr">
        <is>
          <t>女装</t>
        </is>
      </c>
      <c r="V3970" s="3">
        <v>46121.98079861111</v>
      </c>
      <c r="W3970" t="inlineStr">
        <is>
          <t>2026-Q2</t>
        </is>
      </c>
    </row>
    <row r="3971" ht="25.5" customHeight="1">
      <c r="A3971" t="inlineStr">
        <is>
          <t>李琴琴Lily·遮副乳修身显瘦内搭显身材紧身运动背心</t>
        </is>
      </c>
      <c r="B3971" t="inlineStr">
        <is>
          <t>recvgjaKncExDn.jpg</t>
        </is>
      </c>
      <c r="C3971" s="2" t="str">
        <f>=HYPERLINK("https://xhslink.com/m/7YviMckeAle", "https://xhslink.com/m/7YviMckeAle")</f>
        <v>https://xhslink.com/m/7YviMckeAle</v>
      </c>
      <c r="D3971"/>
      <c r="E3971">
        <v>16000</v>
      </c>
      <c r="F3971">
        <v>99.9</v>
      </c>
      <c r="G3971">
        <v>59.9</v>
      </c>
      <c r="H3971">
        <v>100</v>
      </c>
      <c r="I3971" t="inlineStr">
        <is>
          <t>背心吊带</t>
        </is>
      </c>
      <c r="J3971" t="inlineStr">
        <is>
          <t>0.01</t>
        </is>
      </c>
      <c r="K3971"/>
      <c r="L3971" t="inlineStr">
        <is>
          <t>李琴琴Lily的店</t>
        </is>
      </c>
      <c r="M3971">
        <v>38000</v>
      </c>
      <c r="N3971">
        <v>4.68</v>
      </c>
      <c r="O3971">
        <v>412000</v>
      </c>
      <c r="P3971" t="inlineStr">
        <is>
          <t>67f425e3f0efe50001b7d2e8</t>
        </is>
      </c>
      <c r="Q3971" t="inlineStr">
        <is>
          <t>🚫重复</t>
        </is>
      </c>
      <c r="R3971" t="inlineStr">
        <is>
          <t>15周</t>
        </is>
      </c>
      <c r="S3971" t="inlineStr">
        <is>
          <t>0.42</t>
        </is>
      </c>
      <c r="T3971" t="inlineStr">
        <is>
          <t>服饰穿搭</t>
        </is>
      </c>
      <c r="U3971" t="inlineStr">
        <is>
          <t>女装</t>
        </is>
      </c>
      <c r="V3971" s="3">
        <v>46121.98079861111</v>
      </c>
      <c r="W3971" t="inlineStr">
        <is>
          <t>2026-Q2</t>
        </is>
      </c>
    </row>
    <row r="3972" ht="25.5" customHeight="1">
      <c r="A3972" t="inlineStr">
        <is>
          <t>宽肩带工字上衣U领高弹螺纹基础百搭背心</t>
        </is>
      </c>
      <c r="B3972" t="inlineStr">
        <is>
          <t>recvgjaKncKU7k.jpg</t>
        </is>
      </c>
      <c r="C3972" s="2" t="str">
        <f>=HYPERLINK("https://xhslink.com/m/6Y1a4JNAUZd", "https://xhslink.com/m/6Y1a4JNAUZd")</f>
        <v>https://xhslink.com/m/6Y1a4JNAUZd</v>
      </c>
      <c r="D3972"/>
      <c r="E3972">
        <v>5553</v>
      </c>
      <c r="F3972">
        <v>73</v>
      </c>
      <c r="G3972">
        <v>43</v>
      </c>
      <c r="H3972">
        <v>100</v>
      </c>
      <c r="I3972" t="inlineStr">
        <is>
          <t>背心吊带</t>
        </is>
      </c>
      <c r="J3972" t="inlineStr">
        <is>
          <t>0.02</t>
        </is>
      </c>
      <c r="K3972"/>
      <c r="L3972" t="inlineStr">
        <is>
          <t>来钱多多呀的店</t>
        </is>
      </c>
      <c r="M3972">
        <v>58000</v>
      </c>
      <c r="N3972">
        <v>4.66</v>
      </c>
      <c r="O3972">
        <v>851000</v>
      </c>
      <c r="P3972" t="inlineStr">
        <is>
          <t>68847ed3417c3f000152b5c3</t>
        </is>
      </c>
      <c r="Q3972" t="inlineStr">
        <is>
          <t>🚫重复</t>
        </is>
      </c>
      <c r="R3972" t="inlineStr">
        <is>
          <t>15周</t>
        </is>
      </c>
      <c r="S3972" t="inlineStr">
        <is>
          <t>0.10</t>
        </is>
      </c>
      <c r="T3972" t="inlineStr">
        <is>
          <t>服饰穿搭</t>
        </is>
      </c>
      <c r="U3972" t="inlineStr">
        <is>
          <t>女装</t>
        </is>
      </c>
      <c r="V3972" s="3">
        <v>46121.98079861111</v>
      </c>
      <c r="W3972" t="inlineStr">
        <is>
          <t>2026-Q2</t>
        </is>
      </c>
    </row>
    <row r="3973" ht="25.5" customHeight="1">
      <c r="A3973" t="inlineStr">
        <is>
          <t>bela dolca · 蜘蛛背心868~无钢圈 辣妹穿搭必备！</t>
        </is>
      </c>
      <c r="B3973" t="inlineStr">
        <is>
          <t>recvgjaKnc39OH.jpg</t>
        </is>
      </c>
      <c r="C3973" s="2" t="str">
        <f>=HYPERLINK("https://xhslink.com/m/jlfrfbY4nY", "https://xhslink.com/m/jlfrfbY4nY")</f>
        <v>https://xhslink.com/m/jlfrfbY4nY</v>
      </c>
      <c r="D3973"/>
      <c r="E3973">
        <v>6031</v>
      </c>
      <c r="F3973">
        <v>51</v>
      </c>
      <c r="G3973">
        <v>41</v>
      </c>
      <c r="H3973">
        <v>100</v>
      </c>
      <c r="I3973" t="inlineStr">
        <is>
          <t>背心吊带</t>
        </is>
      </c>
      <c r="J3973" t="inlineStr">
        <is>
          <t>0.02</t>
        </is>
      </c>
      <c r="K3973"/>
      <c r="L3973" t="inlineStr">
        <is>
          <t>糖味儿旗舰店</t>
        </is>
      </c>
      <c r="M3973">
        <v>37000</v>
      </c>
      <c r="N3973">
        <v>4.43</v>
      </c>
      <c r="O3973">
        <v>108000</v>
      </c>
      <c r="P3973" t="inlineStr">
        <is>
          <t>6818576caca4490001267852</t>
        </is>
      </c>
      <c r="Q3973" t="inlineStr">
        <is>
          <t>🚫重复</t>
        </is>
      </c>
      <c r="R3973" t="inlineStr">
        <is>
          <t>15周</t>
        </is>
      </c>
      <c r="S3973" t="inlineStr">
        <is>
          <t>0.16</t>
        </is>
      </c>
      <c r="T3973" t="inlineStr">
        <is>
          <t>服饰穿搭</t>
        </is>
      </c>
      <c r="U3973" t="inlineStr">
        <is>
          <t>女装</t>
        </is>
      </c>
      <c r="V3973" s="3">
        <v>46121.98079861111</v>
      </c>
      <c r="W3973" t="inlineStr">
        <is>
          <t>2026-Q2</t>
        </is>
      </c>
    </row>
    <row r="3974" ht="25.5" customHeight="1">
      <c r="A3974" t="inlineStr">
        <is>
          <t>真皮～2025新品粗跟凉拖鞋女夏外穿时尚网红海边百搭露趾高跟H拖</t>
        </is>
      </c>
      <c r="B3974" t="inlineStr">
        <is>
          <t>recvgjaKnchoTI.jpg</t>
        </is>
      </c>
      <c r="C3974" s="2" t="str">
        <f>=HYPERLINK("https://xhslink.com/m/578IBRz6N2P", "https://xhslink.com/m/578IBRz6N2P")</f>
        <v>https://xhslink.com/m/578IBRz6N2P</v>
      </c>
      <c r="D3974"/>
      <c r="E3974">
        <v>4447</v>
      </c>
      <c r="F3974">
        <v>128</v>
      </c>
      <c r="G3974">
        <v>107.52</v>
      </c>
      <c r="H3974">
        <v>100</v>
      </c>
      <c r="I3974" t="inlineStr">
        <is>
          <t>夏日拖鞋</t>
        </is>
      </c>
      <c r="J3974" t="inlineStr">
        <is>
          <t>0.02</t>
        </is>
      </c>
      <c r="K3974"/>
      <c r="L3974" t="inlineStr">
        <is>
          <t>妍妍小个子研究所的店</t>
        </is>
      </c>
      <c r="M3974">
        <v>3311</v>
      </c>
      <c r="N3974">
        <v>4.56</v>
      </c>
      <c r="O3974">
        <v>26000</v>
      </c>
      <c r="P3974" t="inlineStr">
        <is>
          <t>6820a7e711665d000188d676</t>
        </is>
      </c>
      <c r="Q3974" t="inlineStr">
        <is>
          <t>🚫重复</t>
        </is>
      </c>
      <c r="R3974" t="inlineStr">
        <is>
          <t>15周</t>
        </is>
      </c>
      <c r="S3974" t="inlineStr">
        <is>
          <t>1.34</t>
        </is>
      </c>
      <c r="T3974" t="inlineStr">
        <is>
          <t>服饰穿搭</t>
        </is>
      </c>
      <c r="U3974" t="inlineStr">
        <is>
          <t>鞋靴箱包</t>
        </is>
      </c>
      <c r="V3974" s="3">
        <v>46121.98079861111</v>
      </c>
      <c r="W3974" t="inlineStr">
        <is>
          <t>2026-Q2</t>
        </is>
      </c>
    </row>
    <row r="3975" ht="25.5" customHeight="1">
      <c r="A3975" t="inlineStr">
        <is>
          <t>朴西 · 新款荔木薄底凉拖情侣款夏季轻便家居室内浴室洗澡防滑eva拖鞋女</t>
        </is>
      </c>
      <c r="B3975" t="inlineStr">
        <is>
          <t>recvgjaKnc5MUM.jpg</t>
        </is>
      </c>
      <c r="C3975" s="2" t="str">
        <f>=HYPERLINK("https://xhslink.com/m/8L4iWF7g3DW", "https://xhslink.com/m/8L4iWF7g3DW")</f>
        <v>https://xhslink.com/m/8L4iWF7g3DW</v>
      </c>
      <c r="D3975"/>
      <c r="E3975">
        <v>59000</v>
      </c>
      <c r="F3975">
        <v>49.8</v>
      </c>
      <c r="G3975">
        <v>25.8</v>
      </c>
      <c r="H3975">
        <v>100</v>
      </c>
      <c r="I3975" t="inlineStr">
        <is>
          <t>夏日拖鞋</t>
        </is>
      </c>
      <c r="J3975" t="inlineStr">
        <is>
          <t>0.00</t>
        </is>
      </c>
      <c r="K3975" t="inlineStr">
        <is>
          <t>🔥低粉爆款</t>
        </is>
      </c>
      <c r="L3975" t="inlineStr">
        <is>
          <t>PUXI朴西拖鞋的店</t>
        </is>
      </c>
      <c r="M3975">
        <v>5238</v>
      </c>
      <c r="N3975">
        <v>4.72</v>
      </c>
      <c r="O3975">
        <v>132000</v>
      </c>
      <c r="P3975" t="inlineStr">
        <is>
          <t>67be91377198db00013cf3b8</t>
        </is>
      </c>
      <c r="Q3975"/>
      <c r="R3975" t="inlineStr">
        <is>
          <t>15周</t>
        </is>
      </c>
      <c r="S3975" t="inlineStr">
        <is>
          <t>11.26</t>
        </is>
      </c>
      <c r="T3975" t="inlineStr">
        <is>
          <t>服饰穿搭</t>
        </is>
      </c>
      <c r="U3975" t="inlineStr">
        <is>
          <t>鞋靴箱包</t>
        </is>
      </c>
      <c r="V3975" s="3">
        <v>46121.98079861111</v>
      </c>
      <c r="W3975" t="inlineStr">
        <is>
          <t>2026-Q2</t>
        </is>
      </c>
    </row>
    <row r="3976" ht="25.5" customHeight="1">
      <c r="A3976" t="inlineStr">
        <is>
          <t>【小椰家】蝴蝶结增高一字拖鞋2025夏季新款外穿休闲凉拖鞋TX368</t>
        </is>
      </c>
      <c r="B3976" t="inlineStr">
        <is>
          <t>recvgjaKncXqXH.jpg</t>
        </is>
      </c>
      <c r="C3976" s="2" t="str">
        <f>=HYPERLINK("https://xhslink.com/m/APQO65Zp4ze", "https://xhslink.com/m/APQO65Zp4ze")</f>
        <v>https://xhslink.com/m/APQO65Zp4ze</v>
      </c>
      <c r="D3976"/>
      <c r="E3976">
        <v>2696</v>
      </c>
      <c r="F3976">
        <v>99.8</v>
      </c>
      <c r="G3976">
        <v>79.8</v>
      </c>
      <c r="H3976">
        <v>100</v>
      </c>
      <c r="I3976" t="inlineStr">
        <is>
          <t>夏日拖鞋</t>
        </is>
      </c>
      <c r="J3976" t="inlineStr">
        <is>
          <t>0.04</t>
        </is>
      </c>
      <c r="K3976"/>
      <c r="L3976" t="inlineStr">
        <is>
          <t>小椰没烦恼的店</t>
        </is>
      </c>
      <c r="M3976">
        <v>974000</v>
      </c>
      <c r="N3976">
        <v>3.91</v>
      </c>
      <c r="O3976">
        <v>258000</v>
      </c>
      <c r="P3976" t="inlineStr">
        <is>
          <t>68037c018d0bbc000149483d</t>
        </is>
      </c>
      <c r="Q3976" t="inlineStr">
        <is>
          <t>🚫重复</t>
        </is>
      </c>
      <c r="R3976" t="inlineStr">
        <is>
          <t>15周</t>
        </is>
      </c>
      <c r="S3976" t="inlineStr">
        <is>
          <t>0.00</t>
        </is>
      </c>
      <c r="T3976" t="inlineStr">
        <is>
          <t>服饰穿搭</t>
        </is>
      </c>
      <c r="U3976" t="inlineStr">
        <is>
          <t>鞋靴箱包</t>
        </is>
      </c>
      <c r="V3976" s="3">
        <v>46121.98079861111</v>
      </c>
      <c r="W3976" t="inlineStr">
        <is>
          <t>2026-Q2</t>
        </is>
      </c>
    </row>
    <row r="3977" ht="25.5" customHeight="1">
      <c r="A3977" t="inlineStr">
        <is>
          <t>南在南方 · 黑色复古坡跟厚底拖鞋女夏外穿2026新款配裙子防滑百搭凉拖鞋</t>
        </is>
      </c>
      <c r="B3977" t="inlineStr">
        <is>
          <t>recvgjaKncDFHr.jpg</t>
        </is>
      </c>
      <c r="C3977" s="2" t="str">
        <f>=HYPERLINK("https://xhslink.com/m/2XdzScgPBZ1", "https://xhslink.com/m/2XdzScgPBZ1")</f>
        <v>https://xhslink.com/m/2XdzScgPBZ1</v>
      </c>
      <c r="D3977"/>
      <c r="E3977">
        <v>967</v>
      </c>
      <c r="F3977">
        <v>69.5</v>
      </c>
      <c r="G3977">
        <v>61.16</v>
      </c>
      <c r="H3977">
        <v>100</v>
      </c>
      <c r="I3977" t="inlineStr">
        <is>
          <t>夏日拖鞋</t>
        </is>
      </c>
      <c r="J3977" t="inlineStr">
        <is>
          <t>0.10</t>
        </is>
      </c>
      <c r="K3977"/>
      <c r="L3977" t="inlineStr">
        <is>
          <t>南在南方旗舰店</t>
        </is>
      </c>
      <c r="M3977">
        <v>847000</v>
      </c>
      <c r="N3977">
        <v>4.63</v>
      </c>
      <c r="O3977">
        <v>633000</v>
      </c>
      <c r="P3977" t="inlineStr">
        <is>
          <t>69bba0f0e6196b0001afbdf1</t>
        </is>
      </c>
      <c r="Q3977"/>
      <c r="R3977" t="inlineStr">
        <is>
          <t>15周</t>
        </is>
      </c>
      <c r="S3977" t="inlineStr">
        <is>
          <t>0.00</t>
        </is>
      </c>
      <c r="T3977" t="inlineStr">
        <is>
          <t>服饰穿搭</t>
        </is>
      </c>
      <c r="U3977" t="inlineStr">
        <is>
          <t>鞋靴箱包</t>
        </is>
      </c>
      <c r="V3977" s="3">
        <v>46121.98079861111</v>
      </c>
      <c r="W3977" t="inlineStr">
        <is>
          <t>2026-Q2</t>
        </is>
      </c>
    </row>
    <row r="3978" ht="25.5" customHeight="1">
      <c r="A3978" t="inlineStr">
        <is>
          <t>8.6活口可调节手作戒指</t>
        </is>
      </c>
      <c r="B3978" t="inlineStr">
        <is>
          <t>recvgjaKncAZaS.jpg</t>
        </is>
      </c>
      <c r="C3978" s="2" t="str">
        <f>=HYPERLINK("https://xhslink.com/m/3Jqo1HslPL3", "https://xhslink.com/m/3Jqo1HslPL3")</f>
        <v>https://xhslink.com/m/3Jqo1HslPL3</v>
      </c>
      <c r="D3978"/>
      <c r="E3978">
        <v>11000</v>
      </c>
      <c r="F3978">
        <v>20</v>
      </c>
      <c r="G3978"/>
      <c r="H3978">
        <v>100</v>
      </c>
      <c r="I3978" t="inlineStr">
        <is>
          <t>戒指</t>
        </is>
      </c>
      <c r="J3978" t="inlineStr">
        <is>
          <t>0.01</t>
        </is>
      </c>
      <c r="K3978"/>
      <c r="L3978" t="inlineStr">
        <is>
          <t>佳佳的珠宝屋的店</t>
        </is>
      </c>
      <c r="M3978">
        <v>201000</v>
      </c>
      <c r="N3978">
        <v>4.23</v>
      </c>
      <c r="O3978">
        <v>317000</v>
      </c>
      <c r="P3978" t="inlineStr">
        <is>
          <t>64cf6f95f6df3a000196562e</t>
        </is>
      </c>
      <c r="Q3978" t="inlineStr">
        <is>
          <t>🚫重复</t>
        </is>
      </c>
      <c r="R3978" t="inlineStr">
        <is>
          <t>15周</t>
        </is>
      </c>
      <c r="S3978" t="inlineStr">
        <is>
          <t>0.05</t>
        </is>
      </c>
      <c r="T3978" t="inlineStr">
        <is>
          <t>服饰穿搭</t>
        </is>
      </c>
      <c r="U3978" t="inlineStr">
        <is>
          <t>配饰</t>
        </is>
      </c>
      <c r="V3978" s="3">
        <v>46121.98079861111</v>
      </c>
      <c r="W3978" t="inlineStr">
        <is>
          <t>2026-Q2</t>
        </is>
      </c>
    </row>
    <row r="3979" ht="25.5" customHeight="1">
      <c r="A3979" t="inlineStr">
        <is>
          <t>4V｜极细素圈银色简约女气质感百搭戒指</t>
        </is>
      </c>
      <c r="B3979" t="inlineStr">
        <is>
          <t>recvgjaKncckrW.jpg</t>
        </is>
      </c>
      <c r="C3979" s="2" t="str">
        <f>=HYPERLINK("https://xhslink.com/m/2w4GvwfD3d", "https://xhslink.com/m/2w4GvwfD3d")</f>
        <v>https://xhslink.com/m/2w4GvwfD3d</v>
      </c>
      <c r="D3979"/>
      <c r="E3979">
        <v>16000</v>
      </c>
      <c r="F3979">
        <v>20.99</v>
      </c>
      <c r="G3979">
        <v>10.99</v>
      </c>
      <c r="H3979">
        <v>100</v>
      </c>
      <c r="I3979" t="inlineStr">
        <is>
          <t>戒指</t>
        </is>
      </c>
      <c r="J3979" t="inlineStr">
        <is>
          <t>0.01</t>
        </is>
      </c>
      <c r="K3979" t="inlineStr">
        <is>
          <t>🔥低粉爆款</t>
        </is>
      </c>
      <c r="L3979" t="inlineStr">
        <is>
          <t>4V的店</t>
        </is>
      </c>
      <c r="M3979">
        <v>1638</v>
      </c>
      <c r="N3979">
        <v>4.56</v>
      </c>
      <c r="O3979">
        <v>32000</v>
      </c>
      <c r="P3979" t="inlineStr">
        <is>
          <t>696e02fb8b9342000106c180</t>
        </is>
      </c>
      <c r="Q3979" t="inlineStr">
        <is>
          <t>🚫重复</t>
        </is>
      </c>
      <c r="R3979" t="inlineStr">
        <is>
          <t>15周</t>
        </is>
      </c>
      <c r="S3979" t="inlineStr">
        <is>
          <t>9.77</t>
        </is>
      </c>
      <c r="T3979" t="inlineStr">
        <is>
          <t>服饰穿搭</t>
        </is>
      </c>
      <c r="U3979" t="inlineStr">
        <is>
          <t>配饰</t>
        </is>
      </c>
      <c r="V3979" s="3">
        <v>46121.98079861111</v>
      </c>
      <c r="W3979" t="inlineStr">
        <is>
          <t>2026-Q2</t>
        </is>
      </c>
    </row>
    <row r="3980" ht="25.5" customHeight="1">
      <c r="A3980" t="inlineStr">
        <is>
          <t>KiKi Studio丨绿野仙踪开口戒指合集A森系显白法式宫廷风戒指</t>
        </is>
      </c>
      <c r="B3980" t="inlineStr">
        <is>
          <t>recvgjaKncuHoc.jpg</t>
        </is>
      </c>
      <c r="C3980" s="2" t="str">
        <f>=HYPERLINK("https://xhslink.com/m/5hgkp6GrB3E", "https://xhslink.com/m/5hgkp6GrB3E")</f>
        <v>https://xhslink.com/m/5hgkp6GrB3E</v>
      </c>
      <c r="D3980"/>
      <c r="E3980">
        <v>5684</v>
      </c>
      <c r="F3980">
        <v>36.9</v>
      </c>
      <c r="G3980"/>
      <c r="H3980">
        <v>100</v>
      </c>
      <c r="I3980" t="inlineStr">
        <is>
          <t>戒指</t>
        </is>
      </c>
      <c r="J3980" t="inlineStr">
        <is>
          <t>0.02</t>
        </is>
      </c>
      <c r="K3980"/>
      <c r="L3980" t="inlineStr">
        <is>
          <t>KiKi Studio的店</t>
        </is>
      </c>
      <c r="M3980">
        <v>108000</v>
      </c>
      <c r="N3980">
        <v>4.6</v>
      </c>
      <c r="O3980">
        <v>82000</v>
      </c>
      <c r="P3980" t="inlineStr">
        <is>
          <t>686e5ae17398810001f83787</t>
        </is>
      </c>
      <c r="Q3980" t="inlineStr">
        <is>
          <t>🚫重复</t>
        </is>
      </c>
      <c r="R3980" t="inlineStr">
        <is>
          <t>15周</t>
        </is>
      </c>
      <c r="S3980" t="inlineStr">
        <is>
          <t>0.05</t>
        </is>
      </c>
      <c r="T3980" t="inlineStr">
        <is>
          <t>服饰穿搭</t>
        </is>
      </c>
      <c r="U3980" t="inlineStr">
        <is>
          <t>配饰</t>
        </is>
      </c>
      <c r="V3980" s="3">
        <v>46121.98079861111</v>
      </c>
      <c r="W3980" t="inlineStr">
        <is>
          <t>2026-Q2</t>
        </is>
      </c>
    </row>
    <row r="3981" ht="25.5" customHeight="1">
      <c r="A3981" t="inlineStr">
        <is>
          <t>【Aurae】Garden花园系列法式鸢尾紫罗兰蝴蝶小众高级戒指</t>
        </is>
      </c>
      <c r="B3981" t="inlineStr">
        <is>
          <t>recvgjaKncPuFj.jpg</t>
        </is>
      </c>
      <c r="C3981" s="2" t="str">
        <f>=HYPERLINK("https://xhslink.com/m/7gPGvEGR1vE", "https://xhslink.com/m/7gPGvEGR1vE")</f>
        <v>https://xhslink.com/m/7gPGvEGR1vE</v>
      </c>
      <c r="D3981"/>
      <c r="E3981">
        <v>4166</v>
      </c>
      <c r="F3981">
        <v>63.9</v>
      </c>
      <c r="G3981">
        <v>36.9</v>
      </c>
      <c r="H3981">
        <v>100</v>
      </c>
      <c r="I3981" t="inlineStr">
        <is>
          <t>戒指</t>
        </is>
      </c>
      <c r="J3981" t="inlineStr">
        <is>
          <t>0.02</t>
        </is>
      </c>
      <c r="K3981"/>
      <c r="L3981" t="inlineStr">
        <is>
          <t>Aurae Acc的店</t>
        </is>
      </c>
      <c r="M3981">
        <v>2557</v>
      </c>
      <c r="N3981">
        <v>4.49</v>
      </c>
      <c r="O3981">
        <v>9638</v>
      </c>
      <c r="P3981" t="inlineStr">
        <is>
          <t>68936acde08d4d0001124fe8</t>
        </is>
      </c>
      <c r="Q3981" t="inlineStr">
        <is>
          <t>🚫重复</t>
        </is>
      </c>
      <c r="R3981" t="inlineStr">
        <is>
          <t>15周</t>
        </is>
      </c>
      <c r="S3981" t="inlineStr">
        <is>
          <t>1.63</t>
        </is>
      </c>
      <c r="T3981" t="inlineStr">
        <is>
          <t>服饰穿搭</t>
        </is>
      </c>
      <c r="U3981" t="inlineStr">
        <is>
          <t>配饰</t>
        </is>
      </c>
      <c r="V3981" s="3">
        <v>46121.98079861111</v>
      </c>
      <c r="W3981" t="inlineStr">
        <is>
          <t>2026-Q2</t>
        </is>
      </c>
    </row>
    <row r="3982" ht="25.5" customHeight="1">
      <c r="A3982" t="inlineStr">
        <is>
          <t>CHIBOTI · 海之蝴蝶·海蓝细闪渐变四芒星拼接系列项链胸针戒指耳钉</t>
        </is>
      </c>
      <c r="B3982" t="inlineStr">
        <is>
          <t>recvgjaKnciXRM.jpg</t>
        </is>
      </c>
      <c r="C3982" s="2" t="str">
        <f>=HYPERLINK("https://xhslink.com/m/55Bs5fRApNy", "https://xhslink.com/m/55Bs5fRApNy")</f>
        <v>https://xhslink.com/m/55Bs5fRApNy</v>
      </c>
      <c r="D3982"/>
      <c r="E3982">
        <v>11000</v>
      </c>
      <c r="F3982">
        <v>59</v>
      </c>
      <c r="G3982">
        <v>56</v>
      </c>
      <c r="H3982">
        <v>100</v>
      </c>
      <c r="I3982" t="inlineStr">
        <is>
          <t>戒指</t>
        </is>
      </c>
      <c r="J3982" t="inlineStr">
        <is>
          <t>0.01</t>
        </is>
      </c>
      <c r="K3982"/>
      <c r="L3982" t="inlineStr">
        <is>
          <t>chi_boti的店</t>
        </is>
      </c>
      <c r="M3982">
        <v>62000</v>
      </c>
      <c r="N3982">
        <v>4.74</v>
      </c>
      <c r="O3982">
        <v>144000</v>
      </c>
      <c r="P3982" t="inlineStr">
        <is>
          <t>66efcf2ac1ece600016926da</t>
        </is>
      </c>
      <c r="Q3982" t="inlineStr">
        <is>
          <t>🚫重复</t>
        </is>
      </c>
      <c r="R3982" t="inlineStr">
        <is>
          <t>15周</t>
        </is>
      </c>
      <c r="S3982" t="inlineStr">
        <is>
          <t>0.18</t>
        </is>
      </c>
      <c r="T3982" t="inlineStr">
        <is>
          <t>服饰穿搭</t>
        </is>
      </c>
      <c r="U3982" t="inlineStr">
        <is>
          <t>配饰</t>
        </is>
      </c>
      <c r="V3982" s="3">
        <v>46121.98079861111</v>
      </c>
      <c r="W3982" t="inlineStr">
        <is>
          <t>2026-Q2</t>
        </is>
      </c>
    </row>
    <row r="3983" ht="25.5" customHeight="1">
      <c r="A3983" t="inlineStr">
        <is>
          <t>Svintage·Donut（三合一戒指）厚镀18k金防水防汗 三只价格</t>
        </is>
      </c>
      <c r="B3983" t="inlineStr">
        <is>
          <t>recvgjaKncAMKi.jpg</t>
        </is>
      </c>
      <c r="C3983" s="2" t="str">
        <f>=HYPERLINK("https://xhslink.com/m/AAcTQu4OSZO", "https://xhslink.com/m/AAcTQu4OSZO")</f>
        <v>https://xhslink.com/m/AAcTQu4OSZO</v>
      </c>
      <c r="D3983"/>
      <c r="E3983">
        <v>2886</v>
      </c>
      <c r="F3983">
        <v>127</v>
      </c>
      <c r="G3983">
        <v>122</v>
      </c>
      <c r="H3983">
        <v>100</v>
      </c>
      <c r="I3983" t="inlineStr">
        <is>
          <t>戒指</t>
        </is>
      </c>
      <c r="J3983" t="inlineStr">
        <is>
          <t>0.03</t>
        </is>
      </c>
      <c r="K3983"/>
      <c r="L3983" t="inlineStr">
        <is>
          <t>Svintagejuly的店</t>
        </is>
      </c>
      <c r="M3983">
        <v>3538</v>
      </c>
      <c r="N3983">
        <v>4.51</v>
      </c>
      <c r="O3983">
        <v>6887</v>
      </c>
      <c r="P3983" t="inlineStr">
        <is>
          <t>68d1188ee8b4ad000185db8f</t>
        </is>
      </c>
      <c r="Q3983"/>
      <c r="R3983" t="inlineStr">
        <is>
          <t>15周</t>
        </is>
      </c>
      <c r="S3983" t="inlineStr">
        <is>
          <t>0.82</t>
        </is>
      </c>
      <c r="T3983" t="inlineStr">
        <is>
          <t>服饰穿搭</t>
        </is>
      </c>
      <c r="U3983" t="inlineStr">
        <is>
          <t>配饰</t>
        </is>
      </c>
      <c r="V3983" s="3">
        <v>46121.98079861111</v>
      </c>
      <c r="W3983" t="inlineStr">
        <is>
          <t>2026-Q2</t>
        </is>
      </c>
    </row>
    <row r="3984" ht="25.5" customHeight="1">
      <c r="A3984" t="inlineStr">
        <is>
          <t>毛cii  裙摆杂题戒指（不定时更新</t>
        </is>
      </c>
      <c r="B3984" t="inlineStr">
        <is>
          <t>recvgjaKnc6Km0.jpg</t>
        </is>
      </c>
      <c r="C3984" s="2" t="str">
        <f>=HYPERLINK("https://xhslink.com/m/Aju2z4aIttD", "https://xhslink.com/m/Aju2z4aIttD")</f>
        <v>https://xhslink.com/m/Aju2z4aIttD</v>
      </c>
      <c r="D3984"/>
      <c r="E3984">
        <v>622</v>
      </c>
      <c r="F3984">
        <v>27</v>
      </c>
      <c r="G3984"/>
      <c r="H3984">
        <v>100</v>
      </c>
      <c r="I3984" t="inlineStr">
        <is>
          <t>戒指</t>
        </is>
      </c>
      <c r="J3984" t="inlineStr">
        <is>
          <t>0.16</t>
        </is>
      </c>
      <c r="K3984"/>
      <c r="L3984" t="inlineStr">
        <is>
          <t>毛cii的店</t>
        </is>
      </c>
      <c r="M3984">
        <v>1519</v>
      </c>
      <c r="N3984">
        <v>4.47</v>
      </c>
      <c r="O3984">
        <v>1721</v>
      </c>
      <c r="P3984" t="inlineStr">
        <is>
          <t>69ae6cfc7c9c8f0001aa3390</t>
        </is>
      </c>
      <c r="Q3984"/>
      <c r="R3984" t="inlineStr">
        <is>
          <t>15周</t>
        </is>
      </c>
      <c r="S3984" t="inlineStr">
        <is>
          <t>0.41</t>
        </is>
      </c>
      <c r="T3984" t="inlineStr">
        <is>
          <t>服饰穿搭</t>
        </is>
      </c>
      <c r="U3984" t="inlineStr">
        <is>
          <t>配饰</t>
        </is>
      </c>
      <c r="V3984" s="3">
        <v>46121.98079861111</v>
      </c>
      <c r="W3984" t="inlineStr">
        <is>
          <t>2026-Q2</t>
        </is>
      </c>
    </row>
    <row r="3985" ht="25.5" customHeight="1">
      <c r="A3985" t="inlineStr">
        <is>
          <t>金属感简约设计双层交叉素圈女耳环小众设计高级感欧美风个性时尚</t>
        </is>
      </c>
      <c r="B3985" t="inlineStr">
        <is>
          <t>recvgjaKnc5aXL.jpg</t>
        </is>
      </c>
      <c r="C3985" s="2" t="str">
        <f>=HYPERLINK("https://xhslink.com/m/AUdmYI58P18", "https://xhslink.com/m/AUdmYI58P18")</f>
        <v>https://xhslink.com/m/AUdmYI58P18</v>
      </c>
      <c r="D3985"/>
      <c r="E3985">
        <v>15000</v>
      </c>
      <c r="F3985">
        <v>19.9</v>
      </c>
      <c r="G3985"/>
      <c r="H3985">
        <v>100</v>
      </c>
      <c r="I3985" t="inlineStr">
        <is>
          <t>耳饰</t>
        </is>
      </c>
      <c r="J3985" t="inlineStr">
        <is>
          <t>0.01</t>
        </is>
      </c>
      <c r="K3985"/>
      <c r="L3985" t="inlineStr">
        <is>
          <t>你没饰吧（小崽崽呀）的店</t>
        </is>
      </c>
      <c r="M3985">
        <v>51000</v>
      </c>
      <c r="N3985">
        <v>4.42</v>
      </c>
      <c r="O3985">
        <v>155000</v>
      </c>
      <c r="P3985" t="inlineStr">
        <is>
          <t>66eec168f17df900016ea5c7</t>
        </is>
      </c>
      <c r="Q3985"/>
      <c r="R3985" t="inlineStr">
        <is>
          <t>15周</t>
        </is>
      </c>
      <c r="S3985" t="inlineStr">
        <is>
          <t>0.29</t>
        </is>
      </c>
      <c r="T3985" t="inlineStr">
        <is>
          <t>服饰穿搭</t>
        </is>
      </c>
      <c r="U3985" t="inlineStr">
        <is>
          <t>配饰</t>
        </is>
      </c>
      <c r="V3985" s="3">
        <v>46121.98079861111</v>
      </c>
      <c r="W3985" t="inlineStr">
        <is>
          <t>2026-Q2</t>
        </is>
      </c>
    </row>
    <row r="3986" ht="25.5" customHeight="1">
      <c r="A3986" t="inlineStr">
        <is>
          <t>钛钢/钛合金锆石·满钻翅膀耳钉</t>
        </is>
      </c>
      <c r="B3986" t="inlineStr">
        <is>
          <t>recvgjaKncVWvO.jpg</t>
        </is>
      </c>
      <c r="C3986" s="2" t="str">
        <f>=HYPERLINK("https://xhslink.com/m/658GfucxIl", "https://xhslink.com/m/658GfucxIl")</f>
        <v>https://xhslink.com/m/658GfucxIl</v>
      </c>
      <c r="D3986"/>
      <c r="E3986">
        <v>9834</v>
      </c>
      <c r="F3986">
        <v>27.8</v>
      </c>
      <c r="G3986"/>
      <c r="H3986">
        <v>100</v>
      </c>
      <c r="I3986" t="inlineStr">
        <is>
          <t>耳饰</t>
        </is>
      </c>
      <c r="J3986" t="inlineStr">
        <is>
          <t>0.01</t>
        </is>
      </c>
      <c r="K3986" t="inlineStr">
        <is>
          <t>🔥低粉爆款</t>
        </is>
      </c>
      <c r="L3986" t="inlineStr">
        <is>
          <t>Syruptrap*🔗的店</t>
        </is>
      </c>
      <c r="M3986">
        <v>2707</v>
      </c>
      <c r="N3986">
        <v>4.66</v>
      </c>
      <c r="O3986">
        <v>21000</v>
      </c>
      <c r="P3986" t="inlineStr">
        <is>
          <t>69266d68d4363c0001a6c5ac</t>
        </is>
      </c>
      <c r="Q3986"/>
      <c r="R3986" t="inlineStr">
        <is>
          <t>15周</t>
        </is>
      </c>
      <c r="S3986" t="inlineStr">
        <is>
          <t>3.63</t>
        </is>
      </c>
      <c r="T3986" t="inlineStr">
        <is>
          <t>服饰穿搭</t>
        </is>
      </c>
      <c r="U3986" t="inlineStr">
        <is>
          <t>配饰</t>
        </is>
      </c>
      <c r="V3986" s="3">
        <v>46121.98079861111</v>
      </c>
      <c r="W3986" t="inlineStr">
        <is>
          <t>2026-Q2</t>
        </is>
      </c>
    </row>
    <row r="3987" ht="25.5" customHeight="1">
      <c r="A3987" t="inlineStr">
        <is>
          <t>【爪镶】双色渐变烟花切手捧花6mm大锆石钛钢钛合金定制耳饰耳夹</t>
        </is>
      </c>
      <c r="B3987" t="inlineStr">
        <is>
          <t>recvgjaKncJtq1.jpg</t>
        </is>
      </c>
      <c r="C3987" s="2" t="str">
        <f>=HYPERLINK("https://xhslink.com/m/904bTRkfms4", "https://xhslink.com/m/904bTRkfms4")</f>
        <v>https://xhslink.com/m/904bTRkfms4</v>
      </c>
      <c r="D3987"/>
      <c r="E3987">
        <v>2638</v>
      </c>
      <c r="F3987">
        <v>20.8</v>
      </c>
      <c r="G3987">
        <v>16.8</v>
      </c>
      <c r="H3987">
        <v>100</v>
      </c>
      <c r="I3987" t="inlineStr">
        <is>
          <t>耳饰</t>
        </is>
      </c>
      <c r="J3987" t="inlineStr">
        <is>
          <t>0.04</t>
        </is>
      </c>
      <c r="K3987"/>
      <c r="L3987" t="inlineStr">
        <is>
          <t>糯米的华子小铺（华子耳钉）的店</t>
        </is>
      </c>
      <c r="M3987">
        <v>13000</v>
      </c>
      <c r="N3987">
        <v>4.85</v>
      </c>
      <c r="O3987">
        <v>64000</v>
      </c>
      <c r="P3987" t="inlineStr">
        <is>
          <t>693f91f57ca563000141907b</t>
        </is>
      </c>
      <c r="Q3987" t="inlineStr">
        <is>
          <t>🚫重复</t>
        </is>
      </c>
      <c r="R3987" t="inlineStr">
        <is>
          <t>15周</t>
        </is>
      </c>
      <c r="S3987" t="inlineStr">
        <is>
          <t>0.20</t>
        </is>
      </c>
      <c r="T3987" t="inlineStr">
        <is>
          <t>服饰穿搭</t>
        </is>
      </c>
      <c r="U3987" t="inlineStr">
        <is>
          <t>配饰</t>
        </is>
      </c>
      <c r="V3987" s="3">
        <v>46121.98079861111</v>
      </c>
      <c r="W3987" t="inlineStr">
        <is>
          <t>2026-Q2</t>
        </is>
      </c>
    </row>
    <row r="3988" ht="25.5" customHeight="1">
      <c r="A3988" t="inlineStr">
        <is>
          <t>一颗/钛合金·「莫桑」爆闪钛合金耳骨钉爪镶耳钉内螺旋f136直针</t>
        </is>
      </c>
      <c r="B3988" t="inlineStr">
        <is>
          <t>recvgjaKncf8Z8.jpg</t>
        </is>
      </c>
      <c r="C3988" s="2" t="str">
        <f>=HYPERLINK("https://xhslink.com/m/3T65hAFVKMh", "https://xhslink.com/m/3T65hAFVKMh")</f>
        <v>https://xhslink.com/m/3T65hAFVKMh</v>
      </c>
      <c r="D3988"/>
      <c r="E3988">
        <v>5925</v>
      </c>
      <c r="F3988">
        <v>38.8</v>
      </c>
      <c r="G3988">
        <v>18.8</v>
      </c>
      <c r="H3988">
        <v>100</v>
      </c>
      <c r="I3988" t="inlineStr">
        <is>
          <t>耳饰</t>
        </is>
      </c>
      <c r="J3988" t="inlineStr">
        <is>
          <t>0.02</t>
        </is>
      </c>
      <c r="K3988"/>
      <c r="L3988" t="inlineStr">
        <is>
          <t>GRACE Piercing的店</t>
        </is>
      </c>
      <c r="M3988">
        <v>24000</v>
      </c>
      <c r="N3988">
        <v>4.63</v>
      </c>
      <c r="O3988">
        <v>51000</v>
      </c>
      <c r="P3988" t="inlineStr">
        <is>
          <t>678a009a97ab010001191ca9</t>
        </is>
      </c>
      <c r="Q3988"/>
      <c r="R3988" t="inlineStr">
        <is>
          <t>15周</t>
        </is>
      </c>
      <c r="S3988" t="inlineStr">
        <is>
          <t>0.25</t>
        </is>
      </c>
      <c r="T3988" t="inlineStr">
        <is>
          <t>服饰穿搭</t>
        </is>
      </c>
      <c r="U3988" t="inlineStr">
        <is>
          <t>配饰</t>
        </is>
      </c>
      <c r="V3988" s="3">
        <v>46121.98079861111</v>
      </c>
      <c r="W3988" t="inlineStr">
        <is>
          <t>2026-Q2</t>
        </is>
      </c>
    </row>
    <row r="3989" ht="25.5" customHeight="1">
      <c r="A3989" t="inlineStr">
        <is>
          <t>不挑人的马术帽！高颧骨方圆脸天菜！闭眼入～软顶百搭四季款</t>
        </is>
      </c>
      <c r="B3989" t="inlineStr">
        <is>
          <t>recvgjaKncn7fu.jpg</t>
        </is>
      </c>
      <c r="C3989" s="2" t="str">
        <f>=HYPERLINK("https://xhslink.com/m/4WUagCMA8az", "https://xhslink.com/m/4WUagCMA8az")</f>
        <v>https://xhslink.com/m/4WUagCMA8az</v>
      </c>
      <c r="D3989"/>
      <c r="E3989">
        <v>24000</v>
      </c>
      <c r="F3989">
        <v>35.9</v>
      </c>
      <c r="G3989"/>
      <c r="H3989">
        <v>100</v>
      </c>
      <c r="I3989" t="inlineStr">
        <is>
          <t>帽子</t>
        </is>
      </c>
      <c r="J3989" t="inlineStr">
        <is>
          <t>0.00</t>
        </is>
      </c>
      <c r="K3989" t="inlineStr">
        <is>
          <t>🔥低粉爆款</t>
        </is>
      </c>
      <c r="L3989" t="inlineStr">
        <is>
          <t>holi和你的店</t>
        </is>
      </c>
      <c r="M3989">
        <v>6455</v>
      </c>
      <c r="N3989">
        <v>4.59</v>
      </c>
      <c r="O3989">
        <v>187000</v>
      </c>
      <c r="P3989" t="inlineStr">
        <is>
          <t>697a0fa6eb0d9a000111261f</t>
        </is>
      </c>
      <c r="Q3989"/>
      <c r="R3989" t="inlineStr">
        <is>
          <t>15周</t>
        </is>
      </c>
      <c r="S3989" t="inlineStr">
        <is>
          <t>3.72</t>
        </is>
      </c>
      <c r="T3989" t="inlineStr">
        <is>
          <t>服饰穿搭</t>
        </is>
      </c>
      <c r="U3989" t="inlineStr">
        <is>
          <t>配饰</t>
        </is>
      </c>
      <c r="V3989" s="3">
        <v>46121.98079861111</v>
      </c>
      <c r="W3989" t="inlineStr">
        <is>
          <t>2026-Q2</t>
        </is>
      </c>
    </row>
    <row r="3990" ht="25.5" customHeight="1">
      <c r="A3990" t="inlineStr">
        <is>
          <t>MissAlice 夏季日系卷边渔夫帽复古格纹百搭显脸小帽子</t>
        </is>
      </c>
      <c r="B3990" t="inlineStr">
        <is>
          <t>recvgjaKncsR6k.jpg</t>
        </is>
      </c>
      <c r="C3990" s="2" t="str">
        <f>=HYPERLINK("https://xhslink.com/m/3apZ557JH7w", "https://xhslink.com/m/3apZ557JH7w")</f>
        <v>https://xhslink.com/m/3apZ557JH7w</v>
      </c>
      <c r="D3990"/>
      <c r="E3990">
        <v>5342</v>
      </c>
      <c r="F3990">
        <v>46.8</v>
      </c>
      <c r="G3990">
        <v>26.8</v>
      </c>
      <c r="H3990">
        <v>100</v>
      </c>
      <c r="I3990" t="inlineStr">
        <is>
          <t>帽子</t>
        </is>
      </c>
      <c r="J3990" t="inlineStr">
        <is>
          <t>0.02</t>
        </is>
      </c>
      <c r="K3990"/>
      <c r="L3990" t="inlineStr">
        <is>
          <t>Miss Alice 的店</t>
        </is>
      </c>
      <c r="M3990">
        <v>10000</v>
      </c>
      <c r="N3990">
        <v>4.62</v>
      </c>
      <c r="O3990">
        <v>127000</v>
      </c>
      <c r="P3990" t="inlineStr">
        <is>
          <t>680bb2dd24b6100001b5c7b1</t>
        </is>
      </c>
      <c r="Q3990"/>
      <c r="R3990" t="inlineStr">
        <is>
          <t>15周</t>
        </is>
      </c>
      <c r="S3990" t="inlineStr">
        <is>
          <t>0.53</t>
        </is>
      </c>
      <c r="T3990" t="inlineStr">
        <is>
          <t>服饰穿搭</t>
        </is>
      </c>
      <c r="U3990" t="inlineStr">
        <is>
          <t>配饰</t>
        </is>
      </c>
      <c r="V3990" s="3">
        <v>46121.98079861111</v>
      </c>
      <c r="W3990" t="inlineStr">
        <is>
          <t>2026-Q2</t>
        </is>
      </c>
    </row>
    <row r="3991" ht="25.5" customHeight="1">
      <c r="A3991" t="inlineStr">
        <is>
          <t>苹果电脑键盘膜macbook快捷键M4proM5air13pro14防尘防水防刮防油</t>
        </is>
      </c>
      <c r="B3991" t="inlineStr">
        <is>
          <t>recvgjaKncQTrM.jpg</t>
        </is>
      </c>
      <c r="C3991" s="2" t="str">
        <f>=HYPERLINK("https://xhslink.com/m/AelOOMoRf4x", "https://xhslink.com/m/AelOOMoRf4x")</f>
        <v>https://xhslink.com/m/AelOOMoRf4x</v>
      </c>
      <c r="D3991"/>
      <c r="E3991">
        <v>3950</v>
      </c>
      <c r="F3991">
        <v>28.8</v>
      </c>
      <c r="G3991">
        <v>25.5</v>
      </c>
      <c r="H3991">
        <v>100</v>
      </c>
      <c r="I3991" t="inlineStr">
        <is>
          <t>键盘膜</t>
        </is>
      </c>
      <c r="J3991" t="inlineStr">
        <is>
          <t>0.03</t>
        </is>
      </c>
      <c r="K3991" t="inlineStr">
        <is>
          <t>🔥低粉爆款</t>
        </is>
      </c>
      <c r="L3991" t="inlineStr">
        <is>
          <t>数码港湾的店</t>
        </is>
      </c>
      <c r="M3991">
        <v>82</v>
      </c>
      <c r="N3991">
        <v>4.72</v>
      </c>
      <c r="O3991">
        <v>4838</v>
      </c>
      <c r="P3991" t="inlineStr">
        <is>
          <t>68bd2c8ffed549000181cfd1</t>
        </is>
      </c>
      <c r="Q3991"/>
      <c r="R3991" t="inlineStr">
        <is>
          <t>15周</t>
        </is>
      </c>
      <c r="S3991" t="inlineStr">
        <is>
          <t>48.17</t>
        </is>
      </c>
      <c r="T3991" t="inlineStr">
        <is>
          <t>数码家电</t>
        </is>
      </c>
      <c r="U3991" t="inlineStr">
        <is>
          <t>数码配件</t>
        </is>
      </c>
      <c r="V3991" s="3">
        <v>46121.98079861111</v>
      </c>
      <c r="W3991" t="inlineStr">
        <is>
          <t>2026-Q2</t>
        </is>
      </c>
    </row>
    <row r="3992" ht="25.5" customHeight="1">
      <c r="A3992" t="inlineStr">
        <is>
          <t>macbook键盘膜快捷键键盘膜防水防尘2026新款M5airpro苹果电脑</t>
        </is>
      </c>
      <c r="B3992" t="inlineStr">
        <is>
          <t>recvgjaKnckjXR.jpg</t>
        </is>
      </c>
      <c r="C3992" s="2" t="str">
        <f>=HYPERLINK("https://xhslink.com/m/6IqkHdOzVoD", "https://xhslink.com/m/6IqkHdOzVoD")</f>
        <v>https://xhslink.com/m/6IqkHdOzVoD</v>
      </c>
      <c r="D3992"/>
      <c r="E3992">
        <v>4096</v>
      </c>
      <c r="F3992">
        <v>38.8</v>
      </c>
      <c r="G3992">
        <v>25.5</v>
      </c>
      <c r="H3992">
        <v>100</v>
      </c>
      <c r="I3992" t="inlineStr">
        <is>
          <t>键盘膜</t>
        </is>
      </c>
      <c r="J3992" t="inlineStr">
        <is>
          <t>0.02</t>
        </is>
      </c>
      <c r="K3992" t="inlineStr">
        <is>
          <t>🔥低粉爆款</t>
        </is>
      </c>
      <c r="L3992" t="inlineStr">
        <is>
          <t>数码配件好物的店</t>
        </is>
      </c>
      <c r="M3992">
        <v>476</v>
      </c>
      <c r="N3992">
        <v>4.35</v>
      </c>
      <c r="O3992">
        <v>62000</v>
      </c>
      <c r="P3992" t="inlineStr">
        <is>
          <t>6871cc27f7fa4e0001c6cda2</t>
        </is>
      </c>
      <c r="Q3992"/>
      <c r="R3992" t="inlineStr">
        <is>
          <t>15周</t>
        </is>
      </c>
      <c r="S3992" t="inlineStr">
        <is>
          <t>8.61</t>
        </is>
      </c>
      <c r="T3992" t="inlineStr">
        <is>
          <t>数码家电</t>
        </is>
      </c>
      <c r="U3992" t="inlineStr">
        <is>
          <t>数码配件</t>
        </is>
      </c>
      <c r="V3992" s="3">
        <v>46121.98079861111</v>
      </c>
      <c r="W3992" t="inlineStr">
        <is>
          <t>2026-Q2</t>
        </is>
      </c>
    </row>
    <row r="3993" ht="25.5" customHeight="1">
      <c r="A3993" t="inlineStr">
        <is>
          <t>Subcrew · 小众高级感潮牌斜跨包通勤14寸笔记本电脑包充棉单肩手提包男女</t>
        </is>
      </c>
      <c r="B3993" t="inlineStr">
        <is>
          <t>recvgjaKncTsJe.jpg</t>
        </is>
      </c>
      <c r="C3993" s="2" t="str">
        <f>=HYPERLINK("https://xhslink.com/m/4Y2qxVuSXnz", "https://xhslink.com/m/4Y2qxVuSXnz")</f>
        <v>https://xhslink.com/m/4Y2qxVuSXnz</v>
      </c>
      <c r="D3993"/>
      <c r="E3993">
        <v>16000</v>
      </c>
      <c r="F3993">
        <v>189</v>
      </c>
      <c r="G3993">
        <v>170.1</v>
      </c>
      <c r="H3993">
        <v>100</v>
      </c>
      <c r="I3993" t="inlineStr">
        <is>
          <t>通勤电脑包</t>
        </is>
      </c>
      <c r="J3993" t="inlineStr">
        <is>
          <t>0.01</t>
        </is>
      </c>
      <c r="K3993"/>
      <c r="L3993" t="inlineStr">
        <is>
          <t>Subcrew箱包的店</t>
        </is>
      </c>
      <c r="M3993">
        <v>19000</v>
      </c>
      <c r="N3993">
        <v>4.6</v>
      </c>
      <c r="O3993">
        <v>32000</v>
      </c>
      <c r="P3993" t="inlineStr">
        <is>
          <t>66fa1db694a44c0001065fc5</t>
        </is>
      </c>
      <c r="Q3993" t="inlineStr">
        <is>
          <t>🚫重复</t>
        </is>
      </c>
      <c r="R3993" t="inlineStr">
        <is>
          <t>15周</t>
        </is>
      </c>
      <c r="S3993" t="inlineStr">
        <is>
          <t>0.84</t>
        </is>
      </c>
      <c r="T3993" t="inlineStr">
        <is>
          <t>服饰穿搭</t>
        </is>
      </c>
      <c r="U3993" t="inlineStr">
        <is>
          <t>鞋靴箱包</t>
        </is>
      </c>
      <c r="V3993" s="3">
        <v>46121.98079861111</v>
      </c>
      <c r="W3993" t="inlineStr">
        <is>
          <t>2026-Q2</t>
        </is>
      </c>
    </row>
    <row r="3994" ht="25.5" customHeight="1">
      <c r="A3994" t="inlineStr">
        <is>
          <t>韩系16寸电脑上班通勤独立多隔层双肩背包出游大容量防水书包女包</t>
        </is>
      </c>
      <c r="B3994" t="inlineStr">
        <is>
          <t>recvgjaKncrksC.jpg</t>
        </is>
      </c>
      <c r="C3994" s="2" t="str">
        <f>=HYPERLINK("https://xhslink.com/m/5j2os3GTPOF", "https://xhslink.com/m/5j2os3GTPOF")</f>
        <v>https://xhslink.com/m/5j2os3GTPOF</v>
      </c>
      <c r="D3994"/>
      <c r="E3994">
        <v>21000</v>
      </c>
      <c r="F3994">
        <v>99</v>
      </c>
      <c r="G3994">
        <v>79</v>
      </c>
      <c r="H3994">
        <v>100</v>
      </c>
      <c r="I3994" t="inlineStr">
        <is>
          <t>通勤电脑包</t>
        </is>
      </c>
      <c r="J3994" t="inlineStr">
        <is>
          <t>0.00</t>
        </is>
      </c>
      <c r="K3994"/>
      <c r="L3994" t="inlineStr">
        <is>
          <t>么么哒包哩的店</t>
        </is>
      </c>
      <c r="M3994">
        <v>171000</v>
      </c>
      <c r="N3994">
        <v>4.45</v>
      </c>
      <c r="O3994">
        <v>114000</v>
      </c>
      <c r="P3994" t="inlineStr">
        <is>
          <t>67f901cb3d8f380001916bae</t>
        </is>
      </c>
      <c r="Q3994" t="inlineStr">
        <is>
          <t>🚫重复</t>
        </is>
      </c>
      <c r="R3994" t="inlineStr">
        <is>
          <t>15周</t>
        </is>
      </c>
      <c r="S3994" t="inlineStr">
        <is>
          <t>0.12</t>
        </is>
      </c>
      <c r="T3994" t="inlineStr">
        <is>
          <t>服饰穿搭</t>
        </is>
      </c>
      <c r="U3994" t="inlineStr">
        <is>
          <t>鞋靴箱包</t>
        </is>
      </c>
      <c r="V3994" s="3">
        <v>46121.98079861111</v>
      </c>
      <c r="W3994" t="inlineStr">
        <is>
          <t>2026-Q2</t>
        </is>
      </c>
    </row>
    <row r="3995" ht="25.5" customHeight="1">
      <c r="A3995" t="inlineStr">
        <is>
          <t>北通 · 蝙蝠2有线游戏手柄电脑PC电视steam震动双人情侣双影奇境小小梦魇</t>
        </is>
      </c>
      <c r="B3995" t="inlineStr">
        <is>
          <t>recvgjaKnclKUy.jpg</t>
        </is>
      </c>
      <c r="C3995" s="2" t="str">
        <f>=HYPERLINK("https://xhslink.com/m/7aq9uhHYyN8", "https://xhslink.com/m/7aq9uhHYyN8")</f>
        <v>https://xhslink.com/m/7aq9uhHYyN8</v>
      </c>
      <c r="D3995"/>
      <c r="E3995">
        <v>1248</v>
      </c>
      <c r="F3995">
        <v>79</v>
      </c>
      <c r="G3995">
        <v>38</v>
      </c>
      <c r="H3995">
        <v>100</v>
      </c>
      <c r="I3995" t="inlineStr">
        <is>
          <t>游戏设备</t>
        </is>
      </c>
      <c r="J3995" t="inlineStr">
        <is>
          <t>0.08</t>
        </is>
      </c>
      <c r="K3995"/>
      <c r="L3995" t="inlineStr">
        <is>
          <t>北通旗舰店</t>
        </is>
      </c>
      <c r="M3995">
        <v>29000</v>
      </c>
      <c r="N3995">
        <v>4.84</v>
      </c>
      <c r="O3995">
        <v>42000</v>
      </c>
      <c r="P3995" t="inlineStr">
        <is>
          <t>695f8c8d2abfb10001eba7eb</t>
        </is>
      </c>
      <c r="Q3995" t="inlineStr">
        <is>
          <t>🚫重复</t>
        </is>
      </c>
      <c r="R3995" t="inlineStr">
        <is>
          <t>15周</t>
        </is>
      </c>
      <c r="S3995" t="inlineStr">
        <is>
          <t>0.04</t>
        </is>
      </c>
      <c r="T3995" t="inlineStr">
        <is>
          <t>数码家电</t>
        </is>
      </c>
      <c r="U3995" t="inlineStr">
        <is>
          <t>大家电</t>
        </is>
      </c>
      <c r="V3995" s="3">
        <v>46121.98079861111</v>
      </c>
      <c r="W3995" t="inlineStr">
        <is>
          <t>2026-Q2</t>
        </is>
      </c>
    </row>
    <row r="3996" ht="25.5" customHeight="1">
      <c r="A3996" t="inlineStr">
        <is>
          <t>【顺丰包邮】开源掌上游戏机高端生日礼物送男朋友老公弟弟情人节</t>
        </is>
      </c>
      <c r="B3996" t="inlineStr">
        <is>
          <t>recvgjaKnc4IXm.jpg</t>
        </is>
      </c>
      <c r="C3996" s="2" t="str">
        <f>=HYPERLINK("https://xhslink.com/m/6iAUBXj8UZ5", "https://xhslink.com/m/6iAUBXj8UZ5")</f>
        <v>https://xhslink.com/m/6iAUBXj8UZ5</v>
      </c>
      <c r="D3996"/>
      <c r="E3996">
        <v>3485</v>
      </c>
      <c r="F3996">
        <v>499</v>
      </c>
      <c r="G3996">
        <v>279</v>
      </c>
      <c r="H3996">
        <v>100</v>
      </c>
      <c r="I3996" t="inlineStr">
        <is>
          <t>游戏设备</t>
        </is>
      </c>
      <c r="J3996" t="inlineStr">
        <is>
          <t>0.03</t>
        </is>
      </c>
      <c r="K3996"/>
      <c r="L3996" t="inlineStr">
        <is>
          <t>童年任意门🍂秋的店</t>
        </is>
      </c>
      <c r="M3996">
        <v>3139</v>
      </c>
      <c r="N3996">
        <v>4.68</v>
      </c>
      <c r="O3996">
        <v>16000</v>
      </c>
      <c r="P3996" t="inlineStr">
        <is>
          <t>6915b482611c010001c53004</t>
        </is>
      </c>
      <c r="Q3996"/>
      <c r="R3996" t="inlineStr">
        <is>
          <t>15周</t>
        </is>
      </c>
      <c r="S3996" t="inlineStr">
        <is>
          <t>1.11</t>
        </is>
      </c>
      <c r="T3996" t="inlineStr">
        <is>
          <t>运动潮玩</t>
        </is>
      </c>
      <c r="U3996" t="inlineStr">
        <is>
          <t>潮玩手办</t>
        </is>
      </c>
      <c r="V3996" s="3">
        <v>46121.98079861111</v>
      </c>
      <c r="W3996" t="inlineStr">
        <is>
          <t>2026-Q2</t>
        </is>
      </c>
    </row>
    <row r="3997" ht="25.5" customHeight="1">
      <c r="A3997" t="inlineStr">
        <is>
          <t>SHINECON · 千幻智能AI同声传译豆包DeepSeek蓝牙耳机高清游戏运动耳麦X6</t>
        </is>
      </c>
      <c r="B3997" t="inlineStr">
        <is>
          <t>recvgjaKncshKk.jpg</t>
        </is>
      </c>
      <c r="C3997" s="2" t="str">
        <f>=HYPERLINK("https://xhslink.com/m/8sK6ayPBSlg", "https://xhslink.com/m/8sK6ayPBSlg")</f>
        <v>https://xhslink.com/m/8sK6ayPBSlg</v>
      </c>
      <c r="D3997"/>
      <c r="E3997">
        <v>2241</v>
      </c>
      <c r="F3997">
        <v>119.9</v>
      </c>
      <c r="G3997">
        <v>99.9</v>
      </c>
      <c r="H3997">
        <v>100</v>
      </c>
      <c r="I3997" t="inlineStr">
        <is>
          <t>AI</t>
        </is>
      </c>
      <c r="J3997" t="inlineStr">
        <is>
          <t>0.04</t>
        </is>
      </c>
      <c r="K3997"/>
      <c r="L3997" t="inlineStr">
        <is>
          <t>邑国数码影音智能设备专营店</t>
        </is>
      </c>
      <c r="M3997">
        <v>6169</v>
      </c>
      <c r="N3997">
        <v>4.52</v>
      </c>
      <c r="O3997">
        <v>7566</v>
      </c>
      <c r="P3997" t="inlineStr">
        <is>
          <t>6979b97865a1a10001623ad7</t>
        </is>
      </c>
      <c r="Q3997"/>
      <c r="R3997" t="inlineStr">
        <is>
          <t>15周</t>
        </is>
      </c>
      <c r="S3997" t="inlineStr">
        <is>
          <t>0.36</t>
        </is>
      </c>
      <c r="T3997" t="inlineStr">
        <is>
          <t>数码家电</t>
        </is>
      </c>
      <c r="U3997" t="inlineStr">
        <is>
          <t>数码配件</t>
        </is>
      </c>
      <c r="V3997" s="3">
        <v>46121.98079861111</v>
      </c>
      <c r="W3997" t="inlineStr">
        <is>
          <t>2026-Q2</t>
        </is>
      </c>
    </row>
    <row r="3998" ht="25.5" customHeight="1">
      <c r="A3998" t="inlineStr">
        <is>
          <t>北通 · 蝙蝠2有线游戏手柄电脑PC电视steam震动双人情侣双影奇境小小梦魇</t>
        </is>
      </c>
      <c r="B3998" t="inlineStr">
        <is>
          <t>recvgjaKncRSC2.jpg</t>
        </is>
      </c>
      <c r="C3998" s="2" t="str">
        <f>=HYPERLINK("https://xhslink.com/m/38rkgHRN5Ex", "https://xhslink.com/m/38rkgHRN5Ex")</f>
        <v>https://xhslink.com/m/38rkgHRN5Ex</v>
      </c>
      <c r="D3998"/>
      <c r="E3998">
        <v>1250</v>
      </c>
      <c r="F3998">
        <v>158</v>
      </c>
      <c r="G3998">
        <v>75</v>
      </c>
      <c r="H3998">
        <v>100</v>
      </c>
      <c r="I3998" t="inlineStr">
        <is>
          <t>游戏</t>
        </is>
      </c>
      <c r="J3998" t="inlineStr">
        <is>
          <t>0.08</t>
        </is>
      </c>
      <c r="K3998"/>
      <c r="L3998" t="inlineStr">
        <is>
          <t>北通旗舰店</t>
        </is>
      </c>
      <c r="M3998">
        <v>29000</v>
      </c>
      <c r="N3998">
        <v>4.84</v>
      </c>
      <c r="O3998">
        <v>42000</v>
      </c>
      <c r="P3998" t="inlineStr">
        <is>
          <t>695f8c8d2abfb10001eba7ee</t>
        </is>
      </c>
      <c r="Q3998" t="inlineStr">
        <is>
          <t>🚫重复</t>
        </is>
      </c>
      <c r="R3998" t="inlineStr">
        <is>
          <t>15周</t>
        </is>
      </c>
      <c r="S3998" t="inlineStr">
        <is>
          <t>0.04</t>
        </is>
      </c>
      <c r="T3998" t="inlineStr">
        <is>
          <t>数码家电</t>
        </is>
      </c>
      <c r="U3998" t="inlineStr">
        <is>
          <t>大家电</t>
        </is>
      </c>
      <c r="V3998" s="3">
        <v>46121.98079861111</v>
      </c>
      <c r="W3998" t="inlineStr">
        <is>
          <t>2026-Q2</t>
        </is>
      </c>
    </row>
    <row r="3999" ht="25.5" customHeight="1">
      <c r="A3999" t="inlineStr">
        <is>
          <t>沈仙娥 · 足银999莲花细红绳编织手链纯银小众手绳闺蜜情侣送妈妈生日礼物</t>
        </is>
      </c>
      <c r="B3999" t="inlineStr">
        <is>
          <t>recvgjaKncLrUy.jpg</t>
        </is>
      </c>
      <c r="C3999" s="2" t="str">
        <f>=HYPERLINK("https://xhslink.com/m/4xWG1F1NBqI", "https://xhslink.com/m/4xWG1F1NBqI")</f>
        <v>https://xhslink.com/m/4xWG1F1NBqI</v>
      </c>
      <c r="D3999"/>
      <c r="E3999">
        <v>23000</v>
      </c>
      <c r="F3999">
        <v>31.9</v>
      </c>
      <c r="G3999">
        <v>30.9</v>
      </c>
      <c r="H3999">
        <v>100</v>
      </c>
      <c r="I3999" t="inlineStr">
        <is>
          <t>手链</t>
        </is>
      </c>
      <c r="J3999" t="inlineStr">
        <is>
          <t>0.00</t>
        </is>
      </c>
      <c r="K3999"/>
      <c r="L3999" t="inlineStr">
        <is>
          <t>沈仙娥的店</t>
        </is>
      </c>
      <c r="M3999">
        <v>19000</v>
      </c>
      <c r="N3999">
        <v>4.49</v>
      </c>
      <c r="O3999">
        <v>44000</v>
      </c>
      <c r="P3999" t="inlineStr">
        <is>
          <t>692acbd101312b000185730f</t>
        </is>
      </c>
      <c r="Q3999"/>
      <c r="R3999" t="inlineStr">
        <is>
          <t>15周</t>
        </is>
      </c>
      <c r="S3999" t="inlineStr">
        <is>
          <t>1.21</t>
        </is>
      </c>
      <c r="T3999" t="inlineStr">
        <is>
          <t>服饰穿搭</t>
        </is>
      </c>
      <c r="U3999" t="inlineStr">
        <is>
          <t>配饰</t>
        </is>
      </c>
      <c r="V3999" s="3">
        <v>46121.98079861111</v>
      </c>
      <c r="W3999" t="inlineStr">
        <is>
          <t>2026-Q2</t>
        </is>
      </c>
    </row>
    <row r="4000" ht="25.5" customHeight="1">
      <c r="A4000" t="inlineStr">
        <is>
          <t>宝宝步前鞋春夏软底点胶防滑小月龄学步鞋魔术贴不易摔新生儿鞋子</t>
        </is>
      </c>
      <c r="B4000" t="inlineStr">
        <is>
          <t>recvgjaKnc5vCV.jpg</t>
        </is>
      </c>
      <c r="C4000" s="2" t="str">
        <f>=HYPERLINK("https://xhslink.com/m/6d4upliVm4F", "https://xhslink.com/m/6d4upliVm4F")</f>
        <v>https://xhslink.com/m/6d4upliVm4F</v>
      </c>
      <c r="D4000"/>
      <c r="E4000">
        <v>5686</v>
      </c>
      <c r="F4000">
        <v>29.8</v>
      </c>
      <c r="G4000">
        <v>28.8</v>
      </c>
      <c r="H4000">
        <v>100</v>
      </c>
      <c r="I4000" t="inlineStr">
        <is>
          <t>爬爬垫</t>
        </is>
      </c>
      <c r="J4000" t="inlineStr">
        <is>
          <t>0.02</t>
        </is>
      </c>
      <c r="K4000" t="inlineStr">
        <is>
          <t>🔥低粉爆款</t>
        </is>
      </c>
      <c r="L4000" t="inlineStr">
        <is>
          <t>浠浠酱呀的店</t>
        </is>
      </c>
      <c r="M4000">
        <v>187</v>
      </c>
      <c r="N4000">
        <v>4.62</v>
      </c>
      <c r="O4000">
        <v>9263</v>
      </c>
      <c r="P4000" t="inlineStr">
        <is>
          <t>69a2b52b79e41000150d1bea</t>
        </is>
      </c>
      <c r="Q4000" t="inlineStr">
        <is>
          <t>🚫重复</t>
        </is>
      </c>
      <c r="R4000" t="inlineStr">
        <is>
          <t>15周</t>
        </is>
      </c>
      <c r="S4000" t="inlineStr">
        <is>
          <t>30.41</t>
        </is>
      </c>
      <c r="T4000" t="inlineStr">
        <is>
          <t>母婴亲子</t>
        </is>
      </c>
      <c r="U4000" t="inlineStr">
        <is>
          <t>童装童鞋</t>
        </is>
      </c>
      <c r="V4000" s="3">
        <v>46121.98079861111</v>
      </c>
      <c r="W4000" t="inlineStr">
        <is>
          <t>2026-Q2</t>
        </is>
      </c>
    </row>
    <row r="4001" ht="25.5" customHeight="1">
      <c r="A4001" t="inlineStr">
        <is>
          <t>小酌里 · 「巨峰冰茶」上新！9度冰茶手工鸡尾酒清爽耐喝！一罐当作两杯喝</t>
        </is>
      </c>
      <c r="B4001" t="inlineStr">
        <is>
          <t>recvgjaKncF2Ag.jpg</t>
        </is>
      </c>
      <c r="C4001" s="2" t="str">
        <f>=HYPERLINK("https://xhslink.com/m/WEFfupCc9q", "https://xhslink.com/m/WEFfupCc9q")</f>
        <v>https://xhslink.com/m/WEFfupCc9q</v>
      </c>
      <c r="D4001"/>
      <c r="E4001">
        <v>19000</v>
      </c>
      <c r="F4001">
        <v>168.8</v>
      </c>
      <c r="G4001">
        <v>118.8</v>
      </c>
      <c r="H4001">
        <v>100</v>
      </c>
      <c r="I4001" t="inlineStr">
        <is>
          <t>咖啡酒水</t>
        </is>
      </c>
      <c r="J4001" t="inlineStr">
        <is>
          <t>0.01</t>
        </is>
      </c>
      <c r="K4001"/>
      <c r="L4001" t="inlineStr">
        <is>
          <t>漩涡嘴里的店</t>
        </is>
      </c>
      <c r="M4001">
        <v>28000</v>
      </c>
      <c r="N4001">
        <v>4.52</v>
      </c>
      <c r="O4001">
        <v>109000</v>
      </c>
      <c r="P4001" t="inlineStr">
        <is>
          <t>688c814a8fe3470001f2be9e</t>
        </is>
      </c>
      <c r="Q4001"/>
      <c r="R4001" t="inlineStr">
        <is>
          <t>15周</t>
        </is>
      </c>
      <c r="S4001" t="inlineStr">
        <is>
          <t>0.68</t>
        </is>
      </c>
      <c r="T4001" t="inlineStr">
        <is>
          <t>家居生活</t>
        </is>
      </c>
      <c r="U4001" t="inlineStr">
        <is>
          <t>厨房餐饮</t>
        </is>
      </c>
      <c r="V4001" s="3">
        <v>46121.98079861111</v>
      </c>
      <c r="W4001" t="inlineStr">
        <is>
          <t>2026-Q2</t>
        </is>
      </c>
    </row>
    <row r="4002" ht="25.5" customHeight="1">
      <c r="A4002" t="inlineStr">
        <is>
          <t>JOYINBAG · 意式/美式/桂花/草莓/茉莉雪芽/西梅/深烘意式0脂氮气浓缩咖啡液</t>
        </is>
      </c>
      <c r="B4002" t="inlineStr">
        <is>
          <t>recvgjaKncvgRp.jpg</t>
        </is>
      </c>
      <c r="C4002" s="2" t="str">
        <f>=HYPERLINK("https://xhslink.com/m/GdpZVcmVXi", "https://xhslink.com/m/GdpZVcmVXi")</f>
        <v>https://xhslink.com/m/GdpZVcmVXi</v>
      </c>
      <c r="D4002"/>
      <c r="E4002">
        <v>16000</v>
      </c>
      <c r="F4002">
        <v>52</v>
      </c>
      <c r="G4002">
        <v>24.9</v>
      </c>
      <c r="H4002">
        <v>100</v>
      </c>
      <c r="I4002" t="inlineStr">
        <is>
          <t>咖啡酒水</t>
        </is>
      </c>
      <c r="J4002" t="inlineStr">
        <is>
          <t>0.01</t>
        </is>
      </c>
      <c r="K4002"/>
      <c r="L4002" t="inlineStr">
        <is>
          <t>JOYINBAG兜饮咖啡旗舰店</t>
        </is>
      </c>
      <c r="M4002">
        <v>45000</v>
      </c>
      <c r="N4002">
        <v>4.52</v>
      </c>
      <c r="O4002">
        <v>134000</v>
      </c>
      <c r="P4002" t="inlineStr">
        <is>
          <t>67f61246e8f2430001b9acfa</t>
        </is>
      </c>
      <c r="Q4002"/>
      <c r="R4002" t="inlineStr">
        <is>
          <t>15周</t>
        </is>
      </c>
      <c r="S4002" t="inlineStr">
        <is>
          <t>0.36</t>
        </is>
      </c>
      <c r="T4002" t="inlineStr">
        <is>
          <t>美食滋补</t>
        </is>
      </c>
      <c r="U4002" t="inlineStr">
        <is>
          <t>酒水冲饮</t>
        </is>
      </c>
      <c r="V4002" s="3">
        <v>46121.98079861111</v>
      </c>
      <c r="W4002" t="inlineStr">
        <is>
          <t>2026-Q2</t>
        </is>
      </c>
    </row>
    <row r="4003" ht="25.5" customHeight="1">
      <c r="A4003" t="inlineStr">
        <is>
          <t>其他 · 【活性酒酿】传统古法酿造醪糟/酒酿/月子酒 顺丰包邮</t>
        </is>
      </c>
      <c r="B4003" t="inlineStr">
        <is>
          <t>recvgjaKncxD9i.jpg</t>
        </is>
      </c>
      <c r="C4003" s="2" t="str">
        <f>=HYPERLINK("https://xhslink.com/m/3EaQwK90ffI", "https://xhslink.com/m/3EaQwK90ffI")</f>
        <v>https://xhslink.com/m/3EaQwK90ffI</v>
      </c>
      <c r="D4003"/>
      <c r="E4003">
        <v>13000</v>
      </c>
      <c r="F4003">
        <v>32.8</v>
      </c>
      <c r="G4003">
        <v>31.8</v>
      </c>
      <c r="H4003">
        <v>100</v>
      </c>
      <c r="I4003" t="inlineStr">
        <is>
          <t>咖啡酒水</t>
        </is>
      </c>
      <c r="J4003" t="inlineStr">
        <is>
          <t>0.01</t>
        </is>
      </c>
      <c r="K4003" t="inlineStr">
        <is>
          <t>🔥低粉爆款</t>
        </is>
      </c>
      <c r="L4003" t="inlineStr">
        <is>
          <t>外婆的手工酒酿的店</t>
        </is>
      </c>
      <c r="M4003">
        <v>1645</v>
      </c>
      <c r="N4003">
        <v>4.54</v>
      </c>
      <c r="O4003">
        <v>14000</v>
      </c>
      <c r="P4003" t="inlineStr">
        <is>
          <t>68bfe3aa2773df0001f1d439</t>
        </is>
      </c>
      <c r="Q4003" t="inlineStr">
        <is>
          <t>🚫重复</t>
        </is>
      </c>
      <c r="R4003" t="inlineStr">
        <is>
          <t>15周</t>
        </is>
      </c>
      <c r="S4003" t="inlineStr">
        <is>
          <t>7.90</t>
        </is>
      </c>
      <c r="T4003" t="inlineStr">
        <is>
          <t>美食滋补</t>
        </is>
      </c>
      <c r="U4003" t="inlineStr">
        <is>
          <t>酒水冲饮</t>
        </is>
      </c>
      <c r="V4003" s="3">
        <v>46121.98079861111</v>
      </c>
      <c r="W4003" t="inlineStr">
        <is>
          <t>2026-Q2</t>
        </is>
      </c>
    </row>
    <row r="4004" ht="25.5" customHeight="1">
      <c r="A4004" t="inlineStr">
        <is>
          <t>连咖啡 · 【周边上新】40颗滴滤咖啡液·黑咖啡·全球首款瞬时锁鲜美式拿铁</t>
        </is>
      </c>
      <c r="B4004" t="inlineStr">
        <is>
          <t>recvgjaKncykj7.jpg</t>
        </is>
      </c>
      <c r="C4004" s="2" t="str">
        <f>=HYPERLINK("https://xhslink.com/m/AMpcc23KnTG", "https://xhslink.com/m/AMpcc23KnTG")</f>
        <v>https://xhslink.com/m/AMpcc23KnTG</v>
      </c>
      <c r="D4004"/>
      <c r="E4004">
        <v>20000</v>
      </c>
      <c r="F4004">
        <v>109.9</v>
      </c>
      <c r="G4004">
        <v>59.9</v>
      </c>
      <c r="H4004">
        <v>100</v>
      </c>
      <c r="I4004" t="inlineStr">
        <is>
          <t>咖啡酒水</t>
        </is>
      </c>
      <c r="J4004" t="inlineStr">
        <is>
          <t>0.01</t>
        </is>
      </c>
      <c r="K4004"/>
      <c r="L4004" t="inlineStr">
        <is>
          <t>连咖啡旗舰店</t>
        </is>
      </c>
      <c r="M4004">
        <v>26000</v>
      </c>
      <c r="N4004">
        <v>4.62</v>
      </c>
      <c r="O4004">
        <v>177000</v>
      </c>
      <c r="P4004" t="inlineStr">
        <is>
          <t>69b793afcdd36c000175449f</t>
        </is>
      </c>
      <c r="Q4004" t="inlineStr">
        <is>
          <t>🚫重复</t>
        </is>
      </c>
      <c r="R4004" t="inlineStr">
        <is>
          <t>15周</t>
        </is>
      </c>
      <c r="S4004" t="inlineStr">
        <is>
          <t>0.77</t>
        </is>
      </c>
      <c r="T4004" t="inlineStr">
        <is>
          <t>美食滋补</t>
        </is>
      </c>
      <c r="U4004" t="inlineStr">
        <is>
          <t>酒水冲饮</t>
        </is>
      </c>
      <c r="V4004" s="3">
        <v>46121.98079861111</v>
      </c>
      <c r="W4004" t="inlineStr">
        <is>
          <t>2026-Q2</t>
        </is>
      </c>
    </row>
    <row r="4005" ht="25.5" customHeight="1">
      <c r="A4005" t="inlineStr">
        <is>
          <t>芙山飘恋【夏日彩咖】阿拉比卡袋装彩虹咖啡速溶黑咖啡提神醇香美</t>
        </is>
      </c>
      <c r="B4005" t="inlineStr">
        <is>
          <t>recvgjaKncAeOB.jpg</t>
        </is>
      </c>
      <c r="C4005" s="2" t="str">
        <f>=HYPERLINK("https://xhslink.com/m/3rQcdZBj5qB", "https://xhslink.com/m/3rQcdZBj5qB")</f>
        <v>https://xhslink.com/m/3rQcdZBj5qB</v>
      </c>
      <c r="D4005"/>
      <c r="E4005">
        <v>15000</v>
      </c>
      <c r="F4005">
        <v>29.9</v>
      </c>
      <c r="G4005"/>
      <c r="H4005">
        <v>100</v>
      </c>
      <c r="I4005" t="inlineStr">
        <is>
          <t>咖啡酒水</t>
        </is>
      </c>
      <c r="J4005" t="inlineStr">
        <is>
          <t>0.01</t>
        </is>
      </c>
      <c r="K4005"/>
      <c r="L4005" t="inlineStr">
        <is>
          <t>小苏低卡轻食记的店</t>
        </is>
      </c>
      <c r="M4005">
        <v>32000</v>
      </c>
      <c r="N4005">
        <v>4.37</v>
      </c>
      <c r="O4005">
        <v>291000</v>
      </c>
      <c r="P4005" t="inlineStr">
        <is>
          <t>68730ea9897c110015e2ad0b</t>
        </is>
      </c>
      <c r="Q4005" t="inlineStr">
        <is>
          <t>🚫重复</t>
        </is>
      </c>
      <c r="R4005" t="inlineStr">
        <is>
          <t>15周</t>
        </is>
      </c>
      <c r="S4005" t="inlineStr">
        <is>
          <t>0.47</t>
        </is>
      </c>
      <c r="T4005" t="inlineStr">
        <is>
          <t>美食滋补</t>
        </is>
      </c>
      <c r="U4005" t="inlineStr">
        <is>
          <t>酒水冲饮</t>
        </is>
      </c>
      <c r="V4005" s="3">
        <v>46121.98079861111</v>
      </c>
      <c r="W4005" t="inlineStr">
        <is>
          <t>2026-Q2</t>
        </is>
      </c>
    </row>
    <row r="4006" ht="25.5" customHeight="1">
      <c r="A4006" t="inlineStr">
        <is>
          <t>others · 小甜酒盲盒！女生酒晚安酒甜酒原瓶进口葡萄酒</t>
        </is>
      </c>
      <c r="B4006" t="inlineStr">
        <is>
          <t>recvgjaKnc1Y2b.jpg</t>
        </is>
      </c>
      <c r="C4006" s="2" t="str">
        <f>=HYPERLINK("https://xhslink.com/m/3jyyeecEDwU", "https://xhslink.com/m/3jyyeecEDwU")</f>
        <v>https://xhslink.com/m/3jyyeecEDwU</v>
      </c>
      <c r="D4006"/>
      <c r="E4006">
        <v>5970</v>
      </c>
      <c r="F4006">
        <v>698</v>
      </c>
      <c r="G4006">
        <v>315</v>
      </c>
      <c r="H4006">
        <v>100</v>
      </c>
      <c r="I4006" t="inlineStr">
        <is>
          <t>咖啡酒水</t>
        </is>
      </c>
      <c r="J4006" t="inlineStr">
        <is>
          <t>0.02</t>
        </is>
      </c>
      <c r="K4006"/>
      <c r="L4006" t="inlineStr">
        <is>
          <t>拾星酿造的店</t>
        </is>
      </c>
      <c r="M4006">
        <v>4644</v>
      </c>
      <c r="N4006">
        <v>4.81</v>
      </c>
      <c r="O4006">
        <v>7747</v>
      </c>
      <c r="P4006" t="inlineStr">
        <is>
          <t>697dd7a584b90b0001e96b36</t>
        </is>
      </c>
      <c r="Q4006"/>
      <c r="R4006" t="inlineStr">
        <is>
          <t>15周</t>
        </is>
      </c>
      <c r="S4006" t="inlineStr">
        <is>
          <t>1.29</t>
        </is>
      </c>
      <c r="T4006" t="inlineStr">
        <is>
          <t>美食滋补</t>
        </is>
      </c>
      <c r="U4006" t="inlineStr">
        <is>
          <t>酒水冲饮</t>
        </is>
      </c>
      <c r="V4006" s="3">
        <v>46121.98079861111</v>
      </c>
      <c r="W4006" t="inlineStr">
        <is>
          <t>2026-Q2</t>
        </is>
      </c>
    </row>
    <row r="4007" ht="25.5" customHeight="1">
      <c r="A4007" t="inlineStr">
        <is>
          <t>禾果贝果【30元任选5个】顺丰包邮手作贝果碱水球早八面包饱腹</t>
        </is>
      </c>
      <c r="B4007" t="inlineStr">
        <is>
          <t>recvgjaKncSOLk.jpg</t>
        </is>
      </c>
      <c r="C4007" s="2" t="str">
        <f>=HYPERLINK("https://xhslink.com/m/1mGxEs07yS2", "https://xhslink.com/m/1mGxEs07yS2")</f>
        <v>https://xhslink.com/m/1mGxEs07yS2</v>
      </c>
      <c r="D4007"/>
      <c r="E4007">
        <v>900000</v>
      </c>
      <c r="F4007">
        <v>20</v>
      </c>
      <c r="G4007"/>
      <c r="H4007">
        <v>100</v>
      </c>
      <c r="I4007" t="inlineStr">
        <is>
          <t>面包</t>
        </is>
      </c>
      <c r="J4007" t="inlineStr">
        <is>
          <t>0.00</t>
        </is>
      </c>
      <c r="K4007" t="inlineStr">
        <is>
          <t>🔥低粉爆款</t>
        </is>
      </c>
      <c r="L4007" t="inlineStr">
        <is>
          <t>禾果烘焙坊的店</t>
        </is>
      </c>
      <c r="M4007">
        <v>17000</v>
      </c>
      <c r="N4007">
        <v>4.46</v>
      </c>
      <c r="O4007">
        <v>1024000</v>
      </c>
      <c r="P4007" t="inlineStr">
        <is>
          <t>6830227d0fd38b000135878e</t>
        </is>
      </c>
      <c r="Q4007" t="inlineStr">
        <is>
          <t>🚫重复</t>
        </is>
      </c>
      <c r="R4007" t="inlineStr">
        <is>
          <t>15周</t>
        </is>
      </c>
      <c r="S4007" t="inlineStr">
        <is>
          <t>52.94</t>
        </is>
      </c>
      <c r="T4007" t="inlineStr">
        <is>
          <t>美食滋补</t>
        </is>
      </c>
      <c r="U4007" t="inlineStr">
        <is>
          <t>休闲零食</t>
        </is>
      </c>
      <c r="V4007" s="3">
        <v>46121.98079861111</v>
      </c>
      <c r="W4007" t="inlineStr">
        <is>
          <t>2026-Q2</t>
        </is>
      </c>
    </row>
    <row r="4008" ht="25.5" customHeight="1">
      <c r="A4008" t="inlineStr">
        <is>
          <t>Juicy招牌奶酪手作欧包戴文车打杂粮欧包早餐代餐</t>
        </is>
      </c>
      <c r="B4008" t="inlineStr">
        <is>
          <t>recvgjaKncfoHe.jpg</t>
        </is>
      </c>
      <c r="C4008" s="2" t="str">
        <f>=HYPERLINK("https://xhslink.com/m/3m7siWZUvpL", "https://xhslink.com/m/3m7siWZUvpL")</f>
        <v>https://xhslink.com/m/3m7siWZUvpL</v>
      </c>
      <c r="D4008"/>
      <c r="E4008">
        <v>32000</v>
      </c>
      <c r="F4008">
        <v>22</v>
      </c>
      <c r="G4008">
        <v>9.99</v>
      </c>
      <c r="H4008">
        <v>100</v>
      </c>
      <c r="I4008" t="inlineStr">
        <is>
          <t>面包</t>
        </is>
      </c>
      <c r="J4008" t="inlineStr">
        <is>
          <t>0.00</t>
        </is>
      </c>
      <c r="K4008"/>
      <c r="L4008" t="inlineStr">
        <is>
          <t>JUICY SUPPLY的店</t>
        </is>
      </c>
      <c r="M4008">
        <v>267000</v>
      </c>
      <c r="N4008">
        <v>4.33</v>
      </c>
      <c r="O4008">
        <v>855000</v>
      </c>
      <c r="P4008" t="inlineStr">
        <is>
          <t>68dc62fac192ac0001733b3f</t>
        </is>
      </c>
      <c r="Q4008" t="inlineStr">
        <is>
          <t>🚫重复</t>
        </is>
      </c>
      <c r="R4008" t="inlineStr">
        <is>
          <t>15周</t>
        </is>
      </c>
      <c r="S4008" t="inlineStr">
        <is>
          <t>0.12</t>
        </is>
      </c>
      <c r="T4008" t="inlineStr">
        <is>
          <t>美食滋补</t>
        </is>
      </c>
      <c r="U4008" t="inlineStr">
        <is>
          <t>休闲零食</t>
        </is>
      </c>
      <c r="V4008" s="3">
        <v>46121.98079861111</v>
      </c>
      <c r="W4008" t="inlineStr">
        <is>
          <t>2026-Q2</t>
        </is>
      </c>
    </row>
    <row r="4009" ht="25.5" customHeight="1">
      <c r="A4009" t="inlineStr">
        <is>
          <t>包邮【28.8元任选8个碱水球】手作面包碱水面包下午茶贝果零食</t>
        </is>
      </c>
      <c r="B4009" t="inlineStr">
        <is>
          <t>recvgjaKncH0h0.jpg</t>
        </is>
      </c>
      <c r="C4009" s="2" t="str">
        <f>=HYPERLINK("https://xhslink.com/m/hzKxTqoxHG", "https://xhslink.com/m/hzKxTqoxHG")</f>
        <v>https://xhslink.com/m/hzKxTqoxHG</v>
      </c>
      <c r="D4009"/>
      <c r="E4009">
        <v>684000</v>
      </c>
      <c r="F4009">
        <v>20</v>
      </c>
      <c r="G4009">
        <v>11.6</v>
      </c>
      <c r="H4009">
        <v>100</v>
      </c>
      <c r="I4009" t="inlineStr">
        <is>
          <t>面包</t>
        </is>
      </c>
      <c r="J4009" t="inlineStr">
        <is>
          <t>0.00</t>
        </is>
      </c>
      <c r="K4009" t="inlineStr">
        <is>
          <t>🔥低粉爆款</t>
        </is>
      </c>
      <c r="L4009" t="inlineStr">
        <is>
          <t>谷味侬手作的店</t>
        </is>
      </c>
      <c r="M4009">
        <v>9032</v>
      </c>
      <c r="N4009">
        <v>4.29</v>
      </c>
      <c r="O4009">
        <v>1499000</v>
      </c>
      <c r="P4009" t="inlineStr">
        <is>
          <t>68aea5169a16410001485f50</t>
        </is>
      </c>
      <c r="Q4009" t="inlineStr">
        <is>
          <t>🚫重复</t>
        </is>
      </c>
      <c r="R4009" t="inlineStr">
        <is>
          <t>15周</t>
        </is>
      </c>
      <c r="S4009" t="inlineStr">
        <is>
          <t>75.73</t>
        </is>
      </c>
      <c r="T4009" t="inlineStr">
        <is>
          <t>美食滋补</t>
        </is>
      </c>
      <c r="U4009" t="inlineStr">
        <is>
          <t>休闲零食</t>
        </is>
      </c>
      <c r="V4009" s="3">
        <v>46121.98079861111</v>
      </c>
      <c r="W4009" t="inlineStr">
        <is>
          <t>2026-Q2</t>
        </is>
      </c>
    </row>
    <row r="4010" ht="25.5" customHeight="1">
      <c r="A4010" t="inlineStr">
        <is>
          <t>【顺丰包邮28.8元任选8个改价】手作碱水球~面包下午茶零食</t>
        </is>
      </c>
      <c r="B4010" t="inlineStr">
        <is>
          <t>recvgjaKnc0nLO.jpg</t>
        </is>
      </c>
      <c r="C4010" s="2" t="str">
        <f>=HYPERLINK("https://xhslink.com/m/994Ry9PDABH", "https://xhslink.com/m/994Ry9PDABH")</f>
        <v>https://xhslink.com/m/994Ry9PDABH</v>
      </c>
      <c r="D4010"/>
      <c r="E4010">
        <v>346000</v>
      </c>
      <c r="F4010">
        <v>20</v>
      </c>
      <c r="G4010">
        <v>9.1</v>
      </c>
      <c r="H4010">
        <v>100</v>
      </c>
      <c r="I4010" t="inlineStr">
        <is>
          <t>面包</t>
        </is>
      </c>
      <c r="J4010" t="inlineStr">
        <is>
          <t>0.00</t>
        </is>
      </c>
      <c r="K4010" t="inlineStr">
        <is>
          <t>🔥低粉爆款</t>
        </is>
      </c>
      <c r="L4010" t="inlineStr">
        <is>
          <t>碱体大人的店</t>
        </is>
      </c>
      <c r="M4010">
        <v>3034</v>
      </c>
      <c r="N4010">
        <v>4.38</v>
      </c>
      <c r="O4010">
        <v>366000</v>
      </c>
      <c r="P4010" t="inlineStr">
        <is>
          <t>692d4c9e137a3b00016422c7</t>
        </is>
      </c>
      <c r="Q4010"/>
      <c r="R4010" t="inlineStr">
        <is>
          <t>15周</t>
        </is>
      </c>
      <c r="S4010" t="inlineStr">
        <is>
          <t>114.04</t>
        </is>
      </c>
      <c r="T4010" t="inlineStr">
        <is>
          <t>美食滋补</t>
        </is>
      </c>
      <c r="U4010" t="inlineStr">
        <is>
          <t>休闲零食</t>
        </is>
      </c>
      <c r="V4010" s="3">
        <v>46121.98079861111</v>
      </c>
      <c r="W4010" t="inlineStr">
        <is>
          <t>2026-Q2</t>
        </is>
      </c>
    </row>
    <row r="4011" ht="25.5" customHeight="1">
      <c r="A4011" t="inlineStr">
        <is>
          <t>【18.8R到手7枚】全麦0蔗糖早八党贝果早餐大学生</t>
        </is>
      </c>
      <c r="B4011" t="inlineStr">
        <is>
          <t>recvgjaKncr8OS.jpg</t>
        </is>
      </c>
      <c r="C4011" s="2" t="str">
        <f>=HYPERLINK("https://xhslink.com/m/55Mss66nCpg", "https://xhslink.com/m/55Mss66nCpg")</f>
        <v>https://xhslink.com/m/55Mss66nCpg</v>
      </c>
      <c r="D4011"/>
      <c r="E4011">
        <v>63000</v>
      </c>
      <c r="F4011">
        <v>37.8</v>
      </c>
      <c r="G4011">
        <v>18.8</v>
      </c>
      <c r="H4011">
        <v>100</v>
      </c>
      <c r="I4011" t="inlineStr">
        <is>
          <t>面包</t>
        </is>
      </c>
      <c r="J4011" t="inlineStr">
        <is>
          <t>0.00</t>
        </is>
      </c>
      <c r="K4011" t="inlineStr">
        <is>
          <t>🔥低粉爆款</t>
        </is>
      </c>
      <c r="L4011" t="inlineStr">
        <is>
          <t>麦语烘焙坊的店</t>
        </is>
      </c>
      <c r="M4011">
        <v>3990</v>
      </c>
      <c r="N4011">
        <v>4.49</v>
      </c>
      <c r="O4011">
        <v>107000</v>
      </c>
      <c r="P4011" t="inlineStr">
        <is>
          <t>67dd8f84624e70000150e4cb</t>
        </is>
      </c>
      <c r="Q4011" t="inlineStr">
        <is>
          <t>🚫重复</t>
        </is>
      </c>
      <c r="R4011" t="inlineStr">
        <is>
          <t>15周</t>
        </is>
      </c>
      <c r="S4011" t="inlineStr">
        <is>
          <t>15.79</t>
        </is>
      </c>
      <c r="T4011" t="inlineStr">
        <is>
          <t>美食滋补</t>
        </is>
      </c>
      <c r="U4011" t="inlineStr">
        <is>
          <t>休闲零食</t>
        </is>
      </c>
      <c r="V4011" s="3">
        <v>46121.98079861111</v>
      </c>
      <c r="W4011" t="inlineStr">
        <is>
          <t>2026-Q2</t>
        </is>
      </c>
    </row>
    <row r="4012" ht="25.5" customHeight="1">
      <c r="A4012" t="inlineStr">
        <is>
          <t>周三的情书 天气：小雨 · 全麦面包森林蔬菜吐司 低脂轻卡0蔗糖添加代餐早餐面包整箱 7口味</t>
        </is>
      </c>
      <c r="B4012" t="inlineStr">
        <is>
          <t>recvgjaKnclfNr.jpg</t>
        </is>
      </c>
      <c r="C4012" s="2" t="str">
        <f>=HYPERLINK("https://xhslink.com/m/2OGPZ90hu68", "https://xhslink.com/m/2OGPZ90hu68")</f>
        <v>https://xhslink.com/m/2OGPZ90hu68</v>
      </c>
      <c r="D4012"/>
      <c r="E4012">
        <v>38000</v>
      </c>
      <c r="F4012">
        <v>33.9</v>
      </c>
      <c r="G4012">
        <v>23.9</v>
      </c>
      <c r="H4012">
        <v>100</v>
      </c>
      <c r="I4012" t="inlineStr">
        <is>
          <t>面包</t>
        </is>
      </c>
      <c r="J4012" t="inlineStr">
        <is>
          <t>0.00</t>
        </is>
      </c>
      <c r="K4012"/>
      <c r="L4012" t="inlineStr">
        <is>
          <t>周三的情书 天气：小雨旗舰店</t>
        </is>
      </c>
      <c r="M4012">
        <v>27000</v>
      </c>
      <c r="N4012">
        <v>3.88</v>
      </c>
      <c r="O4012">
        <v>430000</v>
      </c>
      <c r="P4012" t="inlineStr">
        <is>
          <t>65ea7c170af17e00012d21b0</t>
        </is>
      </c>
      <c r="Q4012" t="inlineStr">
        <is>
          <t>🚫重复</t>
        </is>
      </c>
      <c r="R4012" t="inlineStr">
        <is>
          <t>15周</t>
        </is>
      </c>
      <c r="S4012" t="inlineStr">
        <is>
          <t>1.41</t>
        </is>
      </c>
      <c r="T4012" t="inlineStr">
        <is>
          <t>美食滋补</t>
        </is>
      </c>
      <c r="U4012" t="inlineStr">
        <is>
          <t>休闲零食</t>
        </is>
      </c>
      <c r="V4012" s="3">
        <v>46121.98079861111</v>
      </c>
      <c r="W4012" t="inlineStr">
        <is>
          <t>2026-Q2</t>
        </is>
      </c>
    </row>
    <row r="4013" ht="25.5" customHeight="1">
      <c r="A4013" t="inlineStr">
        <is>
          <t>【任选5个改价29.5】手工贝果/碱水/欧包早餐代餐</t>
        </is>
      </c>
      <c r="B4013" t="inlineStr">
        <is>
          <t>recvgjaKncu4CX.jpg</t>
        </is>
      </c>
      <c r="C4013" s="2" t="str">
        <f>=HYPERLINK("https://xhslink.com/m/WX1mXJavVP", "https://xhslink.com/m/WX1mXJavVP")</f>
        <v>https://xhslink.com/m/WX1mXJavVP</v>
      </c>
      <c r="D4013"/>
      <c r="E4013">
        <v>19000</v>
      </c>
      <c r="F4013">
        <v>10.9</v>
      </c>
      <c r="G4013"/>
      <c r="H4013">
        <v>100</v>
      </c>
      <c r="I4013" t="inlineStr">
        <is>
          <t>面包</t>
        </is>
      </c>
      <c r="J4013" t="inlineStr">
        <is>
          <t>0.01</t>
        </is>
      </c>
      <c r="K4013" t="inlineStr">
        <is>
          <t>🔥低粉爆款</t>
        </is>
      </c>
      <c r="L4013" t="inlineStr">
        <is>
          <t>大麦糯叽叽的店</t>
        </is>
      </c>
      <c r="M4013">
        <v>2016</v>
      </c>
      <c r="N4013">
        <v>4.37</v>
      </c>
      <c r="O4013">
        <v>28000</v>
      </c>
      <c r="P4013" t="inlineStr">
        <is>
          <t>6892fb63f9d7c800019a2d4f</t>
        </is>
      </c>
      <c r="Q4013"/>
      <c r="R4013" t="inlineStr">
        <is>
          <t>15周</t>
        </is>
      </c>
      <c r="S4013" t="inlineStr">
        <is>
          <t>9.42</t>
        </is>
      </c>
      <c r="T4013" t="inlineStr">
        <is>
          <t>美食滋补</t>
        </is>
      </c>
      <c r="U4013" t="inlineStr">
        <is>
          <t>休闲零食</t>
        </is>
      </c>
      <c r="V4013" s="3">
        <v>46121.98079861111</v>
      </c>
      <c r="W4013" t="inlineStr">
        <is>
          <t>2026-Q2</t>
        </is>
      </c>
    </row>
    <row r="4014" ht="25.5" customHeight="1">
      <c r="A4014" t="inlineStr">
        <is>
          <t>Juicy戴文车打奶酪包欧包健康早餐代餐零食</t>
        </is>
      </c>
      <c r="B4014" t="inlineStr">
        <is>
          <t>recvgjaKnc4LuY.jpg</t>
        </is>
      </c>
      <c r="C4014" s="2" t="str">
        <f>=HYPERLINK("https://xhslink.com/m/5Yu1ofyYoZj", "https://xhslink.com/m/5Yu1ofyYoZj")</f>
        <v>https://xhslink.com/m/5Yu1ofyYoZj</v>
      </c>
      <c r="D4014"/>
      <c r="E4014">
        <v>40000</v>
      </c>
      <c r="F4014">
        <v>24</v>
      </c>
      <c r="G4014">
        <v>15.99</v>
      </c>
      <c r="H4014">
        <v>100</v>
      </c>
      <c r="I4014" t="inlineStr">
        <is>
          <t>面包</t>
        </is>
      </c>
      <c r="J4014" t="inlineStr">
        <is>
          <t>0.00</t>
        </is>
      </c>
      <c r="K4014"/>
      <c r="L4014" t="inlineStr">
        <is>
          <t>JUICY SUPPLY的店</t>
        </is>
      </c>
      <c r="M4014">
        <v>267000</v>
      </c>
      <c r="N4014">
        <v>4.33</v>
      </c>
      <c r="O4014">
        <v>855000</v>
      </c>
      <c r="P4014" t="inlineStr">
        <is>
          <t>697b08c0ab9b8800017e7f52</t>
        </is>
      </c>
      <c r="Q4014" t="inlineStr">
        <is>
          <t>🚫重复</t>
        </is>
      </c>
      <c r="R4014" t="inlineStr">
        <is>
          <t>15周</t>
        </is>
      </c>
      <c r="S4014" t="inlineStr">
        <is>
          <t>0.15</t>
        </is>
      </c>
      <c r="T4014" t="inlineStr">
        <is>
          <t>美食滋补</t>
        </is>
      </c>
      <c r="U4014" t="inlineStr">
        <is>
          <t>休闲零食</t>
        </is>
      </c>
      <c r="V4014" s="3">
        <v>46121.98079861111</v>
      </c>
      <c r="W4014" t="inlineStr">
        <is>
          <t>2026-Q2</t>
        </is>
      </c>
    </row>
    <row r="4015" ht="25.5" customHeight="1">
      <c r="A4015" t="inlineStr">
        <is>
          <t>【9.9包邮一箱】黑芝麻杂粮坚果全麦面包宿舍代餐五黑椰蓉欧包</t>
        </is>
      </c>
      <c r="B4015" t="inlineStr">
        <is>
          <t>recvgjaKncYKUa.jpg</t>
        </is>
      </c>
      <c r="C4015" s="2" t="str">
        <f>=HYPERLINK("https://xhslink.com/m/5f8aBvIDaCa", "https://xhslink.com/m/5f8aBvIDaCa")</f>
        <v>https://xhslink.com/m/5f8aBvIDaCa</v>
      </c>
      <c r="D4015"/>
      <c r="E4015">
        <v>5450</v>
      </c>
      <c r="F4015">
        <v>25.9</v>
      </c>
      <c r="G4015">
        <v>15.9</v>
      </c>
      <c r="H4015">
        <v>100</v>
      </c>
      <c r="I4015" t="inlineStr">
        <is>
          <t>面包</t>
        </is>
      </c>
      <c r="J4015" t="inlineStr">
        <is>
          <t>0.02</t>
        </is>
      </c>
      <c r="K4015" t="inlineStr">
        <is>
          <t>🔥低粉爆款</t>
        </is>
      </c>
      <c r="L4015" t="inlineStr">
        <is>
          <t>半甜集序的店</t>
        </is>
      </c>
      <c r="M4015">
        <v>634</v>
      </c>
      <c r="N4015">
        <v>4.62</v>
      </c>
      <c r="O4015">
        <v>13000</v>
      </c>
      <c r="P4015" t="inlineStr">
        <is>
          <t>69bb880fa20c2100014fe3a6</t>
        </is>
      </c>
      <c r="Q4015" t="inlineStr">
        <is>
          <t>🚫重复</t>
        </is>
      </c>
      <c r="R4015" t="inlineStr">
        <is>
          <t>15周</t>
        </is>
      </c>
      <c r="S4015" t="inlineStr">
        <is>
          <t>8.60</t>
        </is>
      </c>
      <c r="T4015" t="inlineStr">
        <is>
          <t>美食滋补</t>
        </is>
      </c>
      <c r="U4015" t="inlineStr">
        <is>
          <t>休闲零食</t>
        </is>
      </c>
      <c r="V4015" s="3">
        <v>46121.98079861111</v>
      </c>
      <c r="W4015" t="inlineStr">
        <is>
          <t>2026-Q2</t>
        </is>
      </c>
    </row>
    <row r="4016" ht="25.5" customHeight="1">
      <c r="A4016" t="inlineStr">
        <is>
          <t>新鲜现摘圣女果小番茄水果商超精品小番茄新鲜应季水果</t>
        </is>
      </c>
      <c r="B4016" t="inlineStr">
        <is>
          <t>recvgjaKnckOyx.jpg</t>
        </is>
      </c>
      <c r="C4016" s="2" t="str">
        <f>=HYPERLINK("https://xhslink.com/m/5HAMr9lR49J", "https://xhslink.com/m/5HAMr9lR49J")</f>
        <v>https://xhslink.com/m/5HAMr9lR49J</v>
      </c>
      <c r="D4016"/>
      <c r="E4016">
        <v>12000</v>
      </c>
      <c r="F4016">
        <v>20.6</v>
      </c>
      <c r="G4016">
        <v>8.6</v>
      </c>
      <c r="H4016">
        <v>100</v>
      </c>
      <c r="I4016" t="inlineStr">
        <is>
          <t>水果</t>
        </is>
      </c>
      <c r="J4016" t="inlineStr">
        <is>
          <t>0.01</t>
        </is>
      </c>
      <c r="K4016" t="inlineStr">
        <is>
          <t>🔥低粉爆款</t>
        </is>
      </c>
      <c r="L4016" t="inlineStr">
        <is>
          <t>圣女果酱酱的店</t>
        </is>
      </c>
      <c r="M4016">
        <v>123</v>
      </c>
      <c r="N4016">
        <v>4.52</v>
      </c>
      <c r="O4016">
        <v>13000</v>
      </c>
      <c r="P4016" t="inlineStr">
        <is>
          <t>695b29b400d76200016955ea</t>
        </is>
      </c>
      <c r="Q4016" t="inlineStr">
        <is>
          <t>🚫重复</t>
        </is>
      </c>
      <c r="R4016" t="inlineStr">
        <is>
          <t>15周</t>
        </is>
      </c>
      <c r="S4016" t="inlineStr">
        <is>
          <t>97.56</t>
        </is>
      </c>
      <c r="T4016" t="inlineStr">
        <is>
          <t>美食滋补</t>
        </is>
      </c>
      <c r="U4016" t="inlineStr">
        <is>
          <t>生鲜特产</t>
        </is>
      </c>
      <c r="V4016" s="3">
        <v>46121.98079861111</v>
      </c>
      <c r="W4016" t="inlineStr">
        <is>
          <t>2026-Q2</t>
        </is>
      </c>
    </row>
    <row r="4017" ht="25.5" customHeight="1">
      <c r="A4017" t="inlineStr">
        <is>
          <t>湖北秭归血橙中华红橙现摘现发风味浓郁新鲜美味香甜可口</t>
        </is>
      </c>
      <c r="B4017" t="inlineStr">
        <is>
          <t>recvgjaKnceOcg.jpg</t>
        </is>
      </c>
      <c r="C4017" s="2" t="str">
        <f>=HYPERLINK("https://xhslink.com/m/8rqhUgalXUo", "https://xhslink.com/m/8rqhUgalXUo")</f>
        <v>https://xhslink.com/m/8rqhUgalXUo</v>
      </c>
      <c r="D4017"/>
      <c r="E4017">
        <v>26000</v>
      </c>
      <c r="F4017">
        <v>25.9</v>
      </c>
      <c r="G4017">
        <v>9.9</v>
      </c>
      <c r="H4017">
        <v>100</v>
      </c>
      <c r="I4017" t="inlineStr">
        <is>
          <t>水果</t>
        </is>
      </c>
      <c r="J4017" t="inlineStr">
        <is>
          <t>0.00</t>
        </is>
      </c>
      <c r="K4017" t="inlineStr">
        <is>
          <t>🔥低粉爆款</t>
        </is>
      </c>
      <c r="L4017" t="inlineStr">
        <is>
          <t>皮皮农场的店</t>
        </is>
      </c>
      <c r="M4017">
        <v>1421</v>
      </c>
      <c r="N4017">
        <v>4.6</v>
      </c>
      <c r="O4017">
        <v>21000</v>
      </c>
      <c r="P4017" t="inlineStr">
        <is>
          <t>692fdcb33da23600153a9aa4</t>
        </is>
      </c>
      <c r="Q4017"/>
      <c r="R4017" t="inlineStr">
        <is>
          <t>15周</t>
        </is>
      </c>
      <c r="S4017" t="inlineStr">
        <is>
          <t>18.30</t>
        </is>
      </c>
      <c r="T4017" t="inlineStr">
        <is>
          <t>美食滋补</t>
        </is>
      </c>
      <c r="U4017" t="inlineStr">
        <is>
          <t>生鲜特产</t>
        </is>
      </c>
      <c r="V4017" s="3">
        <v>46121.98079861111</v>
      </c>
      <c r="W4017" t="inlineStr">
        <is>
          <t>2026-Q2</t>
        </is>
      </c>
    </row>
    <row r="4018" ht="25.5" customHeight="1">
      <c r="A4018" t="inlineStr">
        <is>
          <t>正宗黑金刚莲雾果新鲜现摘孕妇水果雾莲果整箱现摘补水仙女果</t>
        </is>
      </c>
      <c r="B4018" t="inlineStr">
        <is>
          <t>recvgjaKncvAxt.jpg</t>
        </is>
      </c>
      <c r="C4018" s="2" t="str">
        <f>=HYPERLINK("https://xhslink.com/m/VWpA1e402V", "https://xhslink.com/m/VWpA1e402V")</f>
        <v>https://xhslink.com/m/VWpA1e402V</v>
      </c>
      <c r="D4018"/>
      <c r="E4018">
        <v>2115</v>
      </c>
      <c r="F4018">
        <v>49.8</v>
      </c>
      <c r="G4018">
        <v>29.8</v>
      </c>
      <c r="H4018">
        <v>100</v>
      </c>
      <c r="I4018" t="inlineStr">
        <is>
          <t>水果</t>
        </is>
      </c>
      <c r="J4018" t="inlineStr">
        <is>
          <t>0.05</t>
        </is>
      </c>
      <c r="K4018" t="inlineStr">
        <is>
          <t>🔥低粉爆款</t>
        </is>
      </c>
      <c r="L4018" t="inlineStr">
        <is>
          <t>一口鲜莲雾的店</t>
        </is>
      </c>
      <c r="M4018">
        <v>178</v>
      </c>
      <c r="N4018">
        <v>4.62</v>
      </c>
      <c r="O4018">
        <v>13000</v>
      </c>
      <c r="P4018" t="inlineStr">
        <is>
          <t>6959e1e3d96c450001830920</t>
        </is>
      </c>
      <c r="Q4018"/>
      <c r="R4018" t="inlineStr">
        <is>
          <t>15周</t>
        </is>
      </c>
      <c r="S4018" t="inlineStr">
        <is>
          <t>11.88</t>
        </is>
      </c>
      <c r="T4018" t="inlineStr">
        <is>
          <t>美食滋补</t>
        </is>
      </c>
      <c r="U4018" t="inlineStr">
        <is>
          <t>生鲜特产</t>
        </is>
      </c>
      <c r="V4018" s="3">
        <v>46121.98079861111</v>
      </c>
      <c r="W4018" t="inlineStr">
        <is>
          <t>2026-Q2</t>
        </is>
      </c>
    </row>
    <row r="4019" ht="25.5" customHeight="1">
      <c r="A4019" t="inlineStr">
        <is>
          <t>【果园直发】正宗嘉宝果新鲜树葡萄孕妇水果颗粒包装顺丰包邮</t>
        </is>
      </c>
      <c r="B4019" t="inlineStr">
        <is>
          <t>recvgjaKncLA4K.jpg</t>
        </is>
      </c>
      <c r="C4019" s="2" t="str">
        <f>=HYPERLINK("https://xhslink.com/m/8EB1gHJLqmI", "https://xhslink.com/m/8EB1gHJLqmI")</f>
        <v>https://xhslink.com/m/8EB1gHJLqmI</v>
      </c>
      <c r="D4019"/>
      <c r="E4019">
        <v>3939</v>
      </c>
      <c r="F4019">
        <v>49.9</v>
      </c>
      <c r="G4019"/>
      <c r="H4019">
        <v>100</v>
      </c>
      <c r="I4019" t="inlineStr">
        <is>
          <t>水果</t>
        </is>
      </c>
      <c r="J4019" t="inlineStr">
        <is>
          <t>0.03</t>
        </is>
      </c>
      <c r="K4019" t="inlineStr">
        <is>
          <t>🔥低粉爆款</t>
        </is>
      </c>
      <c r="L4019" t="inlineStr">
        <is>
          <t>小林鲜果🍇的店</t>
        </is>
      </c>
      <c r="M4019">
        <v>501</v>
      </c>
      <c r="N4019">
        <v>4.51</v>
      </c>
      <c r="O4019">
        <v>4406</v>
      </c>
      <c r="P4019" t="inlineStr">
        <is>
          <t>69c412397dd4a10001ea9c5a</t>
        </is>
      </c>
      <c r="Q4019"/>
      <c r="R4019" t="inlineStr">
        <is>
          <t>15周</t>
        </is>
      </c>
      <c r="S4019" t="inlineStr">
        <is>
          <t>7.86</t>
        </is>
      </c>
      <c r="T4019" t="inlineStr">
        <is>
          <t>美食滋补</t>
        </is>
      </c>
      <c r="U4019" t="inlineStr">
        <is>
          <t>生鲜特产</t>
        </is>
      </c>
      <c r="V4019" s="3">
        <v>46121.98079861111</v>
      </c>
      <c r="W4019" t="inlineStr">
        <is>
          <t>2026-Q2</t>
        </is>
      </c>
    </row>
    <row r="4020" ht="25.5" customHeight="1">
      <c r="A4020" t="inlineStr">
        <is>
          <t>【顺丰快递】四川明日见/甘平/春见耙耙柑自然成熟爆汁风味足</t>
        </is>
      </c>
      <c r="B4020" t="inlineStr">
        <is>
          <t>recvgjaKnc6619.jpg</t>
        </is>
      </c>
      <c r="C4020" s="2" t="str">
        <f>=HYPERLINK("https://xhslink.com/m/4BZWa0W3Axj", "https://xhslink.com/m/4BZWa0W3Axj")</f>
        <v>https://xhslink.com/m/4BZWa0W3Axj</v>
      </c>
      <c r="D4020"/>
      <c r="E4020">
        <v>257000</v>
      </c>
      <c r="F4020">
        <v>30.8</v>
      </c>
      <c r="G4020"/>
      <c r="H4020">
        <v>100</v>
      </c>
      <c r="I4020" t="inlineStr">
        <is>
          <t>水果</t>
        </is>
      </c>
      <c r="J4020" t="inlineStr">
        <is>
          <t>0.00</t>
        </is>
      </c>
      <c r="K4020"/>
      <c r="L4020" t="inlineStr">
        <is>
          <t>洋洋乡村生活~的店</t>
        </is>
      </c>
      <c r="M4020">
        <v>147000</v>
      </c>
      <c r="N4020">
        <v>4.63</v>
      </c>
      <c r="O4020">
        <v>1808000</v>
      </c>
      <c r="P4020" t="inlineStr">
        <is>
          <t>6959cf9eb249210001a52469</t>
        </is>
      </c>
      <c r="Q4020" t="inlineStr">
        <is>
          <t>🚫重复</t>
        </is>
      </c>
      <c r="R4020" t="inlineStr">
        <is>
          <t>15周</t>
        </is>
      </c>
      <c r="S4020" t="inlineStr">
        <is>
          <t>1.75</t>
        </is>
      </c>
      <c r="T4020" t="inlineStr">
        <is>
          <t>美食滋补</t>
        </is>
      </c>
      <c r="U4020" t="inlineStr">
        <is>
          <t>生鲜特产</t>
        </is>
      </c>
      <c r="V4020" s="3">
        <v>46121.98079861111</v>
      </c>
      <c r="W4020" t="inlineStr">
        <is>
          <t>2026-Q2</t>
        </is>
      </c>
    </row>
    <row r="4021" ht="25.5" customHeight="1">
      <c r="A4021" t="inlineStr">
        <is>
          <t>【大馕发中通】新疆烤馕店现做现发皮芽子馕、芝麻馕、辣皮子千层</t>
        </is>
      </c>
      <c r="B4021" t="inlineStr">
        <is>
          <t>recvgjaKncPJ5W.jpg</t>
        </is>
      </c>
      <c r="C4021" s="2" t="str">
        <f>=HYPERLINK("https://xhslink.com/m/Acxt1L1OVxz", "https://xhslink.com/m/Acxt1L1OVxz")</f>
        <v>https://xhslink.com/m/Acxt1L1OVxz</v>
      </c>
      <c r="D4021"/>
      <c r="E4021">
        <v>35000</v>
      </c>
      <c r="F4021">
        <v>6</v>
      </c>
      <c r="G4021"/>
      <c r="H4021">
        <v>100</v>
      </c>
      <c r="I4021" t="inlineStr">
        <is>
          <t>水果</t>
        </is>
      </c>
      <c r="J4021" t="inlineStr">
        <is>
          <t>0.00</t>
        </is>
      </c>
      <c r="K4021" t="inlineStr">
        <is>
          <t>🔥低粉爆款</t>
        </is>
      </c>
      <c r="L4021" t="inlineStr">
        <is>
          <t>品四季生鲜的店</t>
        </is>
      </c>
      <c r="M4021">
        <v>2950</v>
      </c>
      <c r="N4021">
        <v>4.58</v>
      </c>
      <c r="O4021">
        <v>139000</v>
      </c>
      <c r="P4021" t="inlineStr">
        <is>
          <t>670659eb2c57110001f4688c</t>
        </is>
      </c>
      <c r="Q4021" t="inlineStr">
        <is>
          <t>🚫重复</t>
        </is>
      </c>
      <c r="R4021" t="inlineStr">
        <is>
          <t>15周</t>
        </is>
      </c>
      <c r="S4021" t="inlineStr">
        <is>
          <t>11.86</t>
        </is>
      </c>
      <c r="T4021" t="inlineStr">
        <is>
          <t>美食滋补</t>
        </is>
      </c>
      <c r="U4021" t="inlineStr">
        <is>
          <t>生鲜特产</t>
        </is>
      </c>
      <c r="V4021" s="3">
        <v>46121.98079861111</v>
      </c>
      <c r="W4021" t="inlineStr">
        <is>
          <t>2026-Q2</t>
        </is>
      </c>
    </row>
    <row r="4022" ht="25.5" customHeight="1">
      <c r="A4022" t="inlineStr">
        <is>
          <t>【小馕发中通】乌鲁木齐线下馕店现烤现发手工辣皮子馕、玫瑰花馕</t>
        </is>
      </c>
      <c r="B4022" t="inlineStr">
        <is>
          <t>recvgjaKncAE4t.jpg</t>
        </is>
      </c>
      <c r="C4022" s="2" t="str">
        <f>=HYPERLINK("https://xhslink.com/m/5RRaV3mKrwY", "https://xhslink.com/m/5RRaV3mKrwY")</f>
        <v>https://xhslink.com/m/5RRaV3mKrwY</v>
      </c>
      <c r="D4022"/>
      <c r="E4022">
        <v>54000</v>
      </c>
      <c r="F4022">
        <v>4</v>
      </c>
      <c r="G4022"/>
      <c r="H4022">
        <v>100</v>
      </c>
      <c r="I4022" t="inlineStr">
        <is>
          <t>水果</t>
        </is>
      </c>
      <c r="J4022" t="inlineStr">
        <is>
          <t>0.00</t>
        </is>
      </c>
      <c r="K4022" t="inlineStr">
        <is>
          <t>🔥低粉爆款</t>
        </is>
      </c>
      <c r="L4022" t="inlineStr">
        <is>
          <t>品四季生鲜的店</t>
        </is>
      </c>
      <c r="M4022">
        <v>2950</v>
      </c>
      <c r="N4022">
        <v>4.58</v>
      </c>
      <c r="O4022">
        <v>139000</v>
      </c>
      <c r="P4022" t="inlineStr">
        <is>
          <t>66fe8c04b3c39900014abb3d</t>
        </is>
      </c>
      <c r="Q4022" t="inlineStr">
        <is>
          <t>🚫重复</t>
        </is>
      </c>
      <c r="R4022" t="inlineStr">
        <is>
          <t>15周</t>
        </is>
      </c>
      <c r="S4022" t="inlineStr">
        <is>
          <t>18.31</t>
        </is>
      </c>
      <c r="T4022" t="inlineStr">
        <is>
          <t>美食滋补</t>
        </is>
      </c>
      <c r="U4022" t="inlineStr">
        <is>
          <t>生鲜特产</t>
        </is>
      </c>
      <c r="V4022" s="3">
        <v>46121.98079861111</v>
      </c>
      <c r="W4022" t="inlineStr">
        <is>
          <t>2026-Q2</t>
        </is>
      </c>
    </row>
    <row r="4023" ht="25.5" customHeight="1">
      <c r="A4023" t="inlineStr">
        <is>
          <t>自制美剧老友记岁瑞秋同款鲨鱼夹肯豆同款抓夹</t>
        </is>
      </c>
      <c r="B4023" t="inlineStr">
        <is>
          <t>recvgjaKncjYRl.jpg</t>
        </is>
      </c>
      <c r="C4023" s="2" t="str">
        <f>=HYPERLINK("https://xhslink.com/m/6wSS0l3UuVv", "https://xhslink.com/m/6wSS0l3UuVv")</f>
        <v>https://xhslink.com/m/6wSS0l3UuVv</v>
      </c>
      <c r="D4023"/>
      <c r="E4023">
        <v>30000</v>
      </c>
      <c r="F4023">
        <v>19.8</v>
      </c>
      <c r="G4023"/>
      <c r="H4023">
        <v>100</v>
      </c>
      <c r="I4023" t="inlineStr">
        <is>
          <t>配饰</t>
        </is>
      </c>
      <c r="J4023" t="inlineStr">
        <is>
          <t>0.00</t>
        </is>
      </c>
      <c r="K4023" t="inlineStr">
        <is>
          <t>🔥低粉爆款</t>
        </is>
      </c>
      <c r="L4023" t="inlineStr">
        <is>
          <t>Julyjam饰品的店</t>
        </is>
      </c>
      <c r="M4023">
        <v>5074</v>
      </c>
      <c r="N4023">
        <v>4.52</v>
      </c>
      <c r="O4023">
        <v>81000</v>
      </c>
      <c r="P4023" t="inlineStr">
        <is>
          <t>68a057f411247e000136d961</t>
        </is>
      </c>
      <c r="Q4023"/>
      <c r="R4023" t="inlineStr">
        <is>
          <t>15周</t>
        </is>
      </c>
      <c r="S4023" t="inlineStr">
        <is>
          <t>5.91</t>
        </is>
      </c>
      <c r="T4023" t="inlineStr">
        <is>
          <t>服饰穿搭</t>
        </is>
      </c>
      <c r="U4023" t="inlineStr">
        <is>
          <t>配饰</t>
        </is>
      </c>
      <c r="V4023" s="3">
        <v>46121.98079861111</v>
      </c>
      <c r="W4023" t="inlineStr">
        <is>
          <t>2026-Q2</t>
        </is>
      </c>
    </row>
    <row r="4024" ht="25.5" customHeight="1">
      <c r="A4024" t="inlineStr">
        <is>
          <t>韩系八爪鱼抓夹13cm八个颜色～</t>
        </is>
      </c>
      <c r="B4024" t="inlineStr">
        <is>
          <t>recvgjaKncXL7r.jpg</t>
        </is>
      </c>
      <c r="C4024" s="2" t="str">
        <f>=HYPERLINK("https://xhslink.com/m/95r8E3nQpXd", "https://xhslink.com/m/95r8E3nQpXd")</f>
        <v>https://xhslink.com/m/95r8E3nQpXd</v>
      </c>
      <c r="D4024"/>
      <c r="E4024">
        <v>11000</v>
      </c>
      <c r="F4024">
        <v>9.87</v>
      </c>
      <c r="G4024">
        <v>7.9</v>
      </c>
      <c r="H4024">
        <v>100</v>
      </c>
      <c r="I4024" t="inlineStr">
        <is>
          <t>配饰</t>
        </is>
      </c>
      <c r="J4024" t="inlineStr">
        <is>
          <t>0.01</t>
        </is>
      </c>
      <c r="K4024" t="inlineStr">
        <is>
          <t>🔥低粉爆款</t>
        </is>
      </c>
      <c r="L4024" t="inlineStr">
        <is>
          <t>叮当星球的店</t>
        </is>
      </c>
      <c r="M4024">
        <v>894</v>
      </c>
      <c r="N4024">
        <v>4.48</v>
      </c>
      <c r="O4024">
        <v>36000</v>
      </c>
      <c r="P4024" t="inlineStr">
        <is>
          <t>69bb91a1d6abc6000145c294</t>
        </is>
      </c>
      <c r="Q4024"/>
      <c r="R4024" t="inlineStr">
        <is>
          <t>15周</t>
        </is>
      </c>
      <c r="S4024" t="inlineStr">
        <is>
          <t>12.30</t>
        </is>
      </c>
      <c r="T4024" t="inlineStr">
        <is>
          <t>服饰穿搭</t>
        </is>
      </c>
      <c r="U4024" t="inlineStr">
        <is>
          <t>配饰</t>
        </is>
      </c>
      <c r="V4024" s="3">
        <v>46121.98079861111</v>
      </c>
      <c r="W4024" t="inlineStr">
        <is>
          <t>2026-Q2</t>
        </is>
      </c>
    </row>
    <row r="4025" ht="25.5" customHeight="1">
      <c r="A4025" t="inlineStr">
        <is>
          <t>新中式国潮风丨爆闪金色织梦星镂空星星项链 L025</t>
        </is>
      </c>
      <c r="B4025" t="inlineStr">
        <is>
          <t>recvgjaKnceroP.jpg</t>
        </is>
      </c>
      <c r="C4025" s="2" t="str">
        <f>=HYPERLINK("https://xhslink.com/m/3f2HaHde9aL", "https://xhslink.com/m/3f2HaHde9aL")</f>
        <v>https://xhslink.com/m/3f2HaHde9aL</v>
      </c>
      <c r="D4025"/>
      <c r="E4025">
        <v>12000</v>
      </c>
      <c r="F4025">
        <v>69.9</v>
      </c>
      <c r="G4025">
        <v>56.9</v>
      </c>
      <c r="H4025">
        <v>100</v>
      </c>
      <c r="I4025" t="inlineStr">
        <is>
          <t>配饰</t>
        </is>
      </c>
      <c r="J4025" t="inlineStr">
        <is>
          <t>0.01</t>
        </is>
      </c>
      <c r="K4025"/>
      <c r="L4025" t="inlineStr">
        <is>
          <t>Paula Syudio时序的店</t>
        </is>
      </c>
      <c r="M4025">
        <v>237000</v>
      </c>
      <c r="N4025">
        <v>4.59</v>
      </c>
      <c r="O4025">
        <v>381000</v>
      </c>
      <c r="P4025" t="inlineStr">
        <is>
          <t>690736f684cf42000168cf6e</t>
        </is>
      </c>
      <c r="Q4025"/>
      <c r="R4025" t="inlineStr">
        <is>
          <t>15周</t>
        </is>
      </c>
      <c r="S4025" t="inlineStr">
        <is>
          <t>0.05</t>
        </is>
      </c>
      <c r="T4025" t="inlineStr">
        <is>
          <t>服饰穿搭</t>
        </is>
      </c>
      <c r="U4025" t="inlineStr">
        <is>
          <t>配饰</t>
        </is>
      </c>
      <c r="V4025" s="3">
        <v>46121.98079861111</v>
      </c>
      <c r="W4025" t="inlineStr">
        <is>
          <t>2026-Q2</t>
        </is>
      </c>
    </row>
    <row r="4026" ht="25.5" customHeight="1">
      <c r="A4026" t="inlineStr">
        <is>
          <t>着悦 · 纯汉麻薄薄的黑色直筒微阔腿简约九分裤福利品</t>
        </is>
      </c>
      <c r="B4026" t="inlineStr">
        <is>
          <t>recvgjaKncEiB0.jpg</t>
        </is>
      </c>
      <c r="C4026" s="2" t="str">
        <f>=HYPERLINK("https://xhslink.com/m/9QIvP6PRCM6", "https://xhslink.com/m/9QIvP6PRCM6")</f>
        <v>https://xhslink.com/m/9QIvP6PRCM6</v>
      </c>
      <c r="D4026"/>
      <c r="E4026">
        <v>1478</v>
      </c>
      <c r="F4026">
        <v>199</v>
      </c>
      <c r="G4026"/>
      <c r="H4026">
        <v>100</v>
      </c>
      <c r="I4026" t="inlineStr">
        <is>
          <t>配饰</t>
        </is>
      </c>
      <c r="J4026" t="inlineStr">
        <is>
          <t>0.07</t>
        </is>
      </c>
      <c r="K4026"/>
      <c r="L4026" t="inlineStr">
        <is>
          <t>着悦旗舰店</t>
        </is>
      </c>
      <c r="M4026">
        <v>38000</v>
      </c>
      <c r="N4026">
        <v>4.69</v>
      </c>
      <c r="O4026">
        <v>210000</v>
      </c>
      <c r="P4026" t="inlineStr">
        <is>
          <t>69b69b1e916f6b00013ef6e8</t>
        </is>
      </c>
      <c r="Q4026" t="inlineStr">
        <is>
          <t>🚫重复</t>
        </is>
      </c>
      <c r="R4026" t="inlineStr">
        <is>
          <t>15周</t>
        </is>
      </c>
      <c r="S4026" t="inlineStr">
        <is>
          <t>0.04</t>
        </is>
      </c>
      <c r="T4026" t="inlineStr">
        <is>
          <t>服饰穿搭</t>
        </is>
      </c>
      <c r="U4026" t="inlineStr">
        <is>
          <t>配饰</t>
        </is>
      </c>
      <c r="V4026" s="3">
        <v>46121.98079861111</v>
      </c>
      <c r="W4026" t="inlineStr">
        <is>
          <t>2026-Q2</t>
        </is>
      </c>
    </row>
    <row r="4027" ht="25.5" customHeight="1">
      <c r="A4027" t="inlineStr">
        <is>
          <t>钛灰色磨砂软壳苹果17超薄手机壳适用iPhone16proMax简约全包肤感</t>
        </is>
      </c>
      <c r="B4027" t="inlineStr">
        <is>
          <t>recvgjaKnch3XZ.jpg</t>
        </is>
      </c>
      <c r="C4027" s="2" t="str">
        <f>=HYPERLINK("https://xhslink.com/m/9Pnv3SwG5L3", "https://xhslink.com/m/9Pnv3SwG5L3")</f>
        <v>https://xhslink.com/m/9Pnv3SwG5L3</v>
      </c>
      <c r="D4027"/>
      <c r="E4027">
        <v>46000</v>
      </c>
      <c r="F4027">
        <v>11.99</v>
      </c>
      <c r="G4027"/>
      <c r="H4027">
        <v>100</v>
      </c>
      <c r="I4027" t="inlineStr">
        <is>
          <t>手机壳</t>
        </is>
      </c>
      <c r="J4027" t="inlineStr">
        <is>
          <t>0.00</t>
        </is>
      </c>
      <c r="K4027" t="inlineStr">
        <is>
          <t>🔥低粉爆款</t>
        </is>
      </c>
      <c r="L4027" t="inlineStr">
        <is>
          <t>壳颂的店</t>
        </is>
      </c>
      <c r="M4027">
        <v>1430</v>
      </c>
      <c r="N4027">
        <v>4.38</v>
      </c>
      <c r="O4027">
        <v>87000</v>
      </c>
      <c r="P4027" t="inlineStr">
        <is>
          <t>68b3c2329a1641000167b777</t>
        </is>
      </c>
      <c r="Q4027"/>
      <c r="R4027" t="inlineStr">
        <is>
          <t>15周</t>
        </is>
      </c>
      <c r="S4027" t="inlineStr">
        <is>
          <t>32.17</t>
        </is>
      </c>
      <c r="T4027" t="inlineStr">
        <is>
          <t>数码家电</t>
        </is>
      </c>
      <c r="U4027" t="inlineStr">
        <is>
          <t>数码配件</t>
        </is>
      </c>
      <c r="V4027" s="3">
        <v>46121.98079861111</v>
      </c>
      <c r="W4027" t="inlineStr">
        <is>
          <t>2026-Q2</t>
        </is>
      </c>
    </row>
    <row r="4028" ht="25.5" customHeight="1">
      <c r="A4028" t="inlineStr">
        <is>
          <t>CH3N·红骷髅iPhone17promax/16个性艺术小众手机壳苹果15保护套</t>
        </is>
      </c>
      <c r="B4028" t="inlineStr">
        <is>
          <t>recvgjaKncB0dG_fix.jpg</t>
        </is>
      </c>
      <c r="C4028" s="2" t="str">
        <f>=HYPERLINK("https://xhslink.com/m/5XGZj38Yfqm", "https://xhslink.com/m/5XGZj38Yfqm")</f>
        <v>https://xhslink.com/m/5XGZj38Yfqm</v>
      </c>
      <c r="D4028"/>
      <c r="E4028">
        <v>886</v>
      </c>
      <c r="F4028">
        <v>16.9</v>
      </c>
      <c r="G4028"/>
      <c r="H4028">
        <v>100</v>
      </c>
      <c r="I4028" t="inlineStr">
        <is>
          <t>手机壳</t>
        </is>
      </c>
      <c r="J4028" t="inlineStr">
        <is>
          <t>0.11</t>
        </is>
      </c>
      <c r="K4028"/>
      <c r="L4028" t="inlineStr">
        <is>
          <t>CH3N的店</t>
        </is>
      </c>
      <c r="M4028">
        <v>5173</v>
      </c>
      <c r="N4028">
        <v>4.48</v>
      </c>
      <c r="O4028">
        <v>22000</v>
      </c>
      <c r="P4028" t="inlineStr">
        <is>
          <t>6847c25d6d191000017834d8</t>
        </is>
      </c>
      <c r="Q4028"/>
      <c r="R4028" t="inlineStr">
        <is>
          <t>15周</t>
        </is>
      </c>
      <c r="S4028" t="inlineStr">
        <is>
          <t>0.17</t>
        </is>
      </c>
      <c r="T4028" t="inlineStr">
        <is>
          <t>数码家电</t>
        </is>
      </c>
      <c r="U4028" t="inlineStr">
        <is>
          <t>数码配件</t>
        </is>
      </c>
      <c r="V4028" s="3">
        <v>46121.98079861111</v>
      </c>
      <c r="W4028" t="inlineStr">
        <is>
          <t>2026-Q2</t>
        </is>
      </c>
    </row>
    <row r="4029" ht="25.5" customHeight="1">
      <c r="A4029" t="inlineStr">
        <is>
          <t>古蜀味道 · 四川竹叶黄粑宜宾特产糯米糕叶儿粑糍粑早餐速食</t>
        </is>
      </c>
      <c r="B4029" t="inlineStr">
        <is>
          <t>recvgjaKncFCem.jpg</t>
        </is>
      </c>
      <c r="C4029" s="2" t="str">
        <f>=HYPERLINK("https://xhslink.com/m/AdZ2QwjrBDV", "https://xhslink.com/m/AdZ2QwjrBDV")</f>
        <v>https://xhslink.com/m/AdZ2QwjrBDV</v>
      </c>
      <c r="D4029"/>
      <c r="E4029">
        <v>54000</v>
      </c>
      <c r="F4029">
        <v>9.9</v>
      </c>
      <c r="G4029"/>
      <c r="H4029">
        <v>100</v>
      </c>
      <c r="I4029" t="inlineStr">
        <is>
          <t>面包</t>
        </is>
      </c>
      <c r="J4029" t="inlineStr">
        <is>
          <t>0.00</t>
        </is>
      </c>
      <c r="K4029"/>
      <c r="L4029" t="inlineStr">
        <is>
          <t>古蜀味道旗舰店</t>
        </is>
      </c>
      <c r="M4029">
        <v>73000</v>
      </c>
      <c r="N4029">
        <v>4.53</v>
      </c>
      <c r="O4029">
        <v>262000</v>
      </c>
      <c r="P4029" t="inlineStr">
        <is>
          <t>661f605484cb560001f53749</t>
        </is>
      </c>
      <c r="Q4029"/>
      <c r="R4029" t="inlineStr">
        <is>
          <t>15周</t>
        </is>
      </c>
      <c r="S4029" t="inlineStr">
        <is>
          <t>0.74</t>
        </is>
      </c>
      <c r="T4029" t="inlineStr">
        <is>
          <t>美食滋补</t>
        </is>
      </c>
      <c r="U4029" t="inlineStr">
        <is>
          <t>休闲零食</t>
        </is>
      </c>
      <c r="V4029" s="3">
        <v>46121.98079861111</v>
      </c>
      <c r="W4029" t="inlineStr">
        <is>
          <t>2026-Q2</t>
        </is>
      </c>
    </row>
    <row r="4030" ht="25.5" customHeight="1">
      <c r="A4030" t="inlineStr">
        <is>
          <t>贵州特产网红零食麻辣味土豆片洋芋片按斤散装称原切土豆片薯片</t>
        </is>
      </c>
      <c r="B4030" t="inlineStr">
        <is>
          <t>recvgjaKnccYPP.jpg</t>
        </is>
      </c>
      <c r="C4030" s="2" t="str">
        <f>=HYPERLINK("https://xhslink.com/m/3tEILwETXJA", "https://xhslink.com/m/3tEILwETXJA")</f>
        <v>https://xhslink.com/m/3tEILwETXJA</v>
      </c>
      <c r="D4030"/>
      <c r="E4030">
        <v>6293</v>
      </c>
      <c r="F4030">
        <v>19.9</v>
      </c>
      <c r="G4030"/>
      <c r="H4030">
        <v>100</v>
      </c>
      <c r="I4030" t="inlineStr">
        <is>
          <t>面包</t>
        </is>
      </c>
      <c r="J4030" t="inlineStr">
        <is>
          <t>0.02</t>
        </is>
      </c>
      <c r="K4030"/>
      <c r="L4030" t="inlineStr">
        <is>
          <t>豆豆佳土特产的店</t>
        </is>
      </c>
      <c r="M4030">
        <v>2571</v>
      </c>
      <c r="N4030">
        <v>4.4</v>
      </c>
      <c r="O4030">
        <v>7030</v>
      </c>
      <c r="P4030" t="inlineStr">
        <is>
          <t>69afef6489705f0001c8ff1a</t>
        </is>
      </c>
      <c r="Q4030"/>
      <c r="R4030" t="inlineStr">
        <is>
          <t>15周</t>
        </is>
      </c>
      <c r="S4030" t="inlineStr">
        <is>
          <t>2.45</t>
        </is>
      </c>
      <c r="T4030" t="inlineStr">
        <is>
          <t>美食滋补</t>
        </is>
      </c>
      <c r="U4030" t="inlineStr">
        <is>
          <t>休闲零食</t>
        </is>
      </c>
      <c r="V4030" s="3">
        <v>46121.98079861111</v>
      </c>
      <c r="W4030" t="inlineStr">
        <is>
          <t>2026-Q2</t>
        </is>
      </c>
    </row>
    <row r="4031" ht="25.5" customHeight="1">
      <c r="A4031" t="inlineStr">
        <is>
          <t>金思瓜 · 2026早春~260斤可穿新升级款糯米裤女裤大码胖mm·慵懒随性有腔调</t>
        </is>
      </c>
      <c r="B4031" t="inlineStr">
        <is>
          <t>recvgjaKnczYEc.jpg</t>
        </is>
      </c>
      <c r="C4031" s="2" t="str">
        <f>=HYPERLINK("https://xhslink.com/m/1UWxWAL2Ine", "https://xhslink.com/m/1UWxWAL2Ine")</f>
        <v>https://xhslink.com/m/1UWxWAL2Ine</v>
      </c>
      <c r="D4031"/>
      <c r="E4031">
        <v>46000</v>
      </c>
      <c r="F4031">
        <v>69.9</v>
      </c>
      <c r="G4031"/>
      <c r="H4031">
        <v>100</v>
      </c>
      <c r="I4031" t="inlineStr">
        <is>
          <t>裤子</t>
        </is>
      </c>
      <c r="J4031" t="inlineStr">
        <is>
          <t>0.00</t>
        </is>
      </c>
      <c r="K4031" t="inlineStr">
        <is>
          <t>🔥低粉爆款</t>
        </is>
      </c>
      <c r="L4031" t="inlineStr">
        <is>
          <t>金思瓜女装旗舰店</t>
        </is>
      </c>
      <c r="M4031">
        <v>7025</v>
      </c>
      <c r="N4031">
        <v>4.37</v>
      </c>
      <c r="O4031">
        <v>91000</v>
      </c>
      <c r="P4031" t="inlineStr">
        <is>
          <t>673712c2ec68d70001edc8e2</t>
        </is>
      </c>
      <c r="Q4031"/>
      <c r="R4031" t="inlineStr">
        <is>
          <t>15周</t>
        </is>
      </c>
      <c r="S4031" t="inlineStr">
        <is>
          <t>6.55</t>
        </is>
      </c>
      <c r="T4031" t="inlineStr">
        <is>
          <t>服饰穿搭</t>
        </is>
      </c>
      <c r="U4031" t="inlineStr">
        <is>
          <t>女装</t>
        </is>
      </c>
      <c r="V4031" s="3">
        <v>46121.98079861111</v>
      </c>
      <c r="W4031" t="inlineStr">
        <is>
          <t>2026-Q2</t>
        </is>
      </c>
    </row>
    <row r="4032" ht="25.5" customHeight="1">
      <c r="A4032" t="inlineStr">
        <is>
          <t>【逃跑计划】小个子梨形身材高腰牛仔裤女显瘦直筒垂感宽松阔腿裤</t>
        </is>
      </c>
      <c r="B4032" t="inlineStr">
        <is>
          <t>recvgjaKncneUn.jpg</t>
        </is>
      </c>
      <c r="C4032" s="2" t="str">
        <f>=HYPERLINK("https://xhslink.com/m/26C2wxhQAte", "https://xhslink.com/m/26C2wxhQAte")</f>
        <v>https://xhslink.com/m/26C2wxhQAte</v>
      </c>
      <c r="D4032"/>
      <c r="E4032">
        <v>42000</v>
      </c>
      <c r="F4032">
        <v>89.99</v>
      </c>
      <c r="G4032"/>
      <c r="H4032">
        <v>100</v>
      </c>
      <c r="I4032" t="inlineStr">
        <is>
          <t>裤子</t>
        </is>
      </c>
      <c r="J4032" t="inlineStr">
        <is>
          <t>0.00</t>
        </is>
      </c>
      <c r="K4032"/>
      <c r="L4032" t="inlineStr">
        <is>
          <t>李空空的店</t>
        </is>
      </c>
      <c r="M4032">
        <v>103000</v>
      </c>
      <c r="N4032">
        <v>4.58</v>
      </c>
      <c r="O4032">
        <v>567000</v>
      </c>
      <c r="P4032" t="inlineStr">
        <is>
          <t>666ad210cd6d1400016f10ea</t>
        </is>
      </c>
      <c r="Q4032" t="inlineStr">
        <is>
          <t>🚫重复</t>
        </is>
      </c>
      <c r="R4032" t="inlineStr">
        <is>
          <t>15周</t>
        </is>
      </c>
      <c r="S4032" t="inlineStr">
        <is>
          <t>0.41</t>
        </is>
      </c>
      <c r="T4032" t="inlineStr">
        <is>
          <t>服饰穿搭</t>
        </is>
      </c>
      <c r="U4032" t="inlineStr">
        <is>
          <t>女装</t>
        </is>
      </c>
      <c r="V4032" s="3">
        <v>46121.98079861111</v>
      </c>
      <c r="W4032" t="inlineStr">
        <is>
          <t>2026-Q2</t>
        </is>
      </c>
    </row>
    <row r="4033" ht="25.5" customHeight="1">
      <c r="A4033" t="inlineStr">
        <is>
          <t>藏青色工装裤2026女春夏宽松直筒休闲阔腿裤</t>
        </is>
      </c>
      <c r="B4033" t="inlineStr">
        <is>
          <t>recvgjaKnc6yWZ.jpg</t>
        </is>
      </c>
      <c r="C4033" s="2" t="str">
        <f>=HYPERLINK("https://xhslink.com/m/6Cim2kwl0Lk", "https://xhslink.com/m/6Cim2kwl0Lk")</f>
        <v>https://xhslink.com/m/6Cim2kwl0Lk</v>
      </c>
      <c r="D4033"/>
      <c r="E4033">
        <v>26000</v>
      </c>
      <c r="F4033">
        <v>89.9</v>
      </c>
      <c r="G4033">
        <v>59.9</v>
      </c>
      <c r="H4033">
        <v>100</v>
      </c>
      <c r="I4033" t="inlineStr">
        <is>
          <t>裤子</t>
        </is>
      </c>
      <c r="J4033" t="inlineStr">
        <is>
          <t>0.00</t>
        </is>
      </c>
      <c r="K4033"/>
      <c r="L4033" t="inlineStr">
        <is>
          <t>夏野桃服饰的店</t>
        </is>
      </c>
      <c r="M4033">
        <v>9382</v>
      </c>
      <c r="N4033">
        <v>4.49</v>
      </c>
      <c r="O4033">
        <v>224000</v>
      </c>
      <c r="P4033" t="inlineStr">
        <is>
          <t>67f0e373beccb1001557ab2f</t>
        </is>
      </c>
      <c r="Q4033" t="inlineStr">
        <is>
          <t>🚫重复</t>
        </is>
      </c>
      <c r="R4033" t="inlineStr">
        <is>
          <t>15周</t>
        </is>
      </c>
      <c r="S4033" t="inlineStr">
        <is>
          <t>2.77</t>
        </is>
      </c>
      <c r="T4033" t="inlineStr">
        <is>
          <t>服饰穿搭</t>
        </is>
      </c>
      <c r="U4033" t="inlineStr">
        <is>
          <t>女装</t>
        </is>
      </c>
      <c r="V4033" s="3">
        <v>46121.98079861111</v>
      </c>
      <c r="W4033" t="inlineStr">
        <is>
          <t>2026-Q2</t>
        </is>
      </c>
    </row>
    <row r="4034" ht="25.5" customHeight="1">
      <c r="A4034" t="inlineStr">
        <is>
          <t>升级版复古水洗莱赛尔天丝牛仔裤2026春夏新品垂感直筒宽松阔腿裤</t>
        </is>
      </c>
      <c r="B4034" t="inlineStr">
        <is>
          <t>recvgjaKncgjq6.jpg</t>
        </is>
      </c>
      <c r="C4034" s="2" t="str">
        <f>=HYPERLINK("https://xhslink.com/m/2BrQ3U9brxR", "https://xhslink.com/m/2BrQ3U9brxR")</f>
        <v>https://xhslink.com/m/2BrQ3U9brxR</v>
      </c>
      <c r="D4034"/>
      <c r="E4034">
        <v>20000</v>
      </c>
      <c r="F4034">
        <v>89.9</v>
      </c>
      <c r="G4034">
        <v>59.9</v>
      </c>
      <c r="H4034">
        <v>100</v>
      </c>
      <c r="I4034" t="inlineStr">
        <is>
          <t>裤子</t>
        </is>
      </c>
      <c r="J4034" t="inlineStr">
        <is>
          <t>0.01</t>
        </is>
      </c>
      <c r="K4034"/>
      <c r="L4034" t="inlineStr">
        <is>
          <t>半甜吐司的店</t>
        </is>
      </c>
      <c r="M4034">
        <v>28000</v>
      </c>
      <c r="N4034">
        <v>4.53</v>
      </c>
      <c r="O4034">
        <v>517000</v>
      </c>
      <c r="P4034" t="inlineStr">
        <is>
          <t>67ce7d108deea80001017c08</t>
        </is>
      </c>
      <c r="Q4034" t="inlineStr">
        <is>
          <t>🚫重复</t>
        </is>
      </c>
      <c r="R4034" t="inlineStr">
        <is>
          <t>15周</t>
        </is>
      </c>
      <c r="S4034" t="inlineStr">
        <is>
          <t>0.71</t>
        </is>
      </c>
      <c r="T4034" t="inlineStr">
        <is>
          <t>服饰穿搭</t>
        </is>
      </c>
      <c r="U4034" t="inlineStr">
        <is>
          <t>女装</t>
        </is>
      </c>
      <c r="V4034" s="3">
        <v>46121.98079861111</v>
      </c>
      <c r="W4034" t="inlineStr">
        <is>
          <t>2026-Q2</t>
        </is>
      </c>
    </row>
    <row r="4035" ht="25.5" customHeight="1">
      <c r="A4035" t="inlineStr">
        <is>
          <t>灯泡裤！小个子春夏神裤 显瘦百搭粉色裤子白色休闲裤九分裤</t>
        </is>
      </c>
      <c r="B4035" t="inlineStr">
        <is>
          <t>recvgjaKncTVZY.jpg</t>
        </is>
      </c>
      <c r="C4035" s="2" t="str">
        <f>=HYPERLINK("https://xhslink.com/m/46FtFWtGMGt", "https://xhslink.com/m/46FtFWtGMGt")</f>
        <v>https://xhslink.com/m/46FtFWtGMGt</v>
      </c>
      <c r="D4035"/>
      <c r="E4035">
        <v>25000</v>
      </c>
      <c r="F4035">
        <v>109</v>
      </c>
      <c r="G4035">
        <v>89</v>
      </c>
      <c r="H4035">
        <v>100</v>
      </c>
      <c r="I4035" t="inlineStr">
        <is>
          <t>裤子</t>
        </is>
      </c>
      <c r="J4035" t="inlineStr">
        <is>
          <t>0.00</t>
        </is>
      </c>
      <c r="K4035"/>
      <c r="L4035" t="inlineStr">
        <is>
          <t>一沫制衣的店</t>
        </is>
      </c>
      <c r="M4035">
        <v>148000</v>
      </c>
      <c r="N4035">
        <v>4.66</v>
      </c>
      <c r="O4035">
        <v>949000</v>
      </c>
      <c r="P4035" t="inlineStr">
        <is>
          <t>67d278845339580001deba9d</t>
        </is>
      </c>
      <c r="Q4035" t="inlineStr">
        <is>
          <t>🚫重复</t>
        </is>
      </c>
      <c r="R4035" t="inlineStr">
        <is>
          <t>15周</t>
        </is>
      </c>
      <c r="S4035" t="inlineStr">
        <is>
          <t>0.17</t>
        </is>
      </c>
      <c r="T4035" t="inlineStr">
        <is>
          <t>服饰穿搭</t>
        </is>
      </c>
      <c r="U4035" t="inlineStr">
        <is>
          <t>女装</t>
        </is>
      </c>
      <c r="V4035" s="3">
        <v>46121.98079861111</v>
      </c>
      <c r="W4035" t="inlineStr">
        <is>
          <t>2026-Q2</t>
        </is>
      </c>
    </row>
    <row r="4036" ht="25.5" customHeight="1">
      <c r="A4036" t="inlineStr">
        <is>
          <t>新款黑色直筒微喇牛仔裤女辣妹弹力高腰显瘦百搭不贴腿窄版喇叭裤</t>
        </is>
      </c>
      <c r="B4036" t="inlineStr">
        <is>
          <t>recvgjaKncBWYt.jpg</t>
        </is>
      </c>
      <c r="C4036" s="2" t="str">
        <f>=HYPERLINK("https://xhslink.com/m/6ambDdTYnyq", "https://xhslink.com/m/6ambDdTYnyq")</f>
        <v>https://xhslink.com/m/6ambDdTYnyq</v>
      </c>
      <c r="D4036"/>
      <c r="E4036">
        <v>46000</v>
      </c>
      <c r="F4036">
        <v>109.9</v>
      </c>
      <c r="G4036">
        <v>89.9</v>
      </c>
      <c r="H4036">
        <v>100</v>
      </c>
      <c r="I4036" t="inlineStr">
        <is>
          <t>裤子</t>
        </is>
      </c>
      <c r="J4036" t="inlineStr">
        <is>
          <t>0.00</t>
        </is>
      </c>
      <c r="K4036" t="inlineStr">
        <is>
          <t>🔥低粉爆款</t>
        </is>
      </c>
      <c r="L4036" t="inlineStr">
        <is>
          <t>泡泡糖ootd的店</t>
        </is>
      </c>
      <c r="M4036">
        <v>6404</v>
      </c>
      <c r="N4036">
        <v>4.56</v>
      </c>
      <c r="O4036">
        <v>53000</v>
      </c>
      <c r="P4036" t="inlineStr">
        <is>
          <t>66d7f91ca71ebd0001d7eebc</t>
        </is>
      </c>
      <c r="Q4036"/>
      <c r="R4036" t="inlineStr">
        <is>
          <t>15周</t>
        </is>
      </c>
      <c r="S4036" t="inlineStr">
        <is>
          <t>7.18</t>
        </is>
      </c>
      <c r="T4036" t="inlineStr">
        <is>
          <t>服饰穿搭</t>
        </is>
      </c>
      <c r="U4036" t="inlineStr">
        <is>
          <t>女装</t>
        </is>
      </c>
      <c r="V4036" s="3">
        <v>46121.98079861111</v>
      </c>
      <c r="W4036" t="inlineStr">
        <is>
          <t>2026-Q2</t>
        </is>
      </c>
    </row>
    <row r="4037" ht="25.5" customHeight="1">
      <c r="A4037" t="inlineStr">
        <is>
          <t>【下个路口】高弹力复古爆款春夏直筒牛仔裤女2026新款显瘦窄版裤</t>
        </is>
      </c>
      <c r="B4037" t="inlineStr">
        <is>
          <t>recvgjaKncuXN9.jpg</t>
        </is>
      </c>
      <c r="C4037" s="2" t="str">
        <f>=HYPERLINK("https://xhslink.com/m/AKeqBCbabcL", "https://xhslink.com/m/AKeqBCbabcL")</f>
        <v>https://xhslink.com/m/AKeqBCbabcL</v>
      </c>
      <c r="D4037"/>
      <c r="E4037">
        <v>88000</v>
      </c>
      <c r="F4037">
        <v>89.99</v>
      </c>
      <c r="G4037"/>
      <c r="H4037">
        <v>100</v>
      </c>
      <c r="I4037" t="inlineStr">
        <is>
          <t>裤子</t>
        </is>
      </c>
      <c r="J4037" t="inlineStr">
        <is>
          <t>0.00</t>
        </is>
      </c>
      <c r="K4037"/>
      <c r="L4037" t="inlineStr">
        <is>
          <t>李空空的店</t>
        </is>
      </c>
      <c r="M4037">
        <v>103000</v>
      </c>
      <c r="N4037">
        <v>4.58</v>
      </c>
      <c r="O4037">
        <v>567000</v>
      </c>
      <c r="P4037" t="inlineStr">
        <is>
          <t>653bd8fc44c20200010a0f81</t>
        </is>
      </c>
      <c r="Q4037" t="inlineStr">
        <is>
          <t>🚫重复</t>
        </is>
      </c>
      <c r="R4037" t="inlineStr">
        <is>
          <t>15周</t>
        </is>
      </c>
      <c r="S4037" t="inlineStr">
        <is>
          <t>0.85</t>
        </is>
      </c>
      <c r="T4037" t="inlineStr">
        <is>
          <t>服饰穿搭</t>
        </is>
      </c>
      <c r="U4037" t="inlineStr">
        <is>
          <t>女装</t>
        </is>
      </c>
      <c r="V4037" s="3">
        <v>46121.98079861111</v>
      </c>
      <c r="W4037" t="inlineStr">
        <is>
          <t>2026-Q2</t>
        </is>
      </c>
    </row>
    <row r="4038" ht="25.5" customHeight="1">
      <c r="A4038" t="inlineStr">
        <is>
          <t>11.3高弹力修身加绒百搭小黑裤垂感显瘦休闲直筒喇叭裤C955251</t>
        </is>
      </c>
      <c r="B4038" t="inlineStr">
        <is>
          <t>recvgjaKncOsAk.jpg</t>
        </is>
      </c>
      <c r="C4038" s="2" t="str">
        <f>=HYPERLINK("https://xhslink.com/m/20hZ5UBVIvx", "https://xhslink.com/m/20hZ5UBVIvx")</f>
        <v>https://xhslink.com/m/20hZ5UBVIvx</v>
      </c>
      <c r="D4038"/>
      <c r="E4038">
        <v>28000</v>
      </c>
      <c r="F4038">
        <v>53</v>
      </c>
      <c r="G4038"/>
      <c r="H4038">
        <v>100</v>
      </c>
      <c r="I4038" t="inlineStr">
        <is>
          <t>裤子</t>
        </is>
      </c>
      <c r="J4038" t="inlineStr">
        <is>
          <t>0.00</t>
        </is>
      </c>
      <c r="K4038"/>
      <c r="L4038" t="inlineStr">
        <is>
          <t>裂诺888的店</t>
        </is>
      </c>
      <c r="M4038">
        <v>29000</v>
      </c>
      <c r="N4038">
        <v>4.63</v>
      </c>
      <c r="O4038">
        <v>168000</v>
      </c>
      <c r="P4038" t="inlineStr">
        <is>
          <t>6964f85ac9a34f000178979f</t>
        </is>
      </c>
      <c r="Q4038" t="inlineStr">
        <is>
          <t>🚫重复</t>
        </is>
      </c>
      <c r="R4038" t="inlineStr">
        <is>
          <t>15周</t>
        </is>
      </c>
      <c r="S4038" t="inlineStr">
        <is>
          <t>0.97</t>
        </is>
      </c>
      <c r="T4038" t="inlineStr">
        <is>
          <t>服饰穿搭</t>
        </is>
      </c>
      <c r="U4038" t="inlineStr">
        <is>
          <t>女装</t>
        </is>
      </c>
      <c r="V4038" s="3">
        <v>46121.98079861111</v>
      </c>
      <c r="W4038" t="inlineStr">
        <is>
          <t>2026-Q2</t>
        </is>
      </c>
    </row>
    <row r="4039" ht="25.5" customHeight="1">
      <c r="A4039" t="inlineStr">
        <is>
          <t>SIINSIIN · 窄版垂感加绒直筒裤6.0pro女春季运动休闲裤白色新款显瘦小个子</t>
        </is>
      </c>
      <c r="B4039" t="inlineStr">
        <is>
          <t>recvgjaKncT7yz.jpg</t>
        </is>
      </c>
      <c r="C4039" s="2" t="str">
        <f>=HYPERLINK("https://xhslink.com/m/51gXQQiveM9", "https://xhslink.com/m/51gXQQiveM9")</f>
        <v>https://xhslink.com/m/51gXQQiveM9</v>
      </c>
      <c r="D4039"/>
      <c r="E4039">
        <v>36000</v>
      </c>
      <c r="F4039">
        <v>299.9</v>
      </c>
      <c r="G4039">
        <v>199.9</v>
      </c>
      <c r="H4039">
        <v>100</v>
      </c>
      <c r="I4039" t="inlineStr">
        <is>
          <t>裤子</t>
        </is>
      </c>
      <c r="J4039" t="inlineStr">
        <is>
          <t>0.00</t>
        </is>
      </c>
      <c r="K4039"/>
      <c r="L4039" t="inlineStr">
        <is>
          <t>SIINSIIN女装穿搭专卖店</t>
        </is>
      </c>
      <c r="M4039">
        <v>32000</v>
      </c>
      <c r="N4039">
        <v>4.72</v>
      </c>
      <c r="O4039">
        <v>458000</v>
      </c>
      <c r="P4039" t="inlineStr">
        <is>
          <t>680f4bf83366f10001677388</t>
        </is>
      </c>
      <c r="Q4039" t="inlineStr">
        <is>
          <t>🚫重复</t>
        </is>
      </c>
      <c r="R4039" t="inlineStr">
        <is>
          <t>15周</t>
        </is>
      </c>
      <c r="S4039" t="inlineStr">
        <is>
          <t>1.12</t>
        </is>
      </c>
      <c r="T4039" t="inlineStr">
        <is>
          <t>服饰穿搭</t>
        </is>
      </c>
      <c r="U4039" t="inlineStr">
        <is>
          <t>女装</t>
        </is>
      </c>
      <c r="V4039" s="3">
        <v>46121.98079861111</v>
      </c>
      <c r="W4039" t="inlineStr">
        <is>
          <t>2026-Q2</t>
        </is>
      </c>
    </row>
    <row r="4040" ht="25.5" customHeight="1">
      <c r="A4040" t="inlineStr">
        <is>
          <t>&lt;牛仔1&gt; 复古 做旧 低腰 拖地 微喇 弹力 不贴腿牛仔裤</t>
        </is>
      </c>
      <c r="B4040" t="inlineStr">
        <is>
          <t>recvgjaKncHXwR.jpg</t>
        </is>
      </c>
      <c r="C4040" s="2" t="str">
        <f>=HYPERLINK("https://xhslink.com/m/vgO3fuLPv5", "https://xhslink.com/m/vgO3fuLPv5")</f>
        <v>https://xhslink.com/m/vgO3fuLPv5</v>
      </c>
      <c r="D4040"/>
      <c r="E4040">
        <v>24000</v>
      </c>
      <c r="F4040">
        <v>139</v>
      </c>
      <c r="G4040">
        <v>119</v>
      </c>
      <c r="H4040">
        <v>100</v>
      </c>
      <c r="I4040" t="inlineStr">
        <is>
          <t>裤子</t>
        </is>
      </c>
      <c r="J4040" t="inlineStr">
        <is>
          <t>0.00</t>
        </is>
      </c>
      <c r="K4040" t="inlineStr">
        <is>
          <t>🔥低粉爆款</t>
        </is>
      </c>
      <c r="L4040" t="inlineStr">
        <is>
          <t>茉莉乳酪麻薯条的店</t>
        </is>
      </c>
      <c r="M4040">
        <v>1601</v>
      </c>
      <c r="N4040">
        <v>4.61</v>
      </c>
      <c r="O4040">
        <v>25000</v>
      </c>
      <c r="P4040" t="inlineStr">
        <is>
          <t>65436769eac06d0001e077ae</t>
        </is>
      </c>
      <c r="Q4040" t="inlineStr">
        <is>
          <t>🚫重复</t>
        </is>
      </c>
      <c r="R4040" t="inlineStr">
        <is>
          <t>15周</t>
        </is>
      </c>
      <c r="S4040" t="inlineStr">
        <is>
          <t>14.99</t>
        </is>
      </c>
      <c r="T4040" t="inlineStr">
        <is>
          <t>服饰穿搭</t>
        </is>
      </c>
      <c r="U4040" t="inlineStr">
        <is>
          <t>女装</t>
        </is>
      </c>
      <c r="V4040" s="3">
        <v>46121.98079861111</v>
      </c>
      <c r="W4040" t="inlineStr">
        <is>
          <t>2026-Q2</t>
        </is>
      </c>
    </row>
    <row r="4041" ht="25.5" customHeight="1">
      <c r="A4041" t="inlineStr">
        <is>
          <t>【镇店阔腿裤】基础款百搭白色裤子黑裤子，高腰显瘦休闲风牛仔裤</t>
        </is>
      </c>
      <c r="B4041" t="inlineStr">
        <is>
          <t>recvgjaKnc4H79.jpg</t>
        </is>
      </c>
      <c r="C4041" s="2" t="str">
        <f>=HYPERLINK("https://xhslink.com/m/AbhBd6iWHd0", "https://xhslink.com/m/AbhBd6iWHd0")</f>
        <v>https://xhslink.com/m/AbhBd6iWHd0</v>
      </c>
      <c r="D4041"/>
      <c r="E4041">
        <v>21000</v>
      </c>
      <c r="F4041">
        <v>119</v>
      </c>
      <c r="G4041"/>
      <c r="H4041">
        <v>100</v>
      </c>
      <c r="I4041" t="inlineStr">
        <is>
          <t>裤子</t>
        </is>
      </c>
      <c r="J4041" t="inlineStr">
        <is>
          <t>0.00</t>
        </is>
      </c>
      <c r="K4041" t="inlineStr">
        <is>
          <t>🔥低粉爆款</t>
        </is>
      </c>
      <c r="L4041" t="inlineStr">
        <is>
          <t>林粒粒的店</t>
        </is>
      </c>
      <c r="M4041">
        <v>6634</v>
      </c>
      <c r="N4041">
        <v>4.54</v>
      </c>
      <c r="O4041">
        <v>25000</v>
      </c>
      <c r="P4041" t="inlineStr">
        <is>
          <t>66d61aba98027b000193dec7</t>
        </is>
      </c>
      <c r="Q4041" t="inlineStr">
        <is>
          <t>🚫重复</t>
        </is>
      </c>
      <c r="R4041" t="inlineStr">
        <is>
          <t>15周</t>
        </is>
      </c>
      <c r="S4041" t="inlineStr">
        <is>
          <t>3.17</t>
        </is>
      </c>
      <c r="T4041" t="inlineStr">
        <is>
          <t>服饰穿搭</t>
        </is>
      </c>
      <c r="U4041" t="inlineStr">
        <is>
          <t>女装</t>
        </is>
      </c>
      <c r="V4041" s="3">
        <v>46121.98079861111</v>
      </c>
      <c r="W4041" t="inlineStr">
        <is>
          <t>2026-Q2</t>
        </is>
      </c>
    </row>
    <row r="4042" ht="25.5" customHeight="1">
      <c r="A4042" t="inlineStr">
        <is>
          <t>浅蓝色微喇牛仔裤女2026春夏新款中低腰宽松显瘦百搭弹力喇叭裤子</t>
        </is>
      </c>
      <c r="B4042" t="inlineStr">
        <is>
          <t>recvgjaKnc77xW.jpg</t>
        </is>
      </c>
      <c r="C4042" s="2" t="str">
        <f>=HYPERLINK("https://xhslink.com/m/59LqAlWRQic", "https://xhslink.com/m/59LqAlWRQic")</f>
        <v>https://xhslink.com/m/59LqAlWRQic</v>
      </c>
      <c r="D4042"/>
      <c r="E4042">
        <v>15000</v>
      </c>
      <c r="F4042">
        <v>109</v>
      </c>
      <c r="G4042">
        <v>78</v>
      </c>
      <c r="H4042">
        <v>100</v>
      </c>
      <c r="I4042" t="inlineStr">
        <is>
          <t>裤子</t>
        </is>
      </c>
      <c r="J4042" t="inlineStr">
        <is>
          <t>0.01</t>
        </is>
      </c>
      <c r="K4042"/>
      <c r="L4042" t="inlineStr">
        <is>
          <t>圈圈不转圈⭕的店</t>
        </is>
      </c>
      <c r="M4042">
        <v>33000</v>
      </c>
      <c r="N4042">
        <v>4.45</v>
      </c>
      <c r="O4042">
        <v>250000</v>
      </c>
      <c r="P4042" t="inlineStr">
        <is>
          <t>67f4ea09ab6a3e0001e71e61</t>
        </is>
      </c>
      <c r="Q4042" t="inlineStr">
        <is>
          <t>🚫重复</t>
        </is>
      </c>
      <c r="R4042" t="inlineStr">
        <is>
          <t>15周</t>
        </is>
      </c>
      <c r="S4042" t="inlineStr">
        <is>
          <t>0.45</t>
        </is>
      </c>
      <c r="T4042" t="inlineStr">
        <is>
          <t>服饰穿搭</t>
        </is>
      </c>
      <c r="U4042" t="inlineStr">
        <is>
          <t>女装</t>
        </is>
      </c>
      <c r="V4042" s="3">
        <v>46121.98079861111</v>
      </c>
      <c r="W4042" t="inlineStr">
        <is>
          <t>2026-Q2</t>
        </is>
      </c>
    </row>
    <row r="4043" ht="25.5" customHeight="1">
      <c r="A4043" t="inlineStr">
        <is>
          <t>高级百搭垂感阔腿裤女薄绒高腰宽松显瘦慵懒风直筒休闲裤</t>
        </is>
      </c>
      <c r="B4043" t="inlineStr">
        <is>
          <t>recvgjaKnc1IT1.jpg</t>
        </is>
      </c>
      <c r="C4043" s="2" t="str">
        <f>=HYPERLINK("https://xhslink.com/m/4ybFgsoKdkG", "https://xhslink.com/m/4ybFgsoKdkG")</f>
        <v>https://xhslink.com/m/4ybFgsoKdkG</v>
      </c>
      <c r="D4043"/>
      <c r="E4043">
        <v>45000</v>
      </c>
      <c r="F4043">
        <v>169</v>
      </c>
      <c r="G4043">
        <v>139</v>
      </c>
      <c r="H4043">
        <v>100</v>
      </c>
      <c r="I4043" t="inlineStr">
        <is>
          <t>裤子</t>
        </is>
      </c>
      <c r="J4043" t="inlineStr">
        <is>
          <t>0.00</t>
        </is>
      </c>
      <c r="K4043"/>
      <c r="L4043" t="inlineStr">
        <is>
          <t>李姐万岁的店</t>
        </is>
      </c>
      <c r="M4043">
        <v>283000</v>
      </c>
      <c r="N4043">
        <v>4.77</v>
      </c>
      <c r="O4043">
        <v>1283000</v>
      </c>
      <c r="P4043" t="inlineStr">
        <is>
          <t>69747653b828e40001bd72c3</t>
        </is>
      </c>
      <c r="Q4043" t="inlineStr">
        <is>
          <t>🚫重复</t>
        </is>
      </c>
      <c r="R4043" t="inlineStr">
        <is>
          <t>15周</t>
        </is>
      </c>
      <c r="S4043" t="inlineStr">
        <is>
          <t>0.16</t>
        </is>
      </c>
      <c r="T4043" t="inlineStr">
        <is>
          <t>服饰穿搭</t>
        </is>
      </c>
      <c r="U4043" t="inlineStr">
        <is>
          <t>女装</t>
        </is>
      </c>
      <c r="V4043" s="3">
        <v>46121.98079861111</v>
      </c>
      <c r="W4043" t="inlineStr">
        <is>
          <t>2026-Q2</t>
        </is>
      </c>
    </row>
    <row r="4044" ht="25.5" customHeight="1">
      <c r="A4044" t="inlineStr">
        <is>
          <t>黑色微喇牛仔裤女2026 春季新款高腰宽松显瘦弹力不贴腿喇叭裤</t>
        </is>
      </c>
      <c r="B4044" t="inlineStr">
        <is>
          <t>recvgjaKnc1a2J.jpg</t>
        </is>
      </c>
      <c r="C4044" s="2" t="str">
        <f>=HYPERLINK("https://xhslink.com/m/35F9nr9u7zm", "https://xhslink.com/m/35F9nr9u7zm")</f>
        <v>https://xhslink.com/m/35F9nr9u7zm</v>
      </c>
      <c r="D4044"/>
      <c r="E4044">
        <v>17000</v>
      </c>
      <c r="F4044">
        <v>88</v>
      </c>
      <c r="G4044"/>
      <c r="H4044">
        <v>100</v>
      </c>
      <c r="I4044" t="inlineStr">
        <is>
          <t>裤子</t>
        </is>
      </c>
      <c r="J4044" t="inlineStr">
        <is>
          <t>0.01</t>
        </is>
      </c>
      <c r="K4044" t="inlineStr">
        <is>
          <t>🔥低粉爆款</t>
        </is>
      </c>
      <c r="L4044" t="inlineStr">
        <is>
          <t>小菜耶的店</t>
        </is>
      </c>
      <c r="M4044">
        <v>4435</v>
      </c>
      <c r="N4044">
        <v>4.63</v>
      </c>
      <c r="O4044">
        <v>53000</v>
      </c>
      <c r="P4044" t="inlineStr">
        <is>
          <t>673c7c374f0ec7000130ebb8</t>
        </is>
      </c>
      <c r="Q4044" t="inlineStr">
        <is>
          <t>🚫重复</t>
        </is>
      </c>
      <c r="R4044" t="inlineStr">
        <is>
          <t>15周</t>
        </is>
      </c>
      <c r="S4044" t="inlineStr">
        <is>
          <t>3.83</t>
        </is>
      </c>
      <c r="T4044" t="inlineStr">
        <is>
          <t>服饰穿搭</t>
        </is>
      </c>
      <c r="U4044" t="inlineStr">
        <is>
          <t>女装</t>
        </is>
      </c>
      <c r="V4044" s="3">
        <v>46121.98079861111</v>
      </c>
      <c r="W4044" t="inlineStr">
        <is>
          <t>2026-Q2</t>
        </is>
      </c>
    </row>
    <row r="4045" ht="25.5" customHeight="1">
      <c r="A4045" t="inlineStr">
        <is>
          <t>【镇店神裤】蓝色梨形入春神裤修饰腿型遮胯窄版阔腿直筒牛仔裤女</t>
        </is>
      </c>
      <c r="B4045" t="inlineStr">
        <is>
          <t>recvgjaKncyWRz.jpg</t>
        </is>
      </c>
      <c r="C4045" s="2" t="str">
        <f>=HYPERLINK("https://xhslink.com/m/1OpEXuGws0J", "https://xhslink.com/m/1OpEXuGws0J")</f>
        <v>https://xhslink.com/m/1OpEXuGws0J</v>
      </c>
      <c r="D4045"/>
      <c r="E4045">
        <v>30000</v>
      </c>
      <c r="F4045">
        <v>199</v>
      </c>
      <c r="G4045">
        <v>179</v>
      </c>
      <c r="H4045">
        <v>100</v>
      </c>
      <c r="I4045" t="inlineStr">
        <is>
          <t>裤子</t>
        </is>
      </c>
      <c r="J4045" t="inlineStr">
        <is>
          <t>0.00</t>
        </is>
      </c>
      <c r="K4045" t="inlineStr">
        <is>
          <t>🔥低粉爆款</t>
        </is>
      </c>
      <c r="L4045" t="inlineStr">
        <is>
          <t>BLACKKUKU高定牛仔的店</t>
        </is>
      </c>
      <c r="M4045">
        <v>4300</v>
      </c>
      <c r="N4045">
        <v>4.54</v>
      </c>
      <c r="O4045">
        <v>41000</v>
      </c>
      <c r="P4045" t="inlineStr">
        <is>
          <t>65dc510b64e46f000186081d</t>
        </is>
      </c>
      <c r="Q4045" t="inlineStr">
        <is>
          <t>🚫重复</t>
        </is>
      </c>
      <c r="R4045" t="inlineStr">
        <is>
          <t>15周</t>
        </is>
      </c>
      <c r="S4045" t="inlineStr">
        <is>
          <t>6.98</t>
        </is>
      </c>
      <c r="T4045" t="inlineStr">
        <is>
          <t>服饰穿搭</t>
        </is>
      </c>
      <c r="U4045" t="inlineStr">
        <is>
          <t>女装</t>
        </is>
      </c>
      <c r="V4045" s="3">
        <v>46121.98079861111</v>
      </c>
      <c r="W4045" t="inlineStr">
        <is>
          <t>2026-Q2</t>
        </is>
      </c>
    </row>
    <row r="4046" ht="25.5" customHeight="1">
      <c r="A4046" t="inlineStr">
        <is>
          <t>【女团打造】原创自由式丰胯 无敌辣妹低腰微喇牛仔裤</t>
        </is>
      </c>
      <c r="B4046" t="inlineStr">
        <is>
          <t>recvgjaKncn2KD.jpg</t>
        </is>
      </c>
      <c r="C4046" s="2" t="str">
        <f>=HYPERLINK("https://xhslink.com/m/4YWV8I7FDDk", "https://xhslink.com/m/4YWV8I7FDDk")</f>
        <v>https://xhslink.com/m/4YWV8I7FDDk</v>
      </c>
      <c r="D4046"/>
      <c r="E4046">
        <v>12000</v>
      </c>
      <c r="F4046">
        <v>199</v>
      </c>
      <c r="G4046"/>
      <c r="H4046">
        <v>100</v>
      </c>
      <c r="I4046" t="inlineStr">
        <is>
          <t>裤子</t>
        </is>
      </c>
      <c r="J4046" t="inlineStr">
        <is>
          <t>0.01</t>
        </is>
      </c>
      <c r="K4046"/>
      <c r="L4046" t="inlineStr">
        <is>
          <t>行行好Haveaheart的店</t>
        </is>
      </c>
      <c r="M4046">
        <v>70000</v>
      </c>
      <c r="N4046">
        <v>4.59</v>
      </c>
      <c r="O4046">
        <v>87000</v>
      </c>
      <c r="P4046" t="inlineStr">
        <is>
          <t>66ea9929280d740001667f95</t>
        </is>
      </c>
      <c r="Q4046" t="inlineStr">
        <is>
          <t>🚫重复</t>
        </is>
      </c>
      <c r="R4046" t="inlineStr">
        <is>
          <t>15周</t>
        </is>
      </c>
      <c r="S4046" t="inlineStr">
        <is>
          <t>0.17</t>
        </is>
      </c>
      <c r="T4046" t="inlineStr">
        <is>
          <t>服饰穿搭</t>
        </is>
      </c>
      <c r="U4046" t="inlineStr">
        <is>
          <t>女装</t>
        </is>
      </c>
      <c r="V4046" s="3">
        <v>46121.98079861111</v>
      </c>
      <c r="W4046" t="inlineStr">
        <is>
          <t>2026-Q2</t>
        </is>
      </c>
    </row>
    <row r="4047" ht="25.5" customHeight="1">
      <c r="A4047" t="inlineStr">
        <is>
          <t>实穿主义九分喇叭裤（弹力好）</t>
        </is>
      </c>
      <c r="B4047" t="inlineStr">
        <is>
          <t>recvgjaKncCZgq.jpg</t>
        </is>
      </c>
      <c r="C4047" s="2" t="str">
        <f>=HYPERLINK("https://xhslink.com/m/6ephRhj1n1f", "https://xhslink.com/m/6ephRhj1n1f")</f>
        <v>https://xhslink.com/m/6ephRhj1n1f</v>
      </c>
      <c r="D4047"/>
      <c r="E4047">
        <v>23000</v>
      </c>
      <c r="F4047">
        <v>178</v>
      </c>
      <c r="G4047"/>
      <c r="H4047">
        <v>100</v>
      </c>
      <c r="I4047" t="inlineStr">
        <is>
          <t>裤子</t>
        </is>
      </c>
      <c r="J4047" t="inlineStr">
        <is>
          <t>0.00</t>
        </is>
      </c>
      <c r="K4047" t="inlineStr">
        <is>
          <t>🔥低粉爆款</t>
        </is>
      </c>
      <c r="L4047" t="inlineStr">
        <is>
          <t>玛嘉烈的店</t>
        </is>
      </c>
      <c r="M4047">
        <v>7646</v>
      </c>
      <c r="N4047">
        <v>4.61</v>
      </c>
      <c r="O4047">
        <v>35000</v>
      </c>
      <c r="P4047" t="inlineStr">
        <is>
          <t>66c9963df611260001860459</t>
        </is>
      </c>
      <c r="Q4047" t="inlineStr">
        <is>
          <t>🚫重复</t>
        </is>
      </c>
      <c r="R4047" t="inlineStr">
        <is>
          <t>15周</t>
        </is>
      </c>
      <c r="S4047" t="inlineStr">
        <is>
          <t>3.01</t>
        </is>
      </c>
      <c r="T4047" t="inlineStr">
        <is>
          <t>服饰穿搭</t>
        </is>
      </c>
      <c r="U4047" t="inlineStr">
        <is>
          <t>女装</t>
        </is>
      </c>
      <c r="V4047" s="3">
        <v>46121.98079861111</v>
      </c>
      <c r="W4047" t="inlineStr">
        <is>
          <t>2026-Q2</t>
        </is>
      </c>
    </row>
    <row r="4048" ht="25.5" customHeight="1">
      <c r="A4048" t="inlineStr">
        <is>
          <t>运动裤女秋冬2026新款香蕉镰刀宽松裤加长高个阔腿裤百搭两穿卫裤</t>
        </is>
      </c>
      <c r="B4048" t="inlineStr">
        <is>
          <t>recvgjaKnc2miQ.jpg</t>
        </is>
      </c>
      <c r="C4048" s="2" t="str">
        <f>=HYPERLINK("https://xhslink.com/m/ykwW7GNK2n", "https://xhslink.com/m/ykwW7GNK2n")</f>
        <v>https://xhslink.com/m/ykwW7GNK2n</v>
      </c>
      <c r="D4048"/>
      <c r="E4048">
        <v>26000</v>
      </c>
      <c r="F4048">
        <v>75.9</v>
      </c>
      <c r="G4048">
        <v>65.9</v>
      </c>
      <c r="H4048">
        <v>100</v>
      </c>
      <c r="I4048" t="inlineStr">
        <is>
          <t>裤子</t>
        </is>
      </c>
      <c r="J4048" t="inlineStr">
        <is>
          <t>0.00</t>
        </is>
      </c>
      <c r="K4048"/>
      <c r="L4048" t="inlineStr">
        <is>
          <t>王百万的羊的店</t>
        </is>
      </c>
      <c r="M4048">
        <v>16000</v>
      </c>
      <c r="N4048">
        <v>4.59</v>
      </c>
      <c r="O4048">
        <v>141000</v>
      </c>
      <c r="P4048" t="inlineStr">
        <is>
          <t>67aeea58c3cf0a00019aac9e</t>
        </is>
      </c>
      <c r="Q4048"/>
      <c r="R4048" t="inlineStr">
        <is>
          <t>15周</t>
        </is>
      </c>
      <c r="S4048" t="inlineStr">
        <is>
          <t>1.62</t>
        </is>
      </c>
      <c r="T4048" t="inlineStr">
        <is>
          <t>服饰穿搭</t>
        </is>
      </c>
      <c r="U4048" t="inlineStr">
        <is>
          <t>女装</t>
        </is>
      </c>
      <c r="V4048" s="3">
        <v>46121.98079861111</v>
      </c>
      <c r="W4048" t="inlineStr">
        <is>
          <t>2026-Q2</t>
        </is>
      </c>
    </row>
    <row r="4049" ht="25.5" customHeight="1">
      <c r="A4049" t="inlineStr">
        <is>
          <t>【前2W单立减53送配饰】复古工装裤男女同款春夏显瘦休闲阔腿裤</t>
        </is>
      </c>
      <c r="B4049" t="inlineStr">
        <is>
          <t>recvgjaKnc2DM2.jpg</t>
        </is>
      </c>
      <c r="C4049" s="2" t="str">
        <f>=HYPERLINK("https://xhslink.com/m/AOoWctdY1gk", "https://xhslink.com/m/AOoWctdY1gk")</f>
        <v>https://xhslink.com/m/AOoWctdY1gk</v>
      </c>
      <c r="D4049"/>
      <c r="E4049">
        <v>10000</v>
      </c>
      <c r="F4049">
        <v>235</v>
      </c>
      <c r="G4049">
        <v>158.5</v>
      </c>
      <c r="H4049">
        <v>100</v>
      </c>
      <c r="I4049" t="inlineStr">
        <is>
          <t>裤子</t>
        </is>
      </c>
      <c r="J4049" t="inlineStr">
        <is>
          <t>0.01</t>
        </is>
      </c>
      <c r="K4049" t="inlineStr">
        <is>
          <t>🔥低粉爆款</t>
        </is>
      </c>
      <c r="L4049" t="inlineStr">
        <is>
          <t>芒果阿月的店</t>
        </is>
      </c>
      <c r="M4049">
        <v>1694</v>
      </c>
      <c r="N4049">
        <v>4.63</v>
      </c>
      <c r="O4049">
        <v>26000</v>
      </c>
      <c r="P4049" t="inlineStr">
        <is>
          <t>67dd7504e317a300016d5db7</t>
        </is>
      </c>
      <c r="Q4049"/>
      <c r="R4049" t="inlineStr">
        <is>
          <t>15周</t>
        </is>
      </c>
      <c r="S4049" t="inlineStr">
        <is>
          <t>5.90</t>
        </is>
      </c>
      <c r="T4049" t="inlineStr">
        <is>
          <t>服饰穿搭</t>
        </is>
      </c>
      <c r="U4049" t="inlineStr">
        <is>
          <t>女装</t>
        </is>
      </c>
      <c r="V4049" s="3">
        <v>46121.98079861111</v>
      </c>
      <c r="W4049" t="inlineStr">
        <is>
          <t>2026-Q2</t>
        </is>
      </c>
    </row>
    <row r="4050" ht="25.5" customHeight="1">
      <c r="A4050" t="inlineStr">
        <is>
          <t>自留推荐！！螺纹裤和空气裤都有 显瘦显腿长直筒裤</t>
        </is>
      </c>
      <c r="B4050" t="inlineStr">
        <is>
          <t>recvgjaKncItI2.jpg</t>
        </is>
      </c>
      <c r="C4050" s="2" t="str">
        <f>=HYPERLINK("https://xhslink.com/m/5kCnSzVQVil", "https://xhslink.com/m/5kCnSzVQVil")</f>
        <v>https://xhslink.com/m/5kCnSzVQVil</v>
      </c>
      <c r="D4050"/>
      <c r="E4050">
        <v>33000</v>
      </c>
      <c r="F4050">
        <v>288</v>
      </c>
      <c r="G4050">
        <v>238</v>
      </c>
      <c r="H4050">
        <v>100</v>
      </c>
      <c r="I4050" t="inlineStr">
        <is>
          <t>裤子</t>
        </is>
      </c>
      <c r="J4050" t="inlineStr">
        <is>
          <t>0.00</t>
        </is>
      </c>
      <c r="K4050" t="inlineStr">
        <is>
          <t>🔥低粉爆款</t>
        </is>
      </c>
      <c r="L4050" t="inlineStr">
        <is>
          <t>一只胖胖小橘的店</t>
        </is>
      </c>
      <c r="M4050">
        <v>5219</v>
      </c>
      <c r="N4050">
        <v>4.75</v>
      </c>
      <c r="O4050">
        <v>73000</v>
      </c>
      <c r="P4050" t="inlineStr">
        <is>
          <t>65111873690158000125523a</t>
        </is>
      </c>
      <c r="Q4050" t="inlineStr">
        <is>
          <t>🚫重复</t>
        </is>
      </c>
      <c r="R4050" t="inlineStr">
        <is>
          <t>15周</t>
        </is>
      </c>
      <c r="S4050" t="inlineStr">
        <is>
          <t>6.32</t>
        </is>
      </c>
      <c r="T4050" t="inlineStr">
        <is>
          <t>服饰穿搭</t>
        </is>
      </c>
      <c r="U4050" t="inlineStr">
        <is>
          <t>女装</t>
        </is>
      </c>
      <c r="V4050" s="3">
        <v>46121.98079861111</v>
      </c>
      <c r="W4050" t="inlineStr">
        <is>
          <t>2026-Q2</t>
        </is>
      </c>
    </row>
    <row r="4051" ht="25.5" customHeight="1">
      <c r="A4051" t="inlineStr">
        <is>
          <t>言装 · 2026早春款新品海湾蓝【筒叭裤】四面弹牛仔裤女高腰显高显瘦</t>
        </is>
      </c>
      <c r="B4051" t="inlineStr">
        <is>
          <t>recvgjaKncxbpD.jpg</t>
        </is>
      </c>
      <c r="C4051" s="2" t="str">
        <f>=HYPERLINK("https://xhslink.com/m/AAHoLAGPcSm", "https://xhslink.com/m/AAHoLAGPcSm")</f>
        <v>https://xhslink.com/m/AAHoLAGPcSm</v>
      </c>
      <c r="D4051"/>
      <c r="E4051">
        <v>13000</v>
      </c>
      <c r="F4051">
        <v>159.9</v>
      </c>
      <c r="G4051"/>
      <c r="H4051">
        <v>100</v>
      </c>
      <c r="I4051" t="inlineStr">
        <is>
          <t>裤子</t>
        </is>
      </c>
      <c r="J4051" t="inlineStr">
        <is>
          <t>0.01</t>
        </is>
      </c>
      <c r="K4051"/>
      <c r="L4051" t="inlineStr">
        <is>
          <t>言装女装旗舰店</t>
        </is>
      </c>
      <c r="M4051">
        <v>32000</v>
      </c>
      <c r="N4051">
        <v>4.45</v>
      </c>
      <c r="O4051">
        <v>65000</v>
      </c>
      <c r="P4051" t="inlineStr">
        <is>
          <t>68b7b4650d3d62000124927f</t>
        </is>
      </c>
      <c r="Q4051"/>
      <c r="R4051" t="inlineStr">
        <is>
          <t>15周</t>
        </is>
      </c>
      <c r="S4051" t="inlineStr">
        <is>
          <t>0.41</t>
        </is>
      </c>
      <c r="T4051" t="inlineStr">
        <is>
          <t>服饰穿搭</t>
        </is>
      </c>
      <c r="U4051" t="inlineStr">
        <is>
          <t>女装</t>
        </is>
      </c>
      <c r="V4051" s="3">
        <v>46121.98079861111</v>
      </c>
      <c r="W4051" t="inlineStr">
        <is>
          <t>2026-Q2</t>
        </is>
      </c>
    </row>
    <row r="4052" ht="25.5" customHeight="1">
      <c r="A4052" t="inlineStr">
        <is>
          <t>蓝色夏季薄款窄版直筒修饰腿型牛仔裤Z03035四色小个子/常规/加长</t>
        </is>
      </c>
      <c r="B4052" t="inlineStr">
        <is>
          <t>recvgjaKncGyRm.jpg</t>
        </is>
      </c>
      <c r="C4052" s="2" t="str">
        <f>=HYPERLINK("https://xhslink.com/m/7nFXOUeuUB8", "https://xhslink.com/m/7nFXOUeuUB8")</f>
        <v>https://xhslink.com/m/7nFXOUeuUB8</v>
      </c>
      <c r="D4052"/>
      <c r="E4052">
        <v>4530</v>
      </c>
      <c r="F4052">
        <v>279</v>
      </c>
      <c r="G4052"/>
      <c r="H4052">
        <v>100</v>
      </c>
      <c r="I4052" t="inlineStr">
        <is>
          <t>裤子</t>
        </is>
      </c>
      <c r="J4052" t="inlineStr">
        <is>
          <t>0.02</t>
        </is>
      </c>
      <c r="K4052" t="inlineStr">
        <is>
          <t>🔥低粉爆款</t>
        </is>
      </c>
      <c r="L4052" t="inlineStr">
        <is>
          <t>ZNVZ的店</t>
        </is>
      </c>
      <c r="M4052">
        <v>1051</v>
      </c>
      <c r="N4052">
        <v>4.53</v>
      </c>
      <c r="O4052">
        <v>6058</v>
      </c>
      <c r="P4052" t="inlineStr">
        <is>
          <t>692fe87201312b0001bee0cd</t>
        </is>
      </c>
      <c r="Q4052"/>
      <c r="R4052" t="inlineStr">
        <is>
          <t>15周</t>
        </is>
      </c>
      <c r="S4052" t="inlineStr">
        <is>
          <t>4.31</t>
        </is>
      </c>
      <c r="T4052" t="inlineStr">
        <is>
          <t>服饰穿搭</t>
        </is>
      </c>
      <c r="U4052" t="inlineStr">
        <is>
          <t>女装</t>
        </is>
      </c>
      <c r="V4052" s="3">
        <v>46121.98079861111</v>
      </c>
      <c r="W4052" t="inlineStr">
        <is>
          <t>2026-Q2</t>
        </is>
      </c>
    </row>
    <row r="4053" ht="25.5" customHeight="1">
      <c r="A4053" t="inlineStr">
        <is>
          <t>JANE DIFFUSE · 巨遮肉！西装阔腿裤女春夏垂顺高腰显瘦拖地裤百搭遮肉遮胯</t>
        </is>
      </c>
      <c r="B4053" t="inlineStr">
        <is>
          <t>recvgjaKncs38h.jpg</t>
        </is>
      </c>
      <c r="C4053" s="2" t="str">
        <f>=HYPERLINK("https://xhslink.com/m/7PpDpjgHkOh", "https://xhslink.com/m/7PpDpjgHkOh")</f>
        <v>https://xhslink.com/m/7PpDpjgHkOh</v>
      </c>
      <c r="D4053"/>
      <c r="E4053">
        <v>9706</v>
      </c>
      <c r="F4053">
        <v>198</v>
      </c>
      <c r="G4053">
        <v>168</v>
      </c>
      <c r="H4053">
        <v>100</v>
      </c>
      <c r="I4053" t="inlineStr">
        <is>
          <t>裤子</t>
        </is>
      </c>
      <c r="J4053" t="inlineStr">
        <is>
          <t>0.01</t>
        </is>
      </c>
      <c r="K4053"/>
      <c r="L4053" t="inlineStr">
        <is>
          <t>JANE DIFFUSE旗舰店</t>
        </is>
      </c>
      <c r="M4053">
        <v>16000</v>
      </c>
      <c r="N4053">
        <v>4.61</v>
      </c>
      <c r="O4053">
        <v>57000</v>
      </c>
      <c r="P4053" t="inlineStr">
        <is>
          <t>67d3945e0144270001bcf4f9</t>
        </is>
      </c>
      <c r="Q4053"/>
      <c r="R4053" t="inlineStr">
        <is>
          <t>15周</t>
        </is>
      </c>
      <c r="S4053" t="inlineStr">
        <is>
          <t>0.61</t>
        </is>
      </c>
      <c r="T4053" t="inlineStr">
        <is>
          <t>服饰穿搭</t>
        </is>
      </c>
      <c r="U4053" t="inlineStr">
        <is>
          <t>女装</t>
        </is>
      </c>
      <c r="V4053" s="3">
        <v>46121.98079861111</v>
      </c>
      <c r="W4053" t="inlineStr">
        <is>
          <t>2026-Q2</t>
        </is>
      </c>
    </row>
    <row r="4054" ht="25.5" customHeight="1">
      <c r="A4054" t="inlineStr">
        <is>
          <t>【前10000单立减30】横叉口袋休闲卫裤显瘦宽松直筒阔腿裤女春秋</t>
        </is>
      </c>
      <c r="B4054" t="inlineStr">
        <is>
          <t>recvgjaKncaSHd.jpg</t>
        </is>
      </c>
      <c r="C4054" s="2" t="str">
        <f>=HYPERLINK("https://xhslink.com/m/5epqF4QGVEM", "https://xhslink.com/m/5epqF4QGVEM")</f>
        <v>https://xhslink.com/m/5epqF4QGVEM</v>
      </c>
      <c r="D4054"/>
      <c r="E4054">
        <v>7349</v>
      </c>
      <c r="F4054">
        <v>79.9</v>
      </c>
      <c r="G4054">
        <v>49.9</v>
      </c>
      <c r="H4054">
        <v>100</v>
      </c>
      <c r="I4054" t="inlineStr">
        <is>
          <t>裤子</t>
        </is>
      </c>
      <c r="J4054" t="inlineStr">
        <is>
          <t>0.01</t>
        </is>
      </c>
      <c r="K4054" t="inlineStr">
        <is>
          <t>🔥低粉爆款</t>
        </is>
      </c>
      <c r="L4054" t="inlineStr">
        <is>
          <t>对啊对啊的店</t>
        </is>
      </c>
      <c r="M4054">
        <v>289</v>
      </c>
      <c r="N4054">
        <v>4.43</v>
      </c>
      <c r="O4054">
        <v>14000</v>
      </c>
      <c r="P4054" t="inlineStr">
        <is>
          <t>68a69c110f0ca400155b01ee</t>
        </is>
      </c>
      <c r="Q4054" t="inlineStr">
        <is>
          <t>🚫重复</t>
        </is>
      </c>
      <c r="R4054" t="inlineStr">
        <is>
          <t>15周</t>
        </is>
      </c>
      <c r="S4054" t="inlineStr">
        <is>
          <t>25.43</t>
        </is>
      </c>
      <c r="T4054" t="inlineStr">
        <is>
          <t>服饰穿搭</t>
        </is>
      </c>
      <c r="U4054" t="inlineStr">
        <is>
          <t>女装</t>
        </is>
      </c>
      <c r="V4054" s="3">
        <v>46121.98079861111</v>
      </c>
      <c r="W4054" t="inlineStr">
        <is>
          <t>2026-Q2</t>
        </is>
      </c>
    </row>
    <row r="4055" ht="25.5" customHeight="1">
      <c r="A4055" t="inlineStr">
        <is>
          <t>【冰激凌阔腿裤子】2025女新款自制棉绸直筒空调遛弯小个子防蚊裤</t>
        </is>
      </c>
      <c r="B4055" t="inlineStr">
        <is>
          <t>recvgjaKnc7iNX.jpg</t>
        </is>
      </c>
      <c r="C4055" s="2" t="str">
        <f>=HYPERLINK("https://xhslink.com/m/8StYmFWSWUW", "https://xhslink.com/m/8StYmFWSWUW")</f>
        <v>https://xhslink.com/m/8StYmFWSWUW</v>
      </c>
      <c r="D4055"/>
      <c r="E4055">
        <v>2710</v>
      </c>
      <c r="F4055">
        <v>22.8</v>
      </c>
      <c r="G4055">
        <v>17.8</v>
      </c>
      <c r="H4055">
        <v>100</v>
      </c>
      <c r="I4055" t="inlineStr">
        <is>
          <t>裤子</t>
        </is>
      </c>
      <c r="J4055" t="inlineStr">
        <is>
          <t>0.04</t>
        </is>
      </c>
      <c r="K4055"/>
      <c r="L4055" t="inlineStr">
        <is>
          <t>糖泡泡服饰的店</t>
        </is>
      </c>
      <c r="M4055">
        <v>10000</v>
      </c>
      <c r="N4055">
        <v>4.8</v>
      </c>
      <c r="O4055">
        <v>72000</v>
      </c>
      <c r="P4055" t="inlineStr">
        <is>
          <t>68879a02eab793000123a621</t>
        </is>
      </c>
      <c r="Q4055" t="inlineStr">
        <is>
          <t>🚫重复</t>
        </is>
      </c>
      <c r="R4055" t="inlineStr">
        <is>
          <t>15周</t>
        </is>
      </c>
      <c r="S4055" t="inlineStr">
        <is>
          <t>0.27</t>
        </is>
      </c>
      <c r="T4055" t="inlineStr">
        <is>
          <t>服饰穿搭</t>
        </is>
      </c>
      <c r="U4055" t="inlineStr">
        <is>
          <t>女装</t>
        </is>
      </c>
      <c r="V4055" s="3">
        <v>46121.98079861111</v>
      </c>
      <c r="W4055" t="inlineStr">
        <is>
          <t>2026-Q2</t>
        </is>
      </c>
    </row>
    <row r="4056" ht="25.5" customHeight="1">
      <c r="A4056" t="inlineStr">
        <is>
          <t>XVRV · 【老宋专属】2026春季新款弯刀贝斯裤女显瘦百搭阔腿运动长裤</t>
        </is>
      </c>
      <c r="B4056" t="inlineStr">
        <is>
          <t>recvgjaKnchwqK.jpg</t>
        </is>
      </c>
      <c r="C4056" s="2" t="str">
        <f>=HYPERLINK("https://xhslink.com/m/1DlyWE75jfj", "https://xhslink.com/m/1DlyWE75jfj")</f>
        <v>https://xhslink.com/m/1DlyWE75jfj</v>
      </c>
      <c r="D4056"/>
      <c r="E4056">
        <v>6351</v>
      </c>
      <c r="F4056">
        <v>139.9</v>
      </c>
      <c r="G4056">
        <v>89.9</v>
      </c>
      <c r="H4056">
        <v>100</v>
      </c>
      <c r="I4056" t="inlineStr">
        <is>
          <t>裤子</t>
        </is>
      </c>
      <c r="J4056" t="inlineStr">
        <is>
          <t>0.02</t>
        </is>
      </c>
      <c r="K4056" t="inlineStr">
        <is>
          <t>🔥低粉爆款</t>
        </is>
      </c>
      <c r="L4056" t="inlineStr">
        <is>
          <t>XVRV的店</t>
        </is>
      </c>
      <c r="M4056">
        <v>89</v>
      </c>
      <c r="N4056">
        <v>4.45</v>
      </c>
      <c r="O4056">
        <v>68000</v>
      </c>
      <c r="P4056" t="inlineStr">
        <is>
          <t>69c66ade46fe2a0001335444</t>
        </is>
      </c>
      <c r="Q4056"/>
      <c r="R4056" t="inlineStr">
        <is>
          <t>15周</t>
        </is>
      </c>
      <c r="S4056" t="inlineStr">
        <is>
          <t>71.36</t>
        </is>
      </c>
      <c r="T4056" t="inlineStr">
        <is>
          <t>服饰穿搭</t>
        </is>
      </c>
      <c r="U4056" t="inlineStr">
        <is>
          <t>女装</t>
        </is>
      </c>
      <c r="V4056" s="3">
        <v>46121.98079861111</v>
      </c>
      <c r="W4056" t="inlineStr">
        <is>
          <t>2026-Q2</t>
        </is>
      </c>
    </row>
    <row r="4057" ht="25.5" customHeight="1">
      <c r="A4057" t="inlineStr">
        <is>
          <t>裤子女夏季显瘦天丝亚麻黑色阔腿裤休闲直筒旅行韩系穿搭长裤</t>
        </is>
      </c>
      <c r="B4057" t="inlineStr">
        <is>
          <t>recvgjaKncM3f7.jpg</t>
        </is>
      </c>
      <c r="C4057" s="2" t="str">
        <f>=HYPERLINK("https://xhslink.com/m/76xODOchqwV", "https://xhslink.com/m/76xODOchqwV")</f>
        <v>https://xhslink.com/m/76xODOchqwV</v>
      </c>
      <c r="D4057"/>
      <c r="E4057">
        <v>2102</v>
      </c>
      <c r="F4057">
        <v>99</v>
      </c>
      <c r="G4057">
        <v>77.9</v>
      </c>
      <c r="H4057">
        <v>100</v>
      </c>
      <c r="I4057" t="inlineStr">
        <is>
          <t>裤子</t>
        </is>
      </c>
      <c r="J4057" t="inlineStr">
        <is>
          <t>0.05</t>
        </is>
      </c>
      <c r="K4057"/>
      <c r="L4057" t="inlineStr">
        <is>
          <t>允樱儿的店</t>
        </is>
      </c>
      <c r="M4057">
        <v>1015</v>
      </c>
      <c r="N4057">
        <v>4.63</v>
      </c>
      <c r="O4057">
        <v>38000</v>
      </c>
      <c r="P4057" t="inlineStr">
        <is>
          <t>68651a1aaed1a40015baf8e6</t>
        </is>
      </c>
      <c r="Q4057" t="inlineStr">
        <is>
          <t>🚫重复</t>
        </is>
      </c>
      <c r="R4057" t="inlineStr">
        <is>
          <t>15周</t>
        </is>
      </c>
      <c r="S4057" t="inlineStr">
        <is>
          <t>2.07</t>
        </is>
      </c>
      <c r="T4057" t="inlineStr">
        <is>
          <t>服饰穿搭</t>
        </is>
      </c>
      <c r="U4057" t="inlineStr">
        <is>
          <t>女装</t>
        </is>
      </c>
      <c r="V4057" s="3">
        <v>46121.98079861111</v>
      </c>
      <c r="W4057" t="inlineStr">
        <is>
          <t>2026-Q2</t>
        </is>
      </c>
    </row>
    <row r="4058" ht="25.5" customHeight="1">
      <c r="A4058" t="inlineStr">
        <is>
          <t>10137春夏新款西装裤弯刀裤阔腿裤女休闲毛呢长裤梨形首选气</t>
        </is>
      </c>
      <c r="B4058" t="inlineStr">
        <is>
          <t>recvgjaKnc0dTO.jpg</t>
        </is>
      </c>
      <c r="C4058" s="2" t="str">
        <f>=HYPERLINK("https://xhslink.com/m/26xpcYix1DA", "https://xhslink.com/m/26xpcYix1DA")</f>
        <v>https://xhslink.com/m/26xpcYix1DA</v>
      </c>
      <c r="D4058"/>
      <c r="E4058">
        <v>7208</v>
      </c>
      <c r="F4058">
        <v>129.9</v>
      </c>
      <c r="G4058"/>
      <c r="H4058">
        <v>100</v>
      </c>
      <c r="I4058" t="inlineStr">
        <is>
          <t>裤子</t>
        </is>
      </c>
      <c r="J4058" t="inlineStr">
        <is>
          <t>0.01</t>
        </is>
      </c>
      <c r="K4058"/>
      <c r="L4058" t="inlineStr">
        <is>
          <t>码头薯条的店</t>
        </is>
      </c>
      <c r="M4058">
        <v>12000</v>
      </c>
      <c r="N4058">
        <v>4.67</v>
      </c>
      <c r="O4058">
        <v>24000</v>
      </c>
      <c r="P4058" t="inlineStr">
        <is>
          <t>6911cb9c571d660001571c8a</t>
        </is>
      </c>
      <c r="Q4058" t="inlineStr">
        <is>
          <t>🚫重复</t>
        </is>
      </c>
      <c r="R4058" t="inlineStr">
        <is>
          <t>15周</t>
        </is>
      </c>
      <c r="S4058" t="inlineStr">
        <is>
          <t>0.60</t>
        </is>
      </c>
      <c r="T4058" t="inlineStr">
        <is>
          <t>服饰穿搭</t>
        </is>
      </c>
      <c r="U4058" t="inlineStr">
        <is>
          <t>女装</t>
        </is>
      </c>
      <c r="V4058" s="3">
        <v>46121.98079861111</v>
      </c>
      <c r="W4058" t="inlineStr">
        <is>
          <t>2026-Q2</t>
        </is>
      </c>
    </row>
    <row r="4059" ht="25.5" customHeight="1">
      <c r="A4059" t="inlineStr">
        <is>
          <t>「巨遮胯」升级四面弹春秋高腰复古显瘦纯色显腿直九分直筒法棍裤</t>
        </is>
      </c>
      <c r="B4059" t="inlineStr">
        <is>
          <t>recvgjaKncggHf.jpg</t>
        </is>
      </c>
      <c r="C4059" s="2" t="str">
        <f>=HYPERLINK("https://xhslink.com/m/4miqybYagS5", "https://xhslink.com/m/4miqybYagS5")</f>
        <v>https://xhslink.com/m/4miqybYagS5</v>
      </c>
      <c r="D4059"/>
      <c r="E4059">
        <v>5670</v>
      </c>
      <c r="F4059">
        <v>239</v>
      </c>
      <c r="G4059">
        <v>219</v>
      </c>
      <c r="H4059">
        <v>100</v>
      </c>
      <c r="I4059" t="inlineStr">
        <is>
          <t>裤子</t>
        </is>
      </c>
      <c r="J4059" t="inlineStr">
        <is>
          <t>0.02</t>
        </is>
      </c>
      <c r="K4059"/>
      <c r="L4059" t="inlineStr">
        <is>
          <t>G.Gun女裤的店</t>
        </is>
      </c>
      <c r="M4059">
        <v>16000</v>
      </c>
      <c r="N4059">
        <v>4.57</v>
      </c>
      <c r="O4059">
        <v>64000</v>
      </c>
      <c r="P4059" t="inlineStr">
        <is>
          <t>692758d3ccb9e00001f6c165</t>
        </is>
      </c>
      <c r="Q4059" t="inlineStr">
        <is>
          <t>🚫重复</t>
        </is>
      </c>
      <c r="R4059" t="inlineStr">
        <is>
          <t>15周</t>
        </is>
      </c>
      <c r="S4059" t="inlineStr">
        <is>
          <t>0.35</t>
        </is>
      </c>
      <c r="T4059" t="inlineStr">
        <is>
          <t>服饰穿搭</t>
        </is>
      </c>
      <c r="U4059" t="inlineStr">
        <is>
          <t>女装</t>
        </is>
      </c>
      <c r="V4059" s="3">
        <v>46121.98079861111</v>
      </c>
      <c r="W4059" t="inlineStr">
        <is>
          <t>2026-Q2</t>
        </is>
      </c>
    </row>
    <row r="4060" ht="25.5" customHeight="1">
      <c r="A4060" t="inlineStr">
        <is>
          <t>天丝钉珠裤子春夏季新款潮网红炸街牛仔裤女长裤宽松阔腿裤子垂感</t>
        </is>
      </c>
      <c r="B4060" t="inlineStr">
        <is>
          <t>recvgjaKncRSGb.jpg</t>
        </is>
      </c>
      <c r="C4060" s="2" t="str">
        <f>=HYPERLINK("https://xhslink.com/m/6DmiiIExK25", "https://xhslink.com/m/6DmiiIExK25")</f>
        <v>https://xhslink.com/m/6DmiiIExK25</v>
      </c>
      <c r="D4060"/>
      <c r="E4060">
        <v>556</v>
      </c>
      <c r="F4060">
        <v>148</v>
      </c>
      <c r="G4060">
        <v>125</v>
      </c>
      <c r="H4060">
        <v>100</v>
      </c>
      <c r="I4060" t="inlineStr">
        <is>
          <t>裤子</t>
        </is>
      </c>
      <c r="J4060" t="inlineStr">
        <is>
          <t>0.18</t>
        </is>
      </c>
      <c r="K4060"/>
      <c r="L4060" t="inlineStr">
        <is>
          <t>想想阿卓怎么穿的店</t>
        </is>
      </c>
      <c r="M4060">
        <v>5580</v>
      </c>
      <c r="N4060">
        <v>4.65</v>
      </c>
      <c r="O4060">
        <v>8489</v>
      </c>
      <c r="P4060" t="inlineStr">
        <is>
          <t>686de8e9420083000161694e</t>
        </is>
      </c>
      <c r="Q4060" t="inlineStr">
        <is>
          <t>🚫重复</t>
        </is>
      </c>
      <c r="R4060" t="inlineStr">
        <is>
          <t>15周</t>
        </is>
      </c>
      <c r="S4060" t="inlineStr">
        <is>
          <t>0.10</t>
        </is>
      </c>
      <c r="T4060" t="inlineStr">
        <is>
          <t>服饰穿搭</t>
        </is>
      </c>
      <c r="U4060" t="inlineStr">
        <is>
          <t>女装</t>
        </is>
      </c>
      <c r="V4060" s="3">
        <v>46121.98079861111</v>
      </c>
      <c r="W4060" t="inlineStr">
        <is>
          <t>2026-Q2</t>
        </is>
      </c>
    </row>
    <row r="4061" ht="25.5" customHeight="1">
      <c r="A4061" t="inlineStr">
        <is>
          <t>夏季宽松阔腿裤女士显瘦薄款透气休闲裤粉色亚麻垂感直筒裤子</t>
        </is>
      </c>
      <c r="B4061" t="inlineStr">
        <is>
          <t>recvgjaKncC7o1.jpg</t>
        </is>
      </c>
      <c r="C4061" s="2" t="str">
        <f>=HYPERLINK("https://xhslink.com/m/GKDcthZll8", "https://xhslink.com/m/GKDcthZll8")</f>
        <v>https://xhslink.com/m/GKDcthZll8</v>
      </c>
      <c r="D4061"/>
      <c r="E4061">
        <v>1533</v>
      </c>
      <c r="F4061">
        <v>55</v>
      </c>
      <c r="G4061"/>
      <c r="H4061">
        <v>100</v>
      </c>
      <c r="I4061" t="inlineStr">
        <is>
          <t>裤子</t>
        </is>
      </c>
      <c r="J4061" t="inlineStr">
        <is>
          <t>0.07</t>
        </is>
      </c>
      <c r="K4061"/>
      <c r="L4061" t="inlineStr">
        <is>
          <t>江湖的店</t>
        </is>
      </c>
      <c r="M4061">
        <v>187000</v>
      </c>
      <c r="N4061">
        <v>4.58</v>
      </c>
      <c r="O4061">
        <v>1750000</v>
      </c>
      <c r="P4061" t="inlineStr">
        <is>
          <t>69b7d4ca99f8fe0001bd0ac7</t>
        </is>
      </c>
      <c r="Q4061"/>
      <c r="R4061" t="inlineStr">
        <is>
          <t>15周</t>
        </is>
      </c>
      <c r="S4061" t="inlineStr">
        <is>
          <t>0.01</t>
        </is>
      </c>
      <c r="T4061" t="inlineStr">
        <is>
          <t>服饰穿搭</t>
        </is>
      </c>
      <c r="U4061" t="inlineStr">
        <is>
          <t>女装</t>
        </is>
      </c>
      <c r="V4061" s="3">
        <v>46121.98079861111</v>
      </c>
      <c r="W4061" t="inlineStr">
        <is>
          <t>2026-Q2</t>
        </is>
      </c>
    </row>
    <row r="4062" ht="25.5" customHeight="1">
      <c r="A4062" t="inlineStr">
        <is>
          <t>twosweet · 蚀美腰臀比/低腰系列复古后袋翻盖修身微喇叭弹力牛仔裤</t>
        </is>
      </c>
      <c r="B4062" t="inlineStr">
        <is>
          <t>recvgjaKnc2xV1.jpg</t>
        </is>
      </c>
      <c r="C4062" s="2" t="str">
        <f>=HYPERLINK("https://xhslink.com/m/AAfixE18wJl", "https://xhslink.com/m/AAfixE18wJl")</f>
        <v>https://xhslink.com/m/AAfixE18wJl</v>
      </c>
      <c r="D4062"/>
      <c r="E4062">
        <v>2447</v>
      </c>
      <c r="F4062">
        <v>249</v>
      </c>
      <c r="G4062">
        <v>219</v>
      </c>
      <c r="H4062">
        <v>100</v>
      </c>
      <c r="I4062" t="inlineStr">
        <is>
          <t>裤子</t>
        </is>
      </c>
      <c r="J4062" t="inlineStr">
        <is>
          <t>0.04</t>
        </is>
      </c>
      <c r="K4062"/>
      <c r="L4062" t="inlineStr">
        <is>
          <t>twosweet旗舰店</t>
        </is>
      </c>
      <c r="M4062">
        <v>16000</v>
      </c>
      <c r="N4062">
        <v>4.67</v>
      </c>
      <c r="O4062">
        <v>66000</v>
      </c>
      <c r="P4062" t="inlineStr">
        <is>
          <t>68889ca7ebefca0001687f29</t>
        </is>
      </c>
      <c r="Q4062" t="inlineStr">
        <is>
          <t>🚫重复</t>
        </is>
      </c>
      <c r="R4062" t="inlineStr">
        <is>
          <t>15周</t>
        </is>
      </c>
      <c r="S4062" t="inlineStr">
        <is>
          <t>0.15</t>
        </is>
      </c>
      <c r="T4062" t="inlineStr">
        <is>
          <t>服饰穿搭</t>
        </is>
      </c>
      <c r="U4062" t="inlineStr">
        <is>
          <t>女装</t>
        </is>
      </c>
      <c r="V4062" s="3">
        <v>46121.98079861111</v>
      </c>
      <c r="W4062" t="inlineStr">
        <is>
          <t>2026-Q2</t>
        </is>
      </c>
    </row>
    <row r="4063" ht="25.5" customHeight="1">
      <c r="A4063" t="inlineStr">
        <is>
          <t>2026春季 韩系显瘦显腿直窄版直筒裤L8</t>
        </is>
      </c>
      <c r="B4063" t="inlineStr">
        <is>
          <t>recvgjaKnc1DAV.jpg</t>
        </is>
      </c>
      <c r="C4063" s="2" t="str">
        <f>=HYPERLINK("https://xhslink.com/m/5976Td5ECHM", "https://xhslink.com/m/5976Td5ECHM")</f>
        <v>https://xhslink.com/m/5976Td5ECHM</v>
      </c>
      <c r="D4063"/>
      <c r="E4063">
        <v>5125</v>
      </c>
      <c r="F4063">
        <v>329</v>
      </c>
      <c r="G4063">
        <v>229</v>
      </c>
      <c r="H4063">
        <v>100</v>
      </c>
      <c r="I4063" t="inlineStr">
        <is>
          <t>裤子</t>
        </is>
      </c>
      <c r="J4063" t="inlineStr">
        <is>
          <t>0.02</t>
        </is>
      </c>
      <c r="K4063"/>
      <c r="L4063" t="inlineStr">
        <is>
          <t>大屿_studio的店</t>
        </is>
      </c>
      <c r="M4063">
        <v>44000</v>
      </c>
      <c r="N4063">
        <v>4.77</v>
      </c>
      <c r="O4063">
        <v>193000</v>
      </c>
      <c r="P4063" t="inlineStr">
        <is>
          <t>697723cd39c80000011b350d</t>
        </is>
      </c>
      <c r="Q4063" t="inlineStr">
        <is>
          <t>🚫重复</t>
        </is>
      </c>
      <c r="R4063" t="inlineStr">
        <is>
          <t>15周</t>
        </is>
      </c>
      <c r="S4063" t="inlineStr">
        <is>
          <t>0.12</t>
        </is>
      </c>
      <c r="T4063" t="inlineStr">
        <is>
          <t>服饰穿搭</t>
        </is>
      </c>
      <c r="U4063" t="inlineStr">
        <is>
          <t>女装</t>
        </is>
      </c>
      <c r="V4063" s="3">
        <v>46121.98079861111</v>
      </c>
      <c r="W4063" t="inlineStr">
        <is>
          <t>2026-Q2</t>
        </is>
      </c>
    </row>
    <row r="4064" ht="25.5" customHeight="1">
      <c r="A4064" t="inlineStr">
        <is>
          <t>大阿娇 2026新款大码超模裤 春夏微喇拖地垂感薄款显瘦弹力休闲裤</t>
        </is>
      </c>
      <c r="B4064" t="inlineStr">
        <is>
          <t>recvgjaKncrwCD.jpg</t>
        </is>
      </c>
      <c r="C4064" s="2" t="str">
        <f>=HYPERLINK("https://xhslink.com/m/45I1850PvOz", "https://xhslink.com/m/45I1850PvOz")</f>
        <v>https://xhslink.com/m/45I1850PvOz</v>
      </c>
      <c r="D4064"/>
      <c r="E4064">
        <v>1068</v>
      </c>
      <c r="F4064">
        <v>149.9</v>
      </c>
      <c r="G4064">
        <v>129.9</v>
      </c>
      <c r="H4064">
        <v>100</v>
      </c>
      <c r="I4064" t="inlineStr">
        <is>
          <t>裤子</t>
        </is>
      </c>
      <c r="J4064" t="inlineStr">
        <is>
          <t>0.09</t>
        </is>
      </c>
      <c r="K4064"/>
      <c r="L4064" t="inlineStr">
        <is>
          <t>大阿娇 微胖大码定制的店</t>
        </is>
      </c>
      <c r="M4064">
        <v>48000</v>
      </c>
      <c r="N4064">
        <v>4.67</v>
      </c>
      <c r="O4064">
        <v>155000</v>
      </c>
      <c r="P4064" t="inlineStr">
        <is>
          <t>69b3cdfeca64b30001df0950</t>
        </is>
      </c>
      <c r="Q4064"/>
      <c r="R4064" t="inlineStr">
        <is>
          <t>15周</t>
        </is>
      </c>
      <c r="S4064" t="inlineStr">
        <is>
          <t>0.02</t>
        </is>
      </c>
      <c r="T4064" t="inlineStr">
        <is>
          <t>服饰穿搭</t>
        </is>
      </c>
      <c r="U4064" t="inlineStr">
        <is>
          <t>女装</t>
        </is>
      </c>
      <c r="V4064" s="3">
        <v>46121.98079861111</v>
      </c>
      <c r="W4064" t="inlineStr">
        <is>
          <t>2026-Q2</t>
        </is>
      </c>
    </row>
    <row r="4065" ht="25.5" customHeight="1">
      <c r="A4065" t="inlineStr">
        <is>
          <t>simple pieces · 【宽松薯条裤】春新款SPS牛仔女四季阔腿直筒长裤S53J034/S53J434</t>
        </is>
      </c>
      <c r="B4065" t="inlineStr">
        <is>
          <t>recvgjaKnc2CfY.jpg</t>
        </is>
      </c>
      <c r="C4065" s="2" t="str">
        <f>=HYPERLINK("https://xhslink.com/m/9FkSlvM0wZV", "https://xhslink.com/m/9FkSlvM0wZV")</f>
        <v>https://xhslink.com/m/9FkSlvM0wZV</v>
      </c>
      <c r="D4065"/>
      <c r="E4065">
        <v>3653</v>
      </c>
      <c r="F4065">
        <v>479</v>
      </c>
      <c r="G4065">
        <v>379</v>
      </c>
      <c r="H4065">
        <v>100</v>
      </c>
      <c r="I4065" t="inlineStr">
        <is>
          <t>裤子</t>
        </is>
      </c>
      <c r="J4065" t="inlineStr">
        <is>
          <t>0.03</t>
        </is>
      </c>
      <c r="K4065"/>
      <c r="L4065" t="inlineStr">
        <is>
          <t>simplepieces旗舰店</t>
        </is>
      </c>
      <c r="M4065">
        <v>147000</v>
      </c>
      <c r="N4065">
        <v>4.71</v>
      </c>
      <c r="O4065">
        <v>704000</v>
      </c>
      <c r="P4065" t="inlineStr">
        <is>
          <t>68b804ba02b98c0015183f19</t>
        </is>
      </c>
      <c r="Q4065" t="inlineStr">
        <is>
          <t>🚫重复</t>
        </is>
      </c>
      <c r="R4065" t="inlineStr">
        <is>
          <t>15周</t>
        </is>
      </c>
      <c r="S4065" t="inlineStr">
        <is>
          <t>0.02</t>
        </is>
      </c>
      <c r="T4065" t="inlineStr">
        <is>
          <t>服饰穿搭</t>
        </is>
      </c>
      <c r="U4065" t="inlineStr">
        <is>
          <t>女装</t>
        </is>
      </c>
      <c r="V4065" s="3">
        <v>46121.98079861111</v>
      </c>
      <c r="W4065" t="inlineStr">
        <is>
          <t>2026-Q2</t>
        </is>
      </c>
    </row>
    <row r="4066" ht="25.5" customHeight="1">
      <c r="A4066" t="inlineStr">
        <is>
          <t>CR气泡方糖 |天然深海母贝珠项链新婚伴手礼生日礼物送闺蜜女友</t>
        </is>
      </c>
      <c r="B4066" t="inlineStr">
        <is>
          <t>recvgjaKnckDeH.jpg</t>
        </is>
      </c>
      <c r="C4066" s="2" t="str">
        <f>=HYPERLINK("https://xhslink.com/m/4bri4QtzBQ7", "https://xhslink.com/m/4bri4QtzBQ7")</f>
        <v>https://xhslink.com/m/4bri4QtzBQ7</v>
      </c>
      <c r="D4066"/>
      <c r="E4066">
        <v>1635</v>
      </c>
      <c r="F4066">
        <v>338</v>
      </c>
      <c r="G4066">
        <v>148</v>
      </c>
      <c r="H4066">
        <v>100</v>
      </c>
      <c r="I4066" t="inlineStr">
        <is>
          <t>饰品</t>
        </is>
      </c>
      <c r="J4066" t="inlineStr">
        <is>
          <t>0.06</t>
        </is>
      </c>
      <c r="K4066"/>
      <c r="L4066" t="inlineStr">
        <is>
          <t>Clear Realm的店</t>
        </is>
      </c>
      <c r="M4066">
        <v>1832</v>
      </c>
      <c r="N4066">
        <v>4.49</v>
      </c>
      <c r="O4066">
        <v>2785</v>
      </c>
      <c r="P4066" t="inlineStr">
        <is>
          <t>690cef3d5c4f190001063325</t>
        </is>
      </c>
      <c r="Q4066" t="inlineStr">
        <is>
          <t>🚫重复</t>
        </is>
      </c>
      <c r="R4066" t="inlineStr">
        <is>
          <t>15周</t>
        </is>
      </c>
      <c r="S4066" t="inlineStr">
        <is>
          <t>0.89</t>
        </is>
      </c>
      <c r="T4066" t="inlineStr">
        <is>
          <t>服饰穿搭</t>
        </is>
      </c>
      <c r="U4066" t="inlineStr">
        <is>
          <t>配饰</t>
        </is>
      </c>
      <c r="V4066" s="3">
        <v>46121.98079861111</v>
      </c>
      <c r="W4066" t="inlineStr">
        <is>
          <t>2026-Q2</t>
        </is>
      </c>
    </row>
    <row r="4067" ht="25.5" customHeight="1">
      <c r="A4067" t="inlineStr">
        <is>
          <t>H5 · 植物染发膏榛果灰棕亚麻棕染发剂纯在家染黑茶色显白发色推荐免漂</t>
        </is>
      </c>
      <c r="B4067" t="inlineStr">
        <is>
          <t>recvgjaKncNg5A.jpg</t>
        </is>
      </c>
      <c r="C4067" s="2" t="str">
        <f>=HYPERLINK("https://xhslink.com/m/9qw8Lzgalm", "https://xhslink.com/m/9qw8Lzgalm")</f>
        <v>https://xhslink.com/m/9qw8Lzgalm</v>
      </c>
      <c r="D4067"/>
      <c r="E4067">
        <v>96000</v>
      </c>
      <c r="F4067">
        <v>276</v>
      </c>
      <c r="G4067">
        <v>179</v>
      </c>
      <c r="H4067">
        <v>100</v>
      </c>
      <c r="I4067" t="inlineStr">
        <is>
          <t>染发</t>
        </is>
      </c>
      <c r="J4067" t="inlineStr">
        <is>
          <t>0.00</t>
        </is>
      </c>
      <c r="K4067" t="inlineStr">
        <is>
          <t>🔥低粉爆款</t>
        </is>
      </c>
      <c r="L4067" t="inlineStr">
        <is>
          <t>H5旗舰店</t>
        </is>
      </c>
      <c r="M4067">
        <v>15000</v>
      </c>
      <c r="N4067">
        <v>4.71</v>
      </c>
      <c r="O4067">
        <v>341000</v>
      </c>
      <c r="P4067" t="inlineStr">
        <is>
          <t>6788d5bcc93bbc00019f475c</t>
        </is>
      </c>
      <c r="Q4067"/>
      <c r="R4067" t="inlineStr">
        <is>
          <t>15周</t>
        </is>
      </c>
      <c r="S4067" t="inlineStr">
        <is>
          <t>6.40</t>
        </is>
      </c>
      <c r="T4067" t="inlineStr">
        <is>
          <t>家居生活</t>
        </is>
      </c>
      <c r="U4067" t="inlineStr">
        <is>
          <t>家具家装</t>
        </is>
      </c>
      <c r="V4067" s="3">
        <v>46121.98079861111</v>
      </c>
      <c r="W4067" t="inlineStr">
        <is>
          <t>2026-Q2</t>
        </is>
      </c>
    </row>
    <row r="4068" ht="25.5" customHeight="1">
      <c r="A4068" t="inlineStr">
        <is>
          <t>璐米 · 【无月桂醇无硅油】氨基酸洗发水控油蓬松柔顺男女士无硅油洗发液</t>
        </is>
      </c>
      <c r="B4068" t="inlineStr">
        <is>
          <t>recvgjaKncD0rd.jpg</t>
        </is>
      </c>
      <c r="C4068" s="2" t="str">
        <f>=HYPERLINK("https://xhslink.com/m/33b8rucMAk8", "https://xhslink.com/m/33b8rucMAk8")</f>
        <v>https://xhslink.com/m/33b8rucMAk8</v>
      </c>
      <c r="D4068"/>
      <c r="E4068">
        <v>187000</v>
      </c>
      <c r="F4068">
        <v>89</v>
      </c>
      <c r="G4068">
        <v>39.9</v>
      </c>
      <c r="H4068">
        <v>100</v>
      </c>
      <c r="I4068" t="inlineStr">
        <is>
          <t>养发</t>
        </is>
      </c>
      <c r="J4068" t="inlineStr">
        <is>
          <t>0.00</t>
        </is>
      </c>
      <c r="K4068"/>
      <c r="L4068" t="inlineStr">
        <is>
          <t>璐米旗舰店</t>
        </is>
      </c>
      <c r="M4068">
        <v>67000</v>
      </c>
      <c r="N4068">
        <v>4.54</v>
      </c>
      <c r="O4068">
        <v>386000</v>
      </c>
      <c r="P4068" t="inlineStr">
        <is>
          <t>67a85d3f7e87ac0001c50864</t>
        </is>
      </c>
      <c r="Q4068" t="inlineStr">
        <is>
          <t>🚫重复</t>
        </is>
      </c>
      <c r="R4068" t="inlineStr">
        <is>
          <t>15周</t>
        </is>
      </c>
      <c r="S4068" t="inlineStr">
        <is>
          <t>2.79</t>
        </is>
      </c>
      <c r="T4068" t="inlineStr">
        <is>
          <t>美妆个护</t>
        </is>
      </c>
      <c r="U4068" t="inlineStr">
        <is>
          <t>个人护理</t>
        </is>
      </c>
      <c r="V4068" s="3">
        <v>46121.98079861111</v>
      </c>
      <c r="W4068" t="inlineStr">
        <is>
          <t>2026-Q2</t>
        </is>
      </c>
    </row>
    <row r="4069" ht="25.5" customHeight="1">
      <c r="A4069" t="inlineStr">
        <is>
          <t>佰赛 · 防脱精华发际线防掉防脱神器男女同款侧伯叶草本植萃健发固发喷雾</t>
        </is>
      </c>
      <c r="B4069" t="inlineStr">
        <is>
          <t>recvgjaKncdcJr.jpg</t>
        </is>
      </c>
      <c r="C4069" s="2" t="str">
        <f>=HYPERLINK("https://xhslink.com/m/1kxRHq07iVk", "https://xhslink.com/m/1kxRHq07iVk")</f>
        <v>https://xhslink.com/m/1kxRHq07iVk</v>
      </c>
      <c r="D4069"/>
      <c r="E4069">
        <v>187000</v>
      </c>
      <c r="F4069">
        <v>172</v>
      </c>
      <c r="G4069">
        <v>49.9</v>
      </c>
      <c r="H4069">
        <v>100</v>
      </c>
      <c r="I4069" t="inlineStr">
        <is>
          <t>养发</t>
        </is>
      </c>
      <c r="J4069" t="inlineStr">
        <is>
          <t>0.00</t>
        </is>
      </c>
      <c r="K4069" t="inlineStr">
        <is>
          <t>🔥低粉爆款</t>
        </is>
      </c>
      <c r="L4069" t="inlineStr">
        <is>
          <t>佰赛旗舰店</t>
        </is>
      </c>
      <c r="M4069">
        <v>19000</v>
      </c>
      <c r="N4069">
        <v>4.61</v>
      </c>
      <c r="O4069">
        <v>268000</v>
      </c>
      <c r="P4069" t="inlineStr">
        <is>
          <t>6646f22325f23200013e863f</t>
        </is>
      </c>
      <c r="Q4069"/>
      <c r="R4069" t="inlineStr">
        <is>
          <t>15周</t>
        </is>
      </c>
      <c r="S4069" t="inlineStr">
        <is>
          <t>9.84</t>
        </is>
      </c>
      <c r="T4069" t="inlineStr">
        <is>
          <t>美妆个护</t>
        </is>
      </c>
      <c r="U4069" t="inlineStr">
        <is>
          <t>护肤彩妆</t>
        </is>
      </c>
      <c r="V4069" s="3">
        <v>46121.98079861111</v>
      </c>
      <c r="W4069" t="inlineStr">
        <is>
          <t>2026-Q2</t>
        </is>
      </c>
    </row>
    <row r="4070" ht="25.5" customHeight="1">
      <c r="A4070" t="inlineStr">
        <is>
          <t>MGUG · 泡沫发蜡法蜜泉卷发保湿蓬松持久定型护卷增弹羊毛泡泡发蜡</t>
        </is>
      </c>
      <c r="B4070" t="inlineStr">
        <is>
          <t>recvgjaKncE22d.jpg</t>
        </is>
      </c>
      <c r="C4070" s="2" t="str">
        <f>=HYPERLINK("https://xhslink.com/m/7NL3IkCwUjP", "https://xhslink.com/m/7NL3IkCwUjP")</f>
        <v>https://xhslink.com/m/7NL3IkCwUjP</v>
      </c>
      <c r="D4070"/>
      <c r="E4070">
        <v>25000</v>
      </c>
      <c r="F4070">
        <v>78</v>
      </c>
      <c r="G4070"/>
      <c r="H4070">
        <v>100</v>
      </c>
      <c r="I4070" t="inlineStr">
        <is>
          <t>养发</t>
        </is>
      </c>
      <c r="J4070" t="inlineStr">
        <is>
          <t>0.00</t>
        </is>
      </c>
      <c r="K4070" t="inlineStr">
        <is>
          <t>🔥低粉爆款</t>
        </is>
      </c>
      <c r="L4070" t="inlineStr">
        <is>
          <t>梦念彤Store的店</t>
        </is>
      </c>
      <c r="M4070">
        <v>274</v>
      </c>
      <c r="N4070">
        <v>4.58</v>
      </c>
      <c r="O4070">
        <v>27000</v>
      </c>
      <c r="P4070" t="inlineStr">
        <is>
          <t>6882ed9a8fe34700015af7b6</t>
        </is>
      </c>
      <c r="Q4070"/>
      <c r="R4070" t="inlineStr">
        <is>
          <t>15周</t>
        </is>
      </c>
      <c r="S4070" t="inlineStr">
        <is>
          <t>91.24</t>
        </is>
      </c>
      <c r="T4070" t="inlineStr">
        <is>
          <t>美妆个护</t>
        </is>
      </c>
      <c r="U4070" t="inlineStr">
        <is>
          <t>个人护理</t>
        </is>
      </c>
      <c r="V4070" s="3">
        <v>46121.98079861111</v>
      </c>
      <c r="W4070" t="inlineStr">
        <is>
          <t>2026-Q2</t>
        </is>
      </c>
    </row>
    <row r="4071" ht="25.5" customHeight="1">
      <c r="A4071" t="inlineStr">
        <is>
          <t>Off&amp;Relax · 【巨折！！】枯发回春洗发水！强韧修护柔顺蓬松清爽22/23批次</t>
        </is>
      </c>
      <c r="B4071" t="inlineStr">
        <is>
          <t>recvgjaKnc9wiO.jpg</t>
        </is>
      </c>
      <c r="C4071" s="2" t="str">
        <f>=HYPERLINK("https://xhslink.com/m/2GBqIbLJdhY", "https://xhslink.com/m/2GBqIbLJdhY")</f>
        <v>https://xhslink.com/m/2GBqIbLJdhY</v>
      </c>
      <c r="D4071"/>
      <c r="E4071">
        <v>47000</v>
      </c>
      <c r="F4071">
        <v>75</v>
      </c>
      <c r="G4071"/>
      <c r="H4071">
        <v>100</v>
      </c>
      <c r="I4071" t="inlineStr">
        <is>
          <t>养发</t>
        </is>
      </c>
      <c r="J4071" t="inlineStr">
        <is>
          <t>0.00</t>
        </is>
      </c>
      <c r="K4071"/>
      <c r="L4071" t="inlineStr">
        <is>
          <t>闪闪发光的Anne的店</t>
        </is>
      </c>
      <c r="M4071">
        <v>18000</v>
      </c>
      <c r="N4071">
        <v>4.58</v>
      </c>
      <c r="O4071">
        <v>129000</v>
      </c>
      <c r="P4071" t="inlineStr">
        <is>
          <t>695f0f41110a7f0001ba1328</t>
        </is>
      </c>
      <c r="Q4071" t="inlineStr">
        <is>
          <t>🚫重复</t>
        </is>
      </c>
      <c r="R4071" t="inlineStr">
        <is>
          <t>15周</t>
        </is>
      </c>
      <c r="S4071" t="inlineStr">
        <is>
          <t>2.61</t>
        </is>
      </c>
      <c r="T4071" t="inlineStr">
        <is>
          <t>美妆个护</t>
        </is>
      </c>
      <c r="U4071" t="inlineStr">
        <is>
          <t>个人护理</t>
        </is>
      </c>
      <c r="V4071" s="3">
        <v>46121.98079861111</v>
      </c>
      <c r="W4071" t="inlineStr">
        <is>
          <t>2026-Q2</t>
        </is>
      </c>
    </row>
    <row r="4072" ht="25.5" customHeight="1">
      <c r="A4072" t="inlineStr">
        <is>
          <t>fiboo · 【颖儿同款】她练复合维生素软糖推荐女维维B维C维e营养多维女生</t>
        </is>
      </c>
      <c r="B4072" t="inlineStr">
        <is>
          <t>recvgjaKnc9Cxl.jpg</t>
        </is>
      </c>
      <c r="C4072" s="2" t="str">
        <f>=HYPERLINK("https://xhslink.com/m/3SBQa2EDct7", "https://xhslink.com/m/3SBQa2EDct7")</f>
        <v>https://xhslink.com/m/3SBQa2EDct7</v>
      </c>
      <c r="D4072"/>
      <c r="E4072">
        <v>4764</v>
      </c>
      <c r="F4072">
        <v>299.9</v>
      </c>
      <c r="G4072">
        <v>239.9</v>
      </c>
      <c r="H4072">
        <v>100</v>
      </c>
      <c r="I4072" t="inlineStr">
        <is>
          <t>养生</t>
        </is>
      </c>
      <c r="J4072" t="inlineStr">
        <is>
          <t>0.02</t>
        </is>
      </c>
      <c r="K4072"/>
      <c r="L4072" t="inlineStr">
        <is>
          <t>fiboo旗舰店</t>
        </is>
      </c>
      <c r="M4072">
        <v>70000</v>
      </c>
      <c r="N4072">
        <v>4.64</v>
      </c>
      <c r="O4072">
        <v>327000</v>
      </c>
      <c r="P4072" t="inlineStr">
        <is>
          <t>6705018e75e23c0001656a43</t>
        </is>
      </c>
      <c r="Q4072"/>
      <c r="R4072" t="inlineStr">
        <is>
          <t>15周</t>
        </is>
      </c>
      <c r="S4072" t="inlineStr">
        <is>
          <t>0.07</t>
        </is>
      </c>
      <c r="T4072" t="inlineStr">
        <is>
          <t>美食滋补</t>
        </is>
      </c>
      <c r="U4072" t="inlineStr">
        <is>
          <t>营养滋补</t>
        </is>
      </c>
      <c r="V4072" s="3">
        <v>46121.98079861111</v>
      </c>
      <c r="W4072" t="inlineStr">
        <is>
          <t>2026-Q2</t>
        </is>
      </c>
    </row>
    <row r="4073" ht="25.5" customHeight="1">
      <c r="A4073" t="inlineStr">
        <is>
          <t>果壳里的城 · 粗粮谷物饼干3款红稗红枣枸杞抹茶姜富铁滋养女性早餐代餐零食</t>
        </is>
      </c>
      <c r="B4073" t="inlineStr">
        <is>
          <t>recvgjaKncKvp3.jpg</t>
        </is>
      </c>
      <c r="C4073" s="2" t="str">
        <f>=HYPERLINK("https://xhslink.com/m/1SPP2PHvtHY", "https://xhslink.com/m/1SPP2PHvtHY")</f>
        <v>https://xhslink.com/m/1SPP2PHvtHY</v>
      </c>
      <c r="D4073"/>
      <c r="E4073">
        <v>16000</v>
      </c>
      <c r="F4073">
        <v>27.38</v>
      </c>
      <c r="G4073">
        <v>16.9</v>
      </c>
      <c r="H4073">
        <v>100</v>
      </c>
      <c r="I4073" t="inlineStr">
        <is>
          <t>养生</t>
        </is>
      </c>
      <c r="J4073" t="inlineStr">
        <is>
          <t>0.01</t>
        </is>
      </c>
      <c r="K4073" t="inlineStr">
        <is>
          <t>🔥低粉爆款</t>
        </is>
      </c>
      <c r="L4073" t="inlineStr">
        <is>
          <t>汀不下来的店</t>
        </is>
      </c>
      <c r="M4073">
        <v>3915</v>
      </c>
      <c r="N4073">
        <v>4.72</v>
      </c>
      <c r="O4073">
        <v>36000</v>
      </c>
      <c r="P4073" t="inlineStr">
        <is>
          <t>68b1245f71b9e2000137ee48</t>
        </is>
      </c>
      <c r="Q4073" t="inlineStr">
        <is>
          <t>🚫重复</t>
        </is>
      </c>
      <c r="R4073" t="inlineStr">
        <is>
          <t>15周</t>
        </is>
      </c>
      <c r="S4073" t="inlineStr">
        <is>
          <t>4.09</t>
        </is>
      </c>
      <c r="T4073" t="inlineStr">
        <is>
          <t>美食滋补</t>
        </is>
      </c>
      <c r="U4073" t="inlineStr">
        <is>
          <t>休闲零食</t>
        </is>
      </c>
      <c r="V4073" s="3">
        <v>46121.98079861111</v>
      </c>
      <c r="W4073" t="inlineStr">
        <is>
          <t>2026-Q2</t>
        </is>
      </c>
    </row>
    <row r="4074" ht="25.5" customHeight="1">
      <c r="A4074" t="inlineStr">
        <is>
          <t>燕春语 · 牛奶鲜炖花胶80克/瓶 10瓶/箱 48小时内顺丰发货</t>
        </is>
      </c>
      <c r="B4074" t="inlineStr">
        <is>
          <t>recvgjaKncmNIV.jpg</t>
        </is>
      </c>
      <c r="C4074" s="2" t="str">
        <f>=HYPERLINK("https://xhslink.com/m/3Te72i1Xa97", "https://xhslink.com/m/3Te72i1Xa97")</f>
        <v>https://xhslink.com/m/3Te72i1Xa97</v>
      </c>
      <c r="D4074"/>
      <c r="E4074">
        <v>37000</v>
      </c>
      <c r="F4074">
        <v>299</v>
      </c>
      <c r="G4074">
        <v>59.9</v>
      </c>
      <c r="H4074">
        <v>100</v>
      </c>
      <c r="I4074" t="inlineStr">
        <is>
          <t>养生</t>
        </is>
      </c>
      <c r="J4074" t="inlineStr">
        <is>
          <t>0.00</t>
        </is>
      </c>
      <c r="K4074" t="inlineStr">
        <is>
          <t>🔥低粉爆款</t>
        </is>
      </c>
      <c r="L4074" t="inlineStr">
        <is>
          <t>燕春语滋补旗舰店</t>
        </is>
      </c>
      <c r="M4074">
        <v>3066</v>
      </c>
      <c r="N4074">
        <v>4.44</v>
      </c>
      <c r="O4074">
        <v>45000</v>
      </c>
      <c r="P4074" t="inlineStr">
        <is>
          <t>672d6dcf4c39cc0001181675</t>
        </is>
      </c>
      <c r="Q4074"/>
      <c r="R4074" t="inlineStr">
        <is>
          <t>15周</t>
        </is>
      </c>
      <c r="S4074" t="inlineStr">
        <is>
          <t>12.07</t>
        </is>
      </c>
      <c r="T4074" t="inlineStr">
        <is>
          <t>美食滋补</t>
        </is>
      </c>
      <c r="U4074" t="inlineStr">
        <is>
          <t>酒水冲饮</t>
        </is>
      </c>
      <c r="V4074" s="3">
        <v>46121.98079861111</v>
      </c>
      <c r="W4074" t="inlineStr">
        <is>
          <t>2026-Q2</t>
        </is>
      </c>
    </row>
    <row r="4075" ht="25.5" customHeight="1">
      <c r="A4075" t="inlineStr">
        <is>
          <t>南瓜茶养生茶包排湿肖肿告别咖啡茵自律健康配料仅南瓜秋冬养生茶</t>
        </is>
      </c>
      <c r="B4075" t="inlineStr">
        <is>
          <t>recvgoYCuB5Aih.jpg</t>
        </is>
      </c>
      <c r="C4075" s="2" t="str">
        <f>=HYPERLINK("https://xhslink.com/m/3YTt4Xh4bC5", "https://xhslink.com/m/3YTt4Xh4bC5")</f>
        <v>https://xhslink.com/m/3YTt4Xh4bC5</v>
      </c>
      <c r="D4075"/>
      <c r="E4075">
        <v>26000</v>
      </c>
      <c r="F4075">
        <v>39.9</v>
      </c>
      <c r="G4075">
        <v>19.9</v>
      </c>
      <c r="H4075">
        <v>100</v>
      </c>
      <c r="I4075" t="inlineStr">
        <is>
          <t>养生茶</t>
        </is>
      </c>
      <c r="J4075" t="inlineStr">
        <is>
          <t>0.00</t>
        </is>
      </c>
      <c r="K4075" t="inlineStr">
        <is>
          <t>🔥低粉爆款</t>
        </is>
      </c>
      <c r="L4075" t="inlineStr">
        <is>
          <t>橙棠季食养的店</t>
        </is>
      </c>
      <c r="M4075">
        <v>265</v>
      </c>
      <c r="N4075">
        <v>4.48</v>
      </c>
      <c r="O4075">
        <v>34000</v>
      </c>
      <c r="P4075" t="inlineStr">
        <is>
          <t>6923fe0401312b000120da3a</t>
        </is>
      </c>
      <c r="Q4075"/>
      <c r="R4075" t="inlineStr">
        <is>
          <t>15周</t>
        </is>
      </c>
      <c r="S4075" t="inlineStr">
        <is>
          <t>98.11</t>
        </is>
      </c>
      <c r="T4075" t="inlineStr">
        <is>
          <t>美食滋补</t>
        </is>
      </c>
      <c r="U4075" t="inlineStr">
        <is>
          <t>酒水冲饮</t>
        </is>
      </c>
      <c r="V4075" s="3">
        <v>46122.97351851852</v>
      </c>
      <c r="W4075" t="inlineStr">
        <is>
          <t>2026-Q2</t>
        </is>
      </c>
    </row>
    <row r="4076" ht="25.5" customHeight="1">
      <c r="A4076" t="inlineStr">
        <is>
          <t>阿梨奶奶·蒲公英金桔轻颜茶金桔甘草金银花降伙去豆内調养生茶</t>
        </is>
      </c>
      <c r="B4076" t="inlineStr">
        <is>
          <t>recvgoYCuBESB0.jpg</t>
        </is>
      </c>
      <c r="C4076" s="2" t="str">
        <f>=HYPERLINK("https://xhslink.com/m/AfpAaXTcYBt", "https://xhslink.com/m/AfpAaXTcYBt")</f>
        <v>https://xhslink.com/m/AfpAaXTcYBt</v>
      </c>
      <c r="D4076"/>
      <c r="E4076">
        <v>47000</v>
      </c>
      <c r="F4076">
        <v>49.9</v>
      </c>
      <c r="G4076">
        <v>19.9</v>
      </c>
      <c r="H4076">
        <v>100</v>
      </c>
      <c r="I4076" t="inlineStr">
        <is>
          <t>养生茶</t>
        </is>
      </c>
      <c r="J4076" t="inlineStr">
        <is>
          <t>0.00</t>
        </is>
      </c>
      <c r="K4076" t="inlineStr">
        <is>
          <t>🔥低粉爆款</t>
        </is>
      </c>
      <c r="L4076" t="inlineStr">
        <is>
          <t>阿梨奶奶的店</t>
        </is>
      </c>
      <c r="M4076">
        <v>834</v>
      </c>
      <c r="N4076">
        <v>4.58</v>
      </c>
      <c r="O4076">
        <v>52000</v>
      </c>
      <c r="P4076" t="inlineStr">
        <is>
          <t>680dd1e5ba99fa0001ef5b6b</t>
        </is>
      </c>
      <c r="Q4076" t="inlineStr">
        <is>
          <t>🚫重复</t>
        </is>
      </c>
      <c r="R4076" t="inlineStr">
        <is>
          <t>15周</t>
        </is>
      </c>
      <c r="S4076" t="inlineStr">
        <is>
          <t>56.35</t>
        </is>
      </c>
      <c r="T4076" t="inlineStr">
        <is>
          <t>美食滋补</t>
        </is>
      </c>
      <c r="U4076" t="inlineStr">
        <is>
          <t>酒水冲饮</t>
        </is>
      </c>
      <c r="V4076" s="3">
        <v>46122.97351851852</v>
      </c>
      <c r="W4076" t="inlineStr">
        <is>
          <t>2026-Q2</t>
        </is>
      </c>
    </row>
    <row r="4077" ht="25.5" customHeight="1">
      <c r="A4077" t="inlineStr">
        <is>
          <t>【顺丰包邮】云南蓝莓花香蓝莓抚仙湖蓝莓脆甜带花香</t>
        </is>
      </c>
      <c r="B4077" t="inlineStr">
        <is>
          <t>recvgoYCuB8d33.jpg</t>
        </is>
      </c>
      <c r="C4077" s="2" t="str">
        <f>=HYPERLINK("https://xhslink.com/m/7LtlihOrOda", "https://xhslink.com/m/7LtlihOrOda")</f>
        <v>https://xhslink.com/m/7LtlihOrOda</v>
      </c>
      <c r="D4077"/>
      <c r="E4077">
        <v>188000</v>
      </c>
      <c r="F4077">
        <v>91.8</v>
      </c>
      <c r="G4077">
        <v>71.8</v>
      </c>
      <c r="H4077">
        <v>100</v>
      </c>
      <c r="I4077" t="inlineStr">
        <is>
          <t>水果</t>
        </is>
      </c>
      <c r="J4077" t="inlineStr">
        <is>
          <t>0.00</t>
        </is>
      </c>
      <c r="K4077" t="inlineStr">
        <is>
          <t>🔥低粉爆款</t>
        </is>
      </c>
      <c r="L4077" t="inlineStr">
        <is>
          <t>sweet果记的店</t>
        </is>
      </c>
      <c r="M4077">
        <v>31000</v>
      </c>
      <c r="N4077">
        <v>4.46</v>
      </c>
      <c r="O4077">
        <v>338000</v>
      </c>
      <c r="P4077" t="inlineStr">
        <is>
          <t>67667d235677c9000139c45a</t>
        </is>
      </c>
      <c r="Q4077" t="inlineStr">
        <is>
          <t>🚫重复</t>
        </is>
      </c>
      <c r="R4077" t="inlineStr">
        <is>
          <t>15周</t>
        </is>
      </c>
      <c r="S4077" t="inlineStr">
        <is>
          <t>6.06</t>
        </is>
      </c>
      <c r="T4077" t="inlineStr">
        <is>
          <t>美食滋补</t>
        </is>
      </c>
      <c r="U4077" t="inlineStr">
        <is>
          <t>生鲜特产</t>
        </is>
      </c>
      <c r="V4077" s="3">
        <v>46122.97351851852</v>
      </c>
      <c r="W4077" t="inlineStr">
        <is>
          <t>2026-Q2</t>
        </is>
      </c>
    </row>
    <row r="4078" ht="25.5" customHeight="1">
      <c r="A4078" t="inlineStr">
        <is>
          <t>贡枝果栈 · 新鲜无花果农家应季时令水果天然孕妇下奶鲜果现摘现发顺丰包邮</t>
        </is>
      </c>
      <c r="B4078" t="inlineStr">
        <is>
          <t>recvgoYCuBBLAZ.jpg</t>
        </is>
      </c>
      <c r="C4078" s="2" t="str">
        <f>=HYPERLINK("https://xhslink.com/m/8DwmJw61IaK", "https://xhslink.com/m/8DwmJw61IaK")</f>
        <v>https://xhslink.com/m/8DwmJw61IaK</v>
      </c>
      <c r="D4078"/>
      <c r="E4078">
        <v>206000</v>
      </c>
      <c r="F4078">
        <v>88</v>
      </c>
      <c r="G4078"/>
      <c r="H4078">
        <v>100</v>
      </c>
      <c r="I4078" t="inlineStr">
        <is>
          <t>水果</t>
        </is>
      </c>
      <c r="J4078" t="inlineStr">
        <is>
          <t>0.00</t>
        </is>
      </c>
      <c r="K4078" t="inlineStr">
        <is>
          <t>🔥低粉爆款</t>
        </is>
      </c>
      <c r="L4078" t="inlineStr">
        <is>
          <t>贡枝果栈旗舰店</t>
        </is>
      </c>
      <c r="M4078">
        <v>10000</v>
      </c>
      <c r="N4078">
        <v>4.6</v>
      </c>
      <c r="O4078">
        <v>239000</v>
      </c>
      <c r="P4078" t="inlineStr">
        <is>
          <t>690ff5f00319c90001931cc8</t>
        </is>
      </c>
      <c r="Q4078" t="inlineStr">
        <is>
          <t>🚫重复</t>
        </is>
      </c>
      <c r="R4078" t="inlineStr">
        <is>
          <t>15周</t>
        </is>
      </c>
      <c r="S4078" t="inlineStr">
        <is>
          <t>20.60</t>
        </is>
      </c>
      <c r="T4078" t="inlineStr">
        <is>
          <t>美食滋补</t>
        </is>
      </c>
      <c r="U4078" t="inlineStr">
        <is>
          <t>生鲜特产</t>
        </is>
      </c>
      <c r="V4078" s="3">
        <v>46122.97351851852</v>
      </c>
      <c r="W4078" t="inlineStr">
        <is>
          <t>2026-Q2</t>
        </is>
      </c>
    </row>
    <row r="4079" ht="25.5" customHeight="1">
      <c r="A4079" t="inlineStr">
        <is>
          <t>黄精桑葚膏 |  熬夜 | 头发 |九蒸九晒 . 250g</t>
        </is>
      </c>
      <c r="B4079" t="inlineStr">
        <is>
          <t>recvgoYCuBUQf7.jpg</t>
        </is>
      </c>
      <c r="C4079" s="2" t="str">
        <f>=HYPERLINK("https://xhslink.com/m/APqcIgjvBMt", "https://xhslink.com/m/APqcIgjvBMt")</f>
        <v>https://xhslink.com/m/APqcIgjvBMt</v>
      </c>
      <c r="D4079"/>
      <c r="E4079">
        <v>31000</v>
      </c>
      <c r="F4079">
        <v>119</v>
      </c>
      <c r="G4079">
        <v>40</v>
      </c>
      <c r="H4079">
        <v>100</v>
      </c>
      <c r="I4079" t="inlineStr">
        <is>
          <t>气血滋补</t>
        </is>
      </c>
      <c r="J4079" t="inlineStr">
        <is>
          <t>0.00</t>
        </is>
      </c>
      <c r="K4079" t="inlineStr">
        <is>
          <t>🔥低粉爆款</t>
        </is>
      </c>
      <c r="L4079" t="inlineStr">
        <is>
          <t>姜医食养的店</t>
        </is>
      </c>
      <c r="M4079">
        <v>10000</v>
      </c>
      <c r="N4079">
        <v>4.69</v>
      </c>
      <c r="O4079">
        <v>188000</v>
      </c>
      <c r="P4079" t="inlineStr">
        <is>
          <t>66eba65129e69000017cd738</t>
        </is>
      </c>
      <c r="Q4079" t="inlineStr">
        <is>
          <t>🚫重复</t>
        </is>
      </c>
      <c r="R4079" t="inlineStr">
        <is>
          <t>15周</t>
        </is>
      </c>
      <c r="S4079" t="inlineStr">
        <is>
          <t>3.10</t>
        </is>
      </c>
      <c r="T4079" t="inlineStr">
        <is>
          <t>美食滋补</t>
        </is>
      </c>
      <c r="U4079" t="inlineStr">
        <is>
          <t>营养滋补</t>
        </is>
      </c>
      <c r="V4079" s="3">
        <v>46122.97351851852</v>
      </c>
      <c r="W4079" t="inlineStr">
        <is>
          <t>2026-Q2</t>
        </is>
      </c>
    </row>
    <row r="4080" ht="25.5" customHeight="1">
      <c r="A4080" t="inlineStr">
        <is>
          <t>【大米饭】三伏天也能穿的运动休闲八分九分条纹裙裤！</t>
        </is>
      </c>
      <c r="B4080" t="inlineStr">
        <is>
          <t>recvgoYCuB3Xsk.jpg</t>
        </is>
      </c>
      <c r="C4080" s="2" t="str">
        <f>=HYPERLINK("https://xhslink.com/m/AtSGkkRyMuU", "https://xhslink.com/m/AtSGkkRyMuU")</f>
        <v>https://xhslink.com/m/AtSGkkRyMuU</v>
      </c>
      <c r="D4080"/>
      <c r="E4080">
        <v>2401</v>
      </c>
      <c r="F4080">
        <v>64</v>
      </c>
      <c r="G4080">
        <v>59</v>
      </c>
      <c r="H4080">
        <v>100</v>
      </c>
      <c r="I4080" t="inlineStr">
        <is>
          <t>休闲裤</t>
        </is>
      </c>
      <c r="J4080" t="inlineStr">
        <is>
          <t>0.04</t>
        </is>
      </c>
      <c r="K4080"/>
      <c r="L4080" t="inlineStr">
        <is>
          <t>大米饭制衣厂（厂长版）的店</t>
        </is>
      </c>
      <c r="M4080">
        <v>64000</v>
      </c>
      <c r="N4080">
        <v>4.74</v>
      </c>
      <c r="O4080">
        <v>166000</v>
      </c>
      <c r="P4080" t="inlineStr">
        <is>
          <t>668514c16241ee0001ffbce9</t>
        </is>
      </c>
      <c r="Q4080" t="inlineStr">
        <is>
          <t>🚫重复</t>
        </is>
      </c>
      <c r="R4080" t="inlineStr">
        <is>
          <t>15周</t>
        </is>
      </c>
      <c r="S4080" t="inlineStr">
        <is>
          <t>0.04</t>
        </is>
      </c>
      <c r="T4080" t="inlineStr">
        <is>
          <t>服饰穿搭</t>
        </is>
      </c>
      <c r="U4080" t="inlineStr">
        <is>
          <t>女装</t>
        </is>
      </c>
      <c r="V4080" s="3">
        <v>46122.97351851852</v>
      </c>
      <c r="W4080" t="inlineStr">
        <is>
          <t>2026-Q2</t>
        </is>
      </c>
    </row>
    <row r="4081" ht="25.5" customHeight="1">
      <c r="A4081" t="inlineStr">
        <is>
          <t>【纯棉短裤】小陈大码自制·高腰休闲宽松运动裤 A字版巨显腿细！</t>
        </is>
      </c>
      <c r="B4081" t="inlineStr">
        <is>
          <t>recvgoYCuB3oFO.jpg</t>
        </is>
      </c>
      <c r="C4081" s="2" t="str">
        <f>=HYPERLINK("https://xhslink.com/m/4kYbZ2rJBhJ", "https://xhslink.com/m/4kYbZ2rJBhJ")</f>
        <v>https://xhslink.com/m/4kYbZ2rJBhJ</v>
      </c>
      <c r="D4081"/>
      <c r="E4081">
        <v>7910</v>
      </c>
      <c r="F4081">
        <v>89</v>
      </c>
      <c r="G4081">
        <v>59</v>
      </c>
      <c r="H4081">
        <v>100</v>
      </c>
      <c r="I4081" t="inlineStr">
        <is>
          <t>短裤</t>
        </is>
      </c>
      <c r="J4081" t="inlineStr">
        <is>
          <t>0.01</t>
        </is>
      </c>
      <c r="K4081"/>
      <c r="L4081" t="inlineStr">
        <is>
          <t>150斤的小陈的店</t>
        </is>
      </c>
      <c r="M4081">
        <v>26000</v>
      </c>
      <c r="N4081">
        <v>4.71</v>
      </c>
      <c r="O4081">
        <v>73000</v>
      </c>
      <c r="P4081" t="inlineStr">
        <is>
          <t>687ba6178fe3470001caf464</t>
        </is>
      </c>
      <c r="Q4081" t="inlineStr">
        <is>
          <t>🚫重复</t>
        </is>
      </c>
      <c r="R4081" t="inlineStr">
        <is>
          <t>15周</t>
        </is>
      </c>
      <c r="S4081" t="inlineStr">
        <is>
          <t>0.30</t>
        </is>
      </c>
      <c r="T4081" t="inlineStr">
        <is>
          <t>服饰穿搭</t>
        </is>
      </c>
      <c r="U4081" t="inlineStr">
        <is>
          <t>女装</t>
        </is>
      </c>
      <c r="V4081" s="3">
        <v>46122.97351851852</v>
      </c>
      <c r="W4081" t="inlineStr">
        <is>
          <t>2026-Q2</t>
        </is>
      </c>
    </row>
    <row r="4082" ht="25.5" customHeight="1">
      <c r="A4082" t="inlineStr">
        <is>
          <t>休闲高腰弹力运动短裤骑行裤女纯色百搭 320G</t>
        </is>
      </c>
      <c r="B4082" t="inlineStr">
        <is>
          <t>recvgoYCuBgNaC.jpg</t>
        </is>
      </c>
      <c r="C4082" s="2" t="str">
        <f>=HYPERLINK("https://xhslink.com/m/MsohuDTW6n", "https://xhslink.com/m/MsohuDTW6n")</f>
        <v>https://xhslink.com/m/MsohuDTW6n</v>
      </c>
      <c r="D4082"/>
      <c r="E4082">
        <v>4622</v>
      </c>
      <c r="F4082">
        <v>59.8</v>
      </c>
      <c r="G4082">
        <v>49.8</v>
      </c>
      <c r="H4082">
        <v>100</v>
      </c>
      <c r="I4082" t="inlineStr">
        <is>
          <t>短裤</t>
        </is>
      </c>
      <c r="J4082" t="inlineStr">
        <is>
          <t>0.02</t>
        </is>
      </c>
      <c r="K4082"/>
      <c r="L4082" t="inlineStr">
        <is>
          <t>1mo饼的店</t>
        </is>
      </c>
      <c r="M4082">
        <v>96000</v>
      </c>
      <c r="N4082">
        <v>4.68</v>
      </c>
      <c r="O4082">
        <v>470000</v>
      </c>
      <c r="P4082" t="inlineStr">
        <is>
          <t>68330facd5fe8c00013a1971</t>
        </is>
      </c>
      <c r="Q4082" t="inlineStr">
        <is>
          <t>🚫重复</t>
        </is>
      </c>
      <c r="R4082" t="inlineStr">
        <is>
          <t>15周</t>
        </is>
      </c>
      <c r="S4082" t="inlineStr">
        <is>
          <t>0.05</t>
        </is>
      </c>
      <c r="T4082" t="inlineStr">
        <is>
          <t>服饰穿搭</t>
        </is>
      </c>
      <c r="U4082" t="inlineStr">
        <is>
          <t>女装</t>
        </is>
      </c>
      <c r="V4082" s="3">
        <v>46122.97351851852</v>
      </c>
      <c r="W4082" t="inlineStr">
        <is>
          <t>2026-Q2</t>
        </is>
      </c>
    </row>
    <row r="4083" ht="25.5" customHeight="1">
      <c r="A4083" t="inlineStr">
        <is>
          <t>藏青色水洗棉麻运动短裤女夏季薄款外穿宽松显瘦小个子休闲阔腿裤</t>
        </is>
      </c>
      <c r="B4083" t="inlineStr">
        <is>
          <t>recvgoYCuBj6cr.jpg</t>
        </is>
      </c>
      <c r="C4083" s="2" t="str">
        <f>=HYPERLINK("https://xhslink.com/m/12MQ4T2c8oW", "https://xhslink.com/m/12MQ4T2c8oW")</f>
        <v>https://xhslink.com/m/12MQ4T2c8oW</v>
      </c>
      <c r="D4083"/>
      <c r="E4083">
        <v>30000</v>
      </c>
      <c r="F4083">
        <v>89</v>
      </c>
      <c r="G4083">
        <v>49.9</v>
      </c>
      <c r="H4083">
        <v>100</v>
      </c>
      <c r="I4083" t="inlineStr">
        <is>
          <t>短裤</t>
        </is>
      </c>
      <c r="J4083" t="inlineStr">
        <is>
          <t>0.00</t>
        </is>
      </c>
      <c r="K4083"/>
      <c r="L4083" t="inlineStr">
        <is>
          <t>黄吉吉的店</t>
        </is>
      </c>
      <c r="M4083">
        <v>1317000</v>
      </c>
      <c r="N4083">
        <v>4.35</v>
      </c>
      <c r="O4083">
        <v>2766000</v>
      </c>
      <c r="P4083" t="inlineStr">
        <is>
          <t>6826d52432712d00159cb560</t>
        </is>
      </c>
      <c r="Q4083" t="inlineStr">
        <is>
          <t>🚫重复</t>
        </is>
      </c>
      <c r="R4083" t="inlineStr">
        <is>
          <t>15周</t>
        </is>
      </c>
      <c r="S4083" t="inlineStr">
        <is>
          <t>0.02</t>
        </is>
      </c>
      <c r="T4083" t="inlineStr">
        <is>
          <t>服饰穿搭</t>
        </is>
      </c>
      <c r="U4083" t="inlineStr">
        <is>
          <t>女装</t>
        </is>
      </c>
      <c r="V4083" s="3">
        <v>46122.97351851852</v>
      </c>
      <c r="W4083" t="inlineStr">
        <is>
          <t>2026-Q2</t>
        </is>
      </c>
    </row>
    <row r="4084" ht="25.5" customHeight="1">
      <c r="A4084" t="inlineStr">
        <is>
          <t>山系防泼水！户外撞色拉链沙滩透气凉感冰皮短裤情侣速干五分裤</t>
        </is>
      </c>
      <c r="B4084" t="inlineStr">
        <is>
          <t>recvgoYCuB7YgF.jpg</t>
        </is>
      </c>
      <c r="C4084" s="2" t="str">
        <f>=HYPERLINK("https://xhslink.com/m/5nWv5J3XAwv", "https://xhslink.com/m/5nWv5J3XAwv")</f>
        <v>https://xhslink.com/m/5nWv5J3XAwv</v>
      </c>
      <c r="D4084"/>
      <c r="E4084">
        <v>4228</v>
      </c>
      <c r="F4084">
        <v>55</v>
      </c>
      <c r="G4084"/>
      <c r="H4084">
        <v>100</v>
      </c>
      <c r="I4084" t="inlineStr">
        <is>
          <t>短裤</t>
        </is>
      </c>
      <c r="J4084" t="inlineStr">
        <is>
          <t>0.02</t>
        </is>
      </c>
      <c r="K4084"/>
      <c r="L4084" t="inlineStr">
        <is>
          <t>拾野户外的店</t>
        </is>
      </c>
      <c r="M4084">
        <v>2238</v>
      </c>
      <c r="N4084">
        <v>4.62</v>
      </c>
      <c r="O4084">
        <v>16000</v>
      </c>
      <c r="P4084" t="inlineStr">
        <is>
          <t>680f85e87ccb2300018e7117</t>
        </is>
      </c>
      <c r="Q4084"/>
      <c r="R4084" t="inlineStr">
        <is>
          <t>15周</t>
        </is>
      </c>
      <c r="S4084" t="inlineStr">
        <is>
          <t>1.89</t>
        </is>
      </c>
      <c r="T4084" t="inlineStr">
        <is>
          <t>服饰穿搭</t>
        </is>
      </c>
      <c r="U4084" t="inlineStr">
        <is>
          <t>女装</t>
        </is>
      </c>
      <c r="V4084" s="3">
        <v>46122.97351851852</v>
      </c>
      <c r="W4084" t="inlineStr">
        <is>
          <t>2026-Q2</t>
        </is>
      </c>
    </row>
    <row r="4085" ht="25.5" customHeight="1">
      <c r="A4085" t="inlineStr">
        <is>
          <t>《遮胯配方》高腰牛仔短裤女宽松设计感小众复古阔腿a字热裤</t>
        </is>
      </c>
      <c r="B4085" t="inlineStr">
        <is>
          <t>recvgoYCuBHyaD.jpg</t>
        </is>
      </c>
      <c r="C4085" s="2" t="str">
        <f>=HYPERLINK("https://xhslink.com/m/GsVefmoge9", "https://xhslink.com/m/GsVefmoge9")</f>
        <v>https://xhslink.com/m/GsVefmoge9</v>
      </c>
      <c r="D4085"/>
      <c r="E4085">
        <v>2044</v>
      </c>
      <c r="F4085">
        <v>83</v>
      </c>
      <c r="G4085">
        <v>69</v>
      </c>
      <c r="H4085">
        <v>100</v>
      </c>
      <c r="I4085" t="inlineStr">
        <is>
          <t>短裤</t>
        </is>
      </c>
      <c r="J4085" t="inlineStr">
        <is>
          <t>0.05</t>
        </is>
      </c>
      <c r="K4085"/>
      <c r="L4085" t="inlineStr">
        <is>
          <t>哈哈哈的店</t>
        </is>
      </c>
      <c r="M4085">
        <v>204000</v>
      </c>
      <c r="N4085">
        <v>4.5</v>
      </c>
      <c r="O4085">
        <v>1080000</v>
      </c>
      <c r="P4085" t="inlineStr">
        <is>
          <t>685fdce290283400011bc52c</t>
        </is>
      </c>
      <c r="Q4085" t="inlineStr">
        <is>
          <t>🚫重复</t>
        </is>
      </c>
      <c r="R4085" t="inlineStr">
        <is>
          <t>15周</t>
        </is>
      </c>
      <c r="S4085" t="inlineStr">
        <is>
          <t>0.01</t>
        </is>
      </c>
      <c r="T4085" t="inlineStr">
        <is>
          <t>服饰穿搭</t>
        </is>
      </c>
      <c r="U4085" t="inlineStr">
        <is>
          <t>女装</t>
        </is>
      </c>
      <c r="V4085" s="3">
        <v>46122.97351851852</v>
      </c>
      <c r="W4085" t="inlineStr">
        <is>
          <t>2026-Q2</t>
        </is>
      </c>
    </row>
    <row r="4086" ht="25.5" customHeight="1">
      <c r="A4086" t="inlineStr">
        <is>
          <t>多色裙裤松紧腰斜插袋轻薄速干休闲短裤宽松四五分裤夏季裤子女</t>
        </is>
      </c>
      <c r="B4086" t="inlineStr">
        <is>
          <t>recvgoYCuBOmpV.jpg</t>
        </is>
      </c>
      <c r="C4086" s="2" t="str">
        <f>=HYPERLINK("https://xhslink.com/m/5dbFk2guXqF", "https://xhslink.com/m/5dbFk2guXqF")</f>
        <v>https://xhslink.com/m/5dbFk2guXqF</v>
      </c>
      <c r="D4086"/>
      <c r="E4086">
        <v>17000</v>
      </c>
      <c r="F4086">
        <v>59</v>
      </c>
      <c r="G4086">
        <v>49</v>
      </c>
      <c r="H4086">
        <v>100</v>
      </c>
      <c r="I4086" t="inlineStr">
        <is>
          <t>短裤</t>
        </is>
      </c>
      <c r="J4086" t="inlineStr">
        <is>
          <t>0.01</t>
        </is>
      </c>
      <c r="K4086"/>
      <c r="L4086" t="inlineStr">
        <is>
          <t>一沫制衣的店</t>
        </is>
      </c>
      <c r="M4086">
        <v>148000</v>
      </c>
      <c r="N4086">
        <v>4.66</v>
      </c>
      <c r="O4086">
        <v>950000</v>
      </c>
      <c r="P4086" t="inlineStr">
        <is>
          <t>665daa5635bf780001fc18b1</t>
        </is>
      </c>
      <c r="Q4086" t="inlineStr">
        <is>
          <t>🚫重复</t>
        </is>
      </c>
      <c r="R4086" t="inlineStr">
        <is>
          <t>15周</t>
        </is>
      </c>
      <c r="S4086" t="inlineStr">
        <is>
          <t>0.11</t>
        </is>
      </c>
      <c r="T4086" t="inlineStr">
        <is>
          <t>服饰穿搭</t>
        </is>
      </c>
      <c r="U4086" t="inlineStr">
        <is>
          <t>女装</t>
        </is>
      </c>
      <c r="V4086" s="3">
        <v>46122.97351851852</v>
      </c>
      <c r="W4086" t="inlineStr">
        <is>
          <t>2026-Q2</t>
        </is>
      </c>
    </row>
    <row r="4087" ht="25.5" customHeight="1">
      <c r="A4087" t="inlineStr">
        <is>
          <t>TOLI · 东理家居无胶拼接地毯日式儿童宠物家用环保方块地垫350系列</t>
        </is>
      </c>
      <c r="B4087" t="inlineStr">
        <is>
          <t>recvgoYCuBiosA.jpg</t>
        </is>
      </c>
      <c r="C4087" s="2" t="str">
        <f>=HYPERLINK("https://xhslink.com/m/9mdQ3F7WxU", "https://xhslink.com/m/9mdQ3F7WxU")</f>
        <v>https://xhslink.com/m/9mdQ3F7WxU</v>
      </c>
      <c r="D4087"/>
      <c r="E4087">
        <v>38000</v>
      </c>
      <c r="F4087">
        <v>76</v>
      </c>
      <c r="G4087">
        <v>36.9</v>
      </c>
      <c r="H4087">
        <v>100</v>
      </c>
      <c r="I4087" t="inlineStr">
        <is>
          <t>地毯</t>
        </is>
      </c>
      <c r="J4087" t="inlineStr">
        <is>
          <t>0.00</t>
        </is>
      </c>
      <c r="K4087" t="inlineStr">
        <is>
          <t>🔥低粉爆款</t>
        </is>
      </c>
      <c r="L4087" t="inlineStr">
        <is>
          <t>TOLI家居地毯旗舰店</t>
        </is>
      </c>
      <c r="M4087">
        <v>3867</v>
      </c>
      <c r="N4087">
        <v>4.72</v>
      </c>
      <c r="O4087">
        <v>52000</v>
      </c>
      <c r="P4087" t="inlineStr">
        <is>
          <t>691aa67f1c5b2a0001e40ef1</t>
        </is>
      </c>
      <c r="Q4087"/>
      <c r="R4087" t="inlineStr">
        <is>
          <t>15周</t>
        </is>
      </c>
      <c r="S4087" t="inlineStr">
        <is>
          <t>9.83</t>
        </is>
      </c>
      <c r="T4087" t="inlineStr">
        <is>
          <t>家居生活</t>
        </is>
      </c>
      <c r="U4087" t="inlineStr">
        <is>
          <t>家居日用</t>
        </is>
      </c>
      <c r="V4087" s="3">
        <v>46122.97351851852</v>
      </c>
      <c r="W4087" t="inlineStr">
        <is>
          <t>2026-Q2</t>
        </is>
      </c>
    </row>
    <row r="4088" ht="25.5" customHeight="1">
      <c r="A4088" t="inlineStr">
        <is>
          <t>OTHER·仿剑麻地毯日式客厅茶几地毯飘窗毯拍照猫抓毯门口大面积毯</t>
        </is>
      </c>
      <c r="B4088" t="inlineStr">
        <is>
          <t>recvgoYCuBQJfr.jpg</t>
        </is>
      </c>
      <c r="C4088" s="2" t="str">
        <f>=HYPERLINK("https://xhslink.com/m/AfxPPT3RnNK", "https://xhslink.com/m/AfxPPT3RnNK")</f>
        <v>https://xhslink.com/m/AfxPPT3RnNK</v>
      </c>
      <c r="D4088"/>
      <c r="E4088">
        <v>2971</v>
      </c>
      <c r="F4088">
        <v>13.2</v>
      </c>
      <c r="G4088">
        <v>9.9</v>
      </c>
      <c r="H4088">
        <v>100</v>
      </c>
      <c r="I4088" t="inlineStr">
        <is>
          <t>地毯</t>
        </is>
      </c>
      <c r="J4088" t="inlineStr">
        <is>
          <t>0.03</t>
        </is>
      </c>
      <c r="K4088" t="inlineStr">
        <is>
          <t>🔥低粉爆款</t>
        </is>
      </c>
      <c r="L4088" t="inlineStr">
        <is>
          <t>小狮子地毯的店</t>
        </is>
      </c>
      <c r="M4088">
        <v>671</v>
      </c>
      <c r="N4088">
        <v>4.51</v>
      </c>
      <c r="O4088">
        <v>21000</v>
      </c>
      <c r="P4088" t="inlineStr">
        <is>
          <t>681f3b2c529cff00013ec669</t>
        </is>
      </c>
      <c r="Q4088" t="inlineStr">
        <is>
          <t>🚫重复</t>
        </is>
      </c>
      <c r="R4088" t="inlineStr">
        <is>
          <t>15周</t>
        </is>
      </c>
      <c r="S4088" t="inlineStr">
        <is>
          <t>4.43</t>
        </is>
      </c>
      <c r="T4088" t="inlineStr">
        <is>
          <t>家居生活</t>
        </is>
      </c>
      <c r="U4088" t="inlineStr">
        <is>
          <t>家居日用</t>
        </is>
      </c>
      <c r="V4088" s="3">
        <v>46122.97351851852</v>
      </c>
      <c r="W4088" t="inlineStr">
        <is>
          <t>2026-Q2</t>
        </is>
      </c>
    </row>
    <row r="4089" ht="25.5" customHeight="1">
      <c r="A4089" t="inlineStr">
        <is>
          <t>铁艺收纳筐护肤品面膜收纳架学生宿舍桌面洗手台浴室杂物置物架</t>
        </is>
      </c>
      <c r="B4089" t="inlineStr">
        <is>
          <t>recvgoYCuBFn1q.jpg</t>
        </is>
      </c>
      <c r="C4089" s="2" t="str">
        <f>=HYPERLINK("https://xhslink.com/m/7VCWVgNbI5j", "https://xhslink.com/m/7VCWVgNbI5j")</f>
        <v>https://xhslink.com/m/7VCWVgNbI5j</v>
      </c>
      <c r="D4089"/>
      <c r="E4089">
        <v>789</v>
      </c>
      <c r="F4089">
        <v>34</v>
      </c>
      <c r="G4089">
        <v>11.9</v>
      </c>
      <c r="H4089">
        <v>100</v>
      </c>
      <c r="I4089" t="inlineStr">
        <is>
          <t>卧室收纳</t>
        </is>
      </c>
      <c r="J4089" t="inlineStr">
        <is>
          <t>0.13</t>
        </is>
      </c>
      <c r="K4089"/>
      <c r="L4089" t="inlineStr">
        <is>
          <t>溢美精选之家的店</t>
        </is>
      </c>
      <c r="M4089">
        <v>5075</v>
      </c>
      <c r="N4089">
        <v>4.59</v>
      </c>
      <c r="O4089">
        <v>156000</v>
      </c>
      <c r="P4089" t="inlineStr">
        <is>
          <t>696342d793c746000132bab6</t>
        </is>
      </c>
      <c r="Q4089"/>
      <c r="R4089" t="inlineStr">
        <is>
          <t>15周</t>
        </is>
      </c>
      <c r="S4089" t="inlineStr">
        <is>
          <t>0.16</t>
        </is>
      </c>
      <c r="T4089" t="inlineStr">
        <is>
          <t>家居生活</t>
        </is>
      </c>
      <c r="U4089" t="inlineStr">
        <is>
          <t>家居日用</t>
        </is>
      </c>
      <c r="V4089" s="3">
        <v>46122.97351851852</v>
      </c>
      <c r="W4089" t="inlineStr">
        <is>
          <t>2026-Q2</t>
        </is>
      </c>
    </row>
    <row r="4090" ht="25.5" customHeight="1">
      <c r="A4090" t="inlineStr">
        <is>
          <t>独家 | 环游世界的80种植物/鸟/鱼/树 自然科普艺术插图</t>
        </is>
      </c>
      <c r="B4090" t="inlineStr">
        <is>
          <t>recvgoYCuBwphW.jpg</t>
        </is>
      </c>
      <c r="C4090" s="2" t="str">
        <f>=HYPERLINK("https://xhslink.com/m/301fh9reU4f", "https://xhslink.com/m/301fh9reU4f")</f>
        <v>https://xhslink.com/m/301fh9reU4f</v>
      </c>
      <c r="D4090"/>
      <c r="E4090">
        <v>416</v>
      </c>
      <c r="F4090">
        <v>198</v>
      </c>
      <c r="G4090">
        <v>69</v>
      </c>
      <c r="H4090">
        <v>100</v>
      </c>
      <c r="I4090" t="inlineStr">
        <is>
          <t>科普百科</t>
        </is>
      </c>
      <c r="J4090" t="inlineStr">
        <is>
          <t>0.24</t>
        </is>
      </c>
      <c r="K4090"/>
      <c r="L4090" t="inlineStr">
        <is>
          <t>栖籽国书屋的店</t>
        </is>
      </c>
      <c r="M4090">
        <v>9916</v>
      </c>
      <c r="N4090">
        <v>4.69</v>
      </c>
      <c r="O4090">
        <v>143000</v>
      </c>
      <c r="P4090" t="inlineStr">
        <is>
          <t>69aaaaf4fbdff60001ff40f2</t>
        </is>
      </c>
      <c r="Q4090"/>
      <c r="R4090" t="inlineStr">
        <is>
          <t>15周</t>
        </is>
      </c>
      <c r="S4090" t="inlineStr">
        <is>
          <t>0.04</t>
        </is>
      </c>
      <c r="T4090" t="inlineStr">
        <is>
          <t>家居生活</t>
        </is>
      </c>
      <c r="U4090" t="inlineStr">
        <is>
          <t>家具家装</t>
        </is>
      </c>
      <c r="V4090" s="3">
        <v>46122.97351851852</v>
      </c>
      <c r="W4090" t="inlineStr">
        <is>
          <t>2026-Q2</t>
        </is>
      </c>
    </row>
    <row r="4091" ht="25.5" customHeight="1">
      <c r="A4091" t="inlineStr">
        <is>
          <t>【 正版 出版社直发！】小自然 小植物 共251页 儿童科普2-8岁</t>
        </is>
      </c>
      <c r="B4091" t="inlineStr">
        <is>
          <t>recvgoYCuBWdn4.jpg</t>
        </is>
      </c>
      <c r="C4091" s="2" t="str">
        <f>=HYPERLINK("https://xhslink.com/m/3BXAeDJuFGl", "https://xhslink.com/m/3BXAeDJuFGl")</f>
        <v>https://xhslink.com/m/3BXAeDJuFGl</v>
      </c>
      <c r="D4091"/>
      <c r="E4091">
        <v>100000</v>
      </c>
      <c r="F4091">
        <v>32.8</v>
      </c>
      <c r="G4091"/>
      <c r="H4091">
        <v>100</v>
      </c>
      <c r="I4091" t="inlineStr">
        <is>
          <t>科普百科</t>
        </is>
      </c>
      <c r="J4091" t="inlineStr">
        <is>
          <t>0.00</t>
        </is>
      </c>
      <c r="K4091"/>
      <c r="L4091" t="inlineStr">
        <is>
          <t>小宇的书屋的店</t>
        </is>
      </c>
      <c r="M4091">
        <v>52000</v>
      </c>
      <c r="N4091">
        <v>4.6</v>
      </c>
      <c r="O4091">
        <v>487000</v>
      </c>
      <c r="P4091" t="inlineStr">
        <is>
          <t>691692d9611c010001caed42</t>
        </is>
      </c>
      <c r="Q4091" t="inlineStr">
        <is>
          <t>🚫重复</t>
        </is>
      </c>
      <c r="R4091" t="inlineStr">
        <is>
          <t>15周</t>
        </is>
      </c>
      <c r="S4091" t="inlineStr">
        <is>
          <t>1.92</t>
        </is>
      </c>
      <c r="T4091" t="inlineStr">
        <is>
          <t>家居生活</t>
        </is>
      </c>
      <c r="U4091" t="inlineStr">
        <is>
          <t>家具家装</t>
        </is>
      </c>
      <c r="V4091" s="3">
        <v>46122.97351851852</v>
      </c>
      <c r="W4091" t="inlineStr">
        <is>
          <t>2026-Q2</t>
        </is>
      </c>
    </row>
    <row r="4092" ht="25.5" customHeight="1">
      <c r="A4092" t="inlineStr">
        <is>
          <t>儿童好奇心大百科/青岛/3-12岁</t>
        </is>
      </c>
      <c r="B4092" t="inlineStr">
        <is>
          <t>recvgoYCuBS4Xl.jpg</t>
        </is>
      </c>
      <c r="C4092" s="2" t="str">
        <f>=HYPERLINK("https://xhslink.com/m/nVfbCy0BNb", "https://xhslink.com/m/nVfbCy0BNb")</f>
        <v>https://xhslink.com/m/nVfbCy0BNb</v>
      </c>
      <c r="D4092"/>
      <c r="E4092">
        <v>8960</v>
      </c>
      <c r="F4092">
        <v>59.6</v>
      </c>
      <c r="G4092"/>
      <c r="H4092">
        <v>100</v>
      </c>
      <c r="I4092" t="inlineStr">
        <is>
          <t>科普百科</t>
        </is>
      </c>
      <c r="J4092" t="inlineStr">
        <is>
          <t>0.01</t>
        </is>
      </c>
      <c r="K4092" t="inlineStr">
        <is>
          <t>🔥低粉爆款</t>
        </is>
      </c>
      <c r="L4092" t="inlineStr">
        <is>
          <t>安然的书屋的店</t>
        </is>
      </c>
      <c r="M4092">
        <v>2095</v>
      </c>
      <c r="N4092">
        <v>4.61</v>
      </c>
      <c r="O4092">
        <v>42000</v>
      </c>
      <c r="P4092" t="inlineStr">
        <is>
          <t>670c7d1530fccd0001ef6a5c</t>
        </is>
      </c>
      <c r="Q4092" t="inlineStr">
        <is>
          <t>🚫重复</t>
        </is>
      </c>
      <c r="R4092" t="inlineStr">
        <is>
          <t>15周</t>
        </is>
      </c>
      <c r="S4092" t="inlineStr">
        <is>
          <t>4.28</t>
        </is>
      </c>
      <c r="T4092" t="inlineStr">
        <is>
          <t>母婴亲子</t>
        </is>
      </c>
      <c r="U4092" t="inlineStr">
        <is>
          <t>童装童鞋</t>
        </is>
      </c>
      <c r="V4092" s="3">
        <v>46122.97351851852</v>
      </c>
      <c r="W4092" t="inlineStr">
        <is>
          <t>2026-Q2</t>
        </is>
      </c>
    </row>
    <row r="4093" ht="25.5" customHeight="1">
      <c r="A4093" t="inlineStr">
        <is>
          <t>Keep Baufine · 大拇指腱鞘护腕防手腕扭妈妈手关节劳损固定器男女薄款羽毛球腕带</t>
        </is>
      </c>
      <c r="B4093" t="inlineStr">
        <is>
          <t>recvgoYCuBka0d.jpg</t>
        </is>
      </c>
      <c r="C4093" s="2" t="str">
        <f>=HYPERLINK("https://xhslink.com/m/4uKCqSazWMs", "https://xhslink.com/m/4uKCqSazWMs")</f>
        <v>https://xhslink.com/m/4uKCqSazWMs</v>
      </c>
      <c r="D4093"/>
      <c r="E4093">
        <v>46000</v>
      </c>
      <c r="F4093">
        <v>69</v>
      </c>
      <c r="G4093">
        <v>49.6</v>
      </c>
      <c r="H4093">
        <v>100</v>
      </c>
      <c r="I4093" t="inlineStr">
        <is>
          <t>运动包配</t>
        </is>
      </c>
      <c r="J4093" t="inlineStr">
        <is>
          <t>0.00</t>
        </is>
      </c>
      <c r="K4093" t="inlineStr">
        <is>
          <t>🔥低粉爆款</t>
        </is>
      </c>
      <c r="L4093" t="inlineStr">
        <is>
          <t>Keep Baufine旗舰店</t>
        </is>
      </c>
      <c r="M4093">
        <v>5667</v>
      </c>
      <c r="N4093">
        <v>4.73</v>
      </c>
      <c r="O4093">
        <v>103000</v>
      </c>
      <c r="P4093" t="inlineStr">
        <is>
          <t>686e0aa93287950001165d19</t>
        </is>
      </c>
      <c r="Q4093"/>
      <c r="R4093" t="inlineStr">
        <is>
          <t>15周</t>
        </is>
      </c>
      <c r="S4093" t="inlineStr">
        <is>
          <t>8.12</t>
        </is>
      </c>
      <c r="T4093" t="inlineStr">
        <is>
          <t>运动潮玩</t>
        </is>
      </c>
      <c r="U4093" t="inlineStr">
        <is>
          <t>运动户外装备</t>
        </is>
      </c>
      <c r="V4093" s="3">
        <v>46122.97351851852</v>
      </c>
      <c r="W4093" t="inlineStr">
        <is>
          <t>2026-Q2</t>
        </is>
      </c>
    </row>
    <row r="4094" ht="25.5" customHeight="1">
      <c r="A4094" t="inlineStr">
        <is>
          <t>复古超大框户外骑行滑雪登山防风护目镜墨镜太阳镜男女</t>
        </is>
      </c>
      <c r="B4094" t="inlineStr">
        <is>
          <t>recvgoYCuBriST.jpg</t>
        </is>
      </c>
      <c r="C4094" s="2" t="str">
        <f>=HYPERLINK("https://xhslink.com/m/kxulxR6gLE", "https://xhslink.com/m/kxulxR6gLE")</f>
        <v>https://xhslink.com/m/kxulxR6gLE</v>
      </c>
      <c r="D4094"/>
      <c r="E4094">
        <v>19000</v>
      </c>
      <c r="F4094">
        <v>29.99</v>
      </c>
      <c r="G4094">
        <v>17.99</v>
      </c>
      <c r="H4094">
        <v>100</v>
      </c>
      <c r="I4094" t="inlineStr">
        <is>
          <t>运动包配</t>
        </is>
      </c>
      <c r="J4094" t="inlineStr">
        <is>
          <t>0.01</t>
        </is>
      </c>
      <c r="K4094" t="inlineStr">
        <is>
          <t>🔥低粉爆款</t>
        </is>
      </c>
      <c r="L4094" t="inlineStr">
        <is>
          <t>沐光小镜👓的店</t>
        </is>
      </c>
      <c r="M4094">
        <v>213</v>
      </c>
      <c r="N4094">
        <v>4.66</v>
      </c>
      <c r="O4094">
        <v>19000</v>
      </c>
      <c r="P4094" t="inlineStr">
        <is>
          <t>68de0d3d6d0808001561c622</t>
        </is>
      </c>
      <c r="Q4094"/>
      <c r="R4094" t="inlineStr">
        <is>
          <t>15周</t>
        </is>
      </c>
      <c r="S4094" t="inlineStr">
        <is>
          <t>89.20</t>
        </is>
      </c>
      <c r="T4094" t="inlineStr">
        <is>
          <t>运动潮玩</t>
        </is>
      </c>
      <c r="U4094" t="inlineStr">
        <is>
          <t>运动户外装备</t>
        </is>
      </c>
      <c r="V4094" s="3">
        <v>46122.97351851852</v>
      </c>
      <c r="W4094" t="inlineStr">
        <is>
          <t>2026-Q2</t>
        </is>
      </c>
    </row>
    <row r="4095" ht="25.5" customHeight="1">
      <c r="A4095" t="inlineStr">
        <is>
          <t>【真10A抗菌 100%新疆棉】春夏季男女短中长筒纯色吸汗透气运动袜</t>
        </is>
      </c>
      <c r="B4095" t="inlineStr">
        <is>
          <t>recvgoYCuBRgKl.jpg</t>
        </is>
      </c>
      <c r="C4095" s="2" t="str">
        <f>=HYPERLINK("https://xhslink.com/m/9hy6cV0ZhLF", "https://xhslink.com/m/9hy6cV0ZhLF")</f>
        <v>https://xhslink.com/m/9hy6cV0ZhLF</v>
      </c>
      <c r="D4095"/>
      <c r="E4095">
        <v>10000</v>
      </c>
      <c r="F4095">
        <v>12.9</v>
      </c>
      <c r="G4095"/>
      <c r="H4095">
        <v>100</v>
      </c>
      <c r="I4095" t="inlineStr">
        <is>
          <t>运动包配</t>
        </is>
      </c>
      <c r="J4095" t="inlineStr">
        <is>
          <t>0.01</t>
        </is>
      </c>
      <c r="K4095" t="inlineStr">
        <is>
          <t>🔥低粉爆款</t>
        </is>
      </c>
      <c r="L4095" t="inlineStr">
        <is>
          <t>袜哈哈研究所的店</t>
        </is>
      </c>
      <c r="M4095">
        <v>784</v>
      </c>
      <c r="N4095">
        <v>4.49</v>
      </c>
      <c r="O4095">
        <v>10000</v>
      </c>
      <c r="P4095" t="inlineStr">
        <is>
          <t>67ea5be6ba574100018daa9e</t>
        </is>
      </c>
      <c r="Q4095"/>
      <c r="R4095" t="inlineStr">
        <is>
          <t>15周</t>
        </is>
      </c>
      <c r="S4095" t="inlineStr">
        <is>
          <t>12.76</t>
        </is>
      </c>
      <c r="T4095" t="inlineStr">
        <is>
          <t>运动潮玩</t>
        </is>
      </c>
      <c r="U4095" t="inlineStr">
        <is>
          <t>运动户外装备</t>
        </is>
      </c>
      <c r="V4095" s="3">
        <v>46122.97351851852</v>
      </c>
      <c r="W4095" t="inlineStr">
        <is>
          <t>2026-Q2</t>
        </is>
      </c>
    </row>
    <row r="4096" ht="25.5" customHeight="1">
      <c r="A4096" t="inlineStr">
        <is>
          <t>大容量手提旅行包女短途出差登机包男斜挎包随身行李包收纳待产包</t>
        </is>
      </c>
      <c r="B4096" t="inlineStr">
        <is>
          <t>recvgoYCuBvNwv.jpg</t>
        </is>
      </c>
      <c r="C4096" s="2" t="str">
        <f>=HYPERLINK("https://xhslink.com/m/AxLJYKe9RGO", "https://xhslink.com/m/AxLJYKe9RGO")</f>
        <v>https://xhslink.com/m/AxLJYKe9RGO</v>
      </c>
      <c r="D4096"/>
      <c r="E4096">
        <v>18000</v>
      </c>
      <c r="F4096">
        <v>89</v>
      </c>
      <c r="G4096">
        <v>69</v>
      </c>
      <c r="H4096">
        <v>100</v>
      </c>
      <c r="I4096" t="inlineStr">
        <is>
          <t>运动包配</t>
        </is>
      </c>
      <c r="J4096" t="inlineStr">
        <is>
          <t>0.01</t>
        </is>
      </c>
      <c r="K4096" t="inlineStr">
        <is>
          <t>🔥低粉爆款</t>
        </is>
      </c>
      <c r="L4096" t="inlineStr">
        <is>
          <t>慢客箱包的店</t>
        </is>
      </c>
      <c r="M4096">
        <v>3044</v>
      </c>
      <c r="N4096">
        <v>4.79</v>
      </c>
      <c r="O4096">
        <v>81000</v>
      </c>
      <c r="P4096" t="inlineStr">
        <is>
          <t>6899f0970be0ca0001edaf10</t>
        </is>
      </c>
      <c r="Q4096" t="inlineStr">
        <is>
          <t>🚫重复</t>
        </is>
      </c>
      <c r="R4096" t="inlineStr">
        <is>
          <t>15周</t>
        </is>
      </c>
      <c r="S4096" t="inlineStr">
        <is>
          <t>5.91</t>
        </is>
      </c>
      <c r="T4096" t="inlineStr">
        <is>
          <t>运动潮玩</t>
        </is>
      </c>
      <c r="U4096" t="inlineStr">
        <is>
          <t>旅行出行</t>
        </is>
      </c>
      <c r="V4096" s="3">
        <v>46122.97351851852</v>
      </c>
      <c r="W4096" t="inlineStr">
        <is>
          <t>2026-Q2</t>
        </is>
      </c>
    </row>
    <row r="4097" ht="25.5" customHeight="1">
      <c r="A4097" t="inlineStr">
        <is>
          <t>干湿分离旅行包大容量健身包轻便手提行李包运动斜挎中性风</t>
        </is>
      </c>
      <c r="B4097" t="inlineStr">
        <is>
          <t>recvgoYCuBLsb6.jpg</t>
        </is>
      </c>
      <c r="C4097" s="2" t="str">
        <f>=HYPERLINK("https://xhslink.com/m/9YXMc5NNxp3", "https://xhslink.com/m/9YXMc5NNxp3")</f>
        <v>https://xhslink.com/m/9YXMc5NNxp3</v>
      </c>
      <c r="D4097"/>
      <c r="E4097">
        <v>24000</v>
      </c>
      <c r="F4097">
        <v>49.9</v>
      </c>
      <c r="G4097">
        <v>39.9</v>
      </c>
      <c r="H4097">
        <v>100</v>
      </c>
      <c r="I4097" t="inlineStr">
        <is>
          <t>运动包配</t>
        </is>
      </c>
      <c r="J4097" t="inlineStr">
        <is>
          <t>0.00</t>
        </is>
      </c>
      <c r="K4097" t="inlineStr">
        <is>
          <t>🔥低粉爆款</t>
        </is>
      </c>
      <c r="L4097" t="inlineStr">
        <is>
          <t>Wang汪汪姓王的店</t>
        </is>
      </c>
      <c r="M4097">
        <v>5500</v>
      </c>
      <c r="N4097">
        <v>4.65</v>
      </c>
      <c r="O4097">
        <v>49000</v>
      </c>
      <c r="P4097" t="inlineStr">
        <is>
          <t>67c7b964f6588900018d375c</t>
        </is>
      </c>
      <c r="Q4097" t="inlineStr">
        <is>
          <t>🚫重复</t>
        </is>
      </c>
      <c r="R4097" t="inlineStr">
        <is>
          <t>15周</t>
        </is>
      </c>
      <c r="S4097" t="inlineStr">
        <is>
          <t>4.36</t>
        </is>
      </c>
      <c r="T4097" t="inlineStr">
        <is>
          <t>运动潮玩</t>
        </is>
      </c>
      <c r="U4097" t="inlineStr">
        <is>
          <t>旅行出行</t>
        </is>
      </c>
      <c r="V4097" s="3">
        <v>46122.97351851852</v>
      </c>
      <c r="W4097" t="inlineStr">
        <is>
          <t>2026-Q2</t>
        </is>
      </c>
    </row>
    <row r="4098" ht="25.5" customHeight="1">
      <c r="A4098" t="inlineStr">
        <is>
          <t>Keep Baufine · 护踝脚踝防扭固定加压专业运动防崴脚踝腕关节保护套男女轻薄运动</t>
        </is>
      </c>
      <c r="B4098" t="inlineStr">
        <is>
          <t>recvgoYCuBRFuX.jpg</t>
        </is>
      </c>
      <c r="C4098" s="2" t="str">
        <f>=HYPERLINK("https://xhslink.com/m/XxuTOGpo93", "https://xhslink.com/m/XxuTOGpo93")</f>
        <v>https://xhslink.com/m/XxuTOGpo93</v>
      </c>
      <c r="D4098"/>
      <c r="E4098">
        <v>17000</v>
      </c>
      <c r="F4098">
        <v>59</v>
      </c>
      <c r="G4098">
        <v>39</v>
      </c>
      <c r="H4098">
        <v>100</v>
      </c>
      <c r="I4098" t="inlineStr">
        <is>
          <t>运动包配</t>
        </is>
      </c>
      <c r="J4098" t="inlineStr">
        <is>
          <t>0.01</t>
        </is>
      </c>
      <c r="K4098"/>
      <c r="L4098" t="inlineStr">
        <is>
          <t>国际运动户外的店</t>
        </is>
      </c>
      <c r="M4098">
        <v>7067</v>
      </c>
      <c r="N4098">
        <v>4.64</v>
      </c>
      <c r="O4098">
        <v>86000</v>
      </c>
      <c r="P4098" t="inlineStr">
        <is>
          <t>666846af5f1a0a00013d44b3</t>
        </is>
      </c>
      <c r="Q4098" t="inlineStr">
        <is>
          <t>🚫重复</t>
        </is>
      </c>
      <c r="R4098" t="inlineStr">
        <is>
          <t>15周</t>
        </is>
      </c>
      <c r="S4098" t="inlineStr">
        <is>
          <t>2.41</t>
        </is>
      </c>
      <c r="T4098" t="inlineStr">
        <is>
          <t>运动潮玩</t>
        </is>
      </c>
      <c r="U4098" t="inlineStr">
        <is>
          <t>运动户外装备</t>
        </is>
      </c>
      <c r="V4098" s="3">
        <v>46122.97351851852</v>
      </c>
      <c r="W4098" t="inlineStr">
        <is>
          <t>2026-Q2</t>
        </is>
      </c>
    </row>
    <row r="4099" ht="25.5" customHeight="1">
      <c r="A4099" t="inlineStr">
        <is>
          <t>可扩容短途旅行包女大容量出差登机行李包轻便健身斜挎手提包男</t>
        </is>
      </c>
      <c r="B4099" t="inlineStr">
        <is>
          <t>recvgoYCuBuBiS.jpg</t>
        </is>
      </c>
      <c r="C4099" s="2" t="str">
        <f>=HYPERLINK("https://xhslink.com/m/8B2MPVV7vwC", "https://xhslink.com/m/8B2MPVV7vwC")</f>
        <v>https://xhslink.com/m/8B2MPVV7vwC</v>
      </c>
      <c r="D4099"/>
      <c r="E4099">
        <v>12000</v>
      </c>
      <c r="F4099">
        <v>64.8</v>
      </c>
      <c r="G4099">
        <v>59.8</v>
      </c>
      <c r="H4099">
        <v>100</v>
      </c>
      <c r="I4099" t="inlineStr">
        <is>
          <t>运动包配</t>
        </is>
      </c>
      <c r="J4099" t="inlineStr">
        <is>
          <t>0.01</t>
        </is>
      </c>
      <c r="K4099" t="inlineStr">
        <is>
          <t>🔥低粉爆款</t>
        </is>
      </c>
      <c r="L4099" t="inlineStr">
        <is>
          <t>Mu沐沐的店</t>
        </is>
      </c>
      <c r="M4099">
        <v>3762</v>
      </c>
      <c r="N4099">
        <v>4.56</v>
      </c>
      <c r="O4099">
        <v>51000</v>
      </c>
      <c r="P4099" t="inlineStr">
        <is>
          <t>68bf1c195c55f200019fd787</t>
        </is>
      </c>
      <c r="Q4099" t="inlineStr">
        <is>
          <t>🚫重复</t>
        </is>
      </c>
      <c r="R4099" t="inlineStr">
        <is>
          <t>15周</t>
        </is>
      </c>
      <c r="S4099" t="inlineStr">
        <is>
          <t>3.19</t>
        </is>
      </c>
      <c r="T4099" t="inlineStr">
        <is>
          <t>运动潮玩</t>
        </is>
      </c>
      <c r="U4099" t="inlineStr">
        <is>
          <t>旅行出行</t>
        </is>
      </c>
      <c r="V4099" s="3">
        <v>46122.97351851852</v>
      </c>
      <c r="W4099" t="inlineStr">
        <is>
          <t>2026-Q2</t>
        </is>
      </c>
    </row>
    <row r="4100" ht="25.5" customHeight="1">
      <c r="A4100" t="inlineStr">
        <is>
          <t>万向轮出差登机包大容量旅行包可扩容购物袋行李包折叠学生衣服包</t>
        </is>
      </c>
      <c r="B4100" t="inlineStr">
        <is>
          <t>recvgoYCuB6zYn.jpg</t>
        </is>
      </c>
      <c r="C4100" s="2" t="str">
        <f>=HYPERLINK("https://xhslink.com/m/2TNDe2lKG9k", "https://xhslink.com/m/2TNDe2lKG9k")</f>
        <v>https://xhslink.com/m/2TNDe2lKG9k</v>
      </c>
      <c r="D4100"/>
      <c r="E4100">
        <v>21000</v>
      </c>
      <c r="F4100">
        <v>37.9</v>
      </c>
      <c r="G4100"/>
      <c r="H4100">
        <v>100</v>
      </c>
      <c r="I4100" t="inlineStr">
        <is>
          <t>运动包配</t>
        </is>
      </c>
      <c r="J4100" t="inlineStr">
        <is>
          <t>0.00</t>
        </is>
      </c>
      <c r="K4100" t="inlineStr">
        <is>
          <t>🔥低粉爆款</t>
        </is>
      </c>
      <c r="L4100" t="inlineStr">
        <is>
          <t>途乐旅游箱包店的店</t>
        </is>
      </c>
      <c r="M4100">
        <v>1068</v>
      </c>
      <c r="N4100">
        <v>4.71</v>
      </c>
      <c r="O4100">
        <v>23000</v>
      </c>
      <c r="P4100" t="inlineStr">
        <is>
          <t>65e5233f88bacf0001e76b40</t>
        </is>
      </c>
      <c r="Q4100" t="inlineStr">
        <is>
          <t>🚫重复</t>
        </is>
      </c>
      <c r="R4100" t="inlineStr">
        <is>
          <t>15周</t>
        </is>
      </c>
      <c r="S4100" t="inlineStr">
        <is>
          <t>19.66</t>
        </is>
      </c>
      <c r="T4100" t="inlineStr">
        <is>
          <t>运动潮玩</t>
        </is>
      </c>
      <c r="U4100" t="inlineStr">
        <is>
          <t>旅行出行</t>
        </is>
      </c>
      <c r="V4100" s="3">
        <v>46122.97351851852</v>
      </c>
      <c r="W4100" t="inlineStr">
        <is>
          <t>2026-Q2</t>
        </is>
      </c>
    </row>
    <row r="4101" ht="25.5" customHeight="1">
      <c r="A4101" t="inlineStr">
        <is>
          <t>SportCom · 日本护膝半月板损伤男女膝盖关节专业护具跑步运动薄款髌骨保护套</t>
        </is>
      </c>
      <c r="B4101" t="inlineStr">
        <is>
          <t>recvgoYCuB9zUo.jpg</t>
        </is>
      </c>
      <c r="C4101" s="2" t="str">
        <f>=HYPERLINK("https://xhslink.com/m/AujOxBmTUr", "https://xhslink.com/m/AujOxBmTUr")</f>
        <v>https://xhslink.com/m/AujOxBmTUr</v>
      </c>
      <c r="D4101"/>
      <c r="E4101">
        <v>14000</v>
      </c>
      <c r="F4101">
        <v>79.9</v>
      </c>
      <c r="G4101">
        <v>49.9</v>
      </c>
      <c r="H4101">
        <v>100</v>
      </c>
      <c r="I4101" t="inlineStr">
        <is>
          <t>运动包配</t>
        </is>
      </c>
      <c r="J4101" t="inlineStr">
        <is>
          <t>0.01</t>
        </is>
      </c>
      <c r="K4101" t="inlineStr">
        <is>
          <t>🔥低粉爆款</t>
        </is>
      </c>
      <c r="L4101" t="inlineStr">
        <is>
          <t>Sportcom运动护具的店</t>
        </is>
      </c>
      <c r="M4101">
        <v>498</v>
      </c>
      <c r="N4101">
        <v>4.68</v>
      </c>
      <c r="O4101">
        <v>15000</v>
      </c>
      <c r="P4101" t="inlineStr">
        <is>
          <t>684947fb3aea5300016e17ae</t>
        </is>
      </c>
      <c r="Q4101" t="inlineStr">
        <is>
          <t>🚫重复</t>
        </is>
      </c>
      <c r="R4101" t="inlineStr">
        <is>
          <t>15周</t>
        </is>
      </c>
      <c r="S4101" t="inlineStr">
        <is>
          <t>28.11</t>
        </is>
      </c>
      <c r="T4101" t="inlineStr">
        <is>
          <t>运动潮玩</t>
        </is>
      </c>
      <c r="U4101" t="inlineStr">
        <is>
          <t>运动户外装备</t>
        </is>
      </c>
      <c r="V4101" s="3">
        <v>46122.97351851852</v>
      </c>
      <c r="W4101" t="inlineStr">
        <is>
          <t>2026-Q2</t>
        </is>
      </c>
    </row>
    <row r="4102" ht="25.5" customHeight="1">
      <c r="A4102" t="inlineStr">
        <is>
          <t>SPORTLEOX · 护膝夏季超薄关节支撑半月板损伤运动防护空调房男女跑步膝盖护具</t>
        </is>
      </c>
      <c r="B4102" t="inlineStr">
        <is>
          <t>recvgoYCuB1p8R.jpg</t>
        </is>
      </c>
      <c r="C4102" s="2" t="str">
        <f>=HYPERLINK("https://xhslink.com/m/3MSx6DLM8hP", "https://xhslink.com/m/3MSx6DLM8hP")</f>
        <v>https://xhslink.com/m/3MSx6DLM8hP</v>
      </c>
      <c r="D4102"/>
      <c r="E4102">
        <v>6898</v>
      </c>
      <c r="F4102">
        <v>89</v>
      </c>
      <c r="G4102">
        <v>54</v>
      </c>
      <c r="H4102">
        <v>100</v>
      </c>
      <c r="I4102" t="inlineStr">
        <is>
          <t>运动包配</t>
        </is>
      </c>
      <c r="J4102" t="inlineStr">
        <is>
          <t>0.01</t>
        </is>
      </c>
      <c r="K4102" t="inlineStr">
        <is>
          <t>🔥低粉爆款</t>
        </is>
      </c>
      <c r="L4102" t="inlineStr">
        <is>
          <t>SPORTLEOX运动户外的店</t>
        </is>
      </c>
      <c r="M4102">
        <v>794</v>
      </c>
      <c r="N4102">
        <v>4.69</v>
      </c>
      <c r="O4102">
        <v>8830</v>
      </c>
      <c r="P4102" t="inlineStr">
        <is>
          <t>68714ccc73988100015df0dd</t>
        </is>
      </c>
      <c r="Q4102" t="inlineStr">
        <is>
          <t>🚫重复</t>
        </is>
      </c>
      <c r="R4102" t="inlineStr">
        <is>
          <t>15周</t>
        </is>
      </c>
      <c r="S4102" t="inlineStr">
        <is>
          <t>8.69</t>
        </is>
      </c>
      <c r="T4102" t="inlineStr">
        <is>
          <t>数码家电</t>
        </is>
      </c>
      <c r="U4102" t="inlineStr">
        <is>
          <t>大家电</t>
        </is>
      </c>
      <c r="V4102" s="3">
        <v>46122.97351851852</v>
      </c>
      <c r="W4102" t="inlineStr">
        <is>
          <t>2026-Q2</t>
        </is>
      </c>
    </row>
    <row r="4103" ht="25.5" customHeight="1">
      <c r="A4103" t="inlineStr">
        <is>
          <t>大容量手提旅行包女短途出差登机包男斜挎包行李包入院收纳待产包</t>
        </is>
      </c>
      <c r="B4103" t="inlineStr">
        <is>
          <t>recvgoYCuBwp3m.jpg</t>
        </is>
      </c>
      <c r="C4103" s="2" t="str">
        <f>=HYPERLINK("https://xhslink.com/m/LaE82uKmX", "https://xhslink.com/m/LaE82uKmX")</f>
        <v>https://xhslink.com/m/LaE82uKmX</v>
      </c>
      <c r="D4103"/>
      <c r="E4103">
        <v>12000</v>
      </c>
      <c r="F4103">
        <v>76</v>
      </c>
      <c r="G4103">
        <v>57</v>
      </c>
      <c r="H4103">
        <v>100</v>
      </c>
      <c r="I4103" t="inlineStr">
        <is>
          <t>运动包配</t>
        </is>
      </c>
      <c r="J4103" t="inlineStr">
        <is>
          <t>0.01</t>
        </is>
      </c>
      <c r="K4103"/>
      <c r="L4103" t="inlineStr">
        <is>
          <t>小荆皮具的店</t>
        </is>
      </c>
      <c r="M4103">
        <v>9616</v>
      </c>
      <c r="N4103">
        <v>4.74</v>
      </c>
      <c r="O4103">
        <v>210000</v>
      </c>
      <c r="P4103" t="inlineStr">
        <is>
          <t>68410b53f9ad050001491eb2</t>
        </is>
      </c>
      <c r="Q4103" t="inlineStr">
        <is>
          <t>🚫重复</t>
        </is>
      </c>
      <c r="R4103" t="inlineStr">
        <is>
          <t>15周</t>
        </is>
      </c>
      <c r="S4103" t="inlineStr">
        <is>
          <t>1.25</t>
        </is>
      </c>
      <c r="T4103" t="inlineStr">
        <is>
          <t>运动潮玩</t>
        </is>
      </c>
      <c r="U4103" t="inlineStr">
        <is>
          <t>旅行出行</t>
        </is>
      </c>
      <c r="V4103" s="3">
        <v>46122.97351851852</v>
      </c>
      <c r="W4103" t="inlineStr">
        <is>
          <t>2026-Q2</t>
        </is>
      </c>
    </row>
    <row r="4104" ht="25.5" customHeight="1">
      <c r="A4104" t="inlineStr">
        <is>
          <t>韩国ins水洗时尚做旧破洞棒球帽男女韩版情侣款刺绣鸭舌帽子百搭</t>
        </is>
      </c>
      <c r="B4104" t="inlineStr">
        <is>
          <t>recvgoYCuB9YrI.jpg</t>
        </is>
      </c>
      <c r="C4104" s="2" t="str">
        <f>=HYPERLINK("https://xhslink.com/m/viQk996roQ", "https://xhslink.com/m/viQk996roQ")</f>
        <v>https://xhslink.com/m/viQk996roQ</v>
      </c>
      <c r="D4104"/>
      <c r="E4104">
        <v>5871</v>
      </c>
      <c r="F4104">
        <v>39.9</v>
      </c>
      <c r="G4104"/>
      <c r="H4104">
        <v>100</v>
      </c>
      <c r="I4104" t="inlineStr">
        <is>
          <t>运动包配</t>
        </is>
      </c>
      <c r="J4104" t="inlineStr">
        <is>
          <t>0.02</t>
        </is>
      </c>
      <c r="K4104" t="inlineStr">
        <is>
          <t>🔥低粉爆款</t>
        </is>
      </c>
      <c r="L4104" t="inlineStr">
        <is>
          <t>bait cen的店</t>
        </is>
      </c>
      <c r="M4104">
        <v>780</v>
      </c>
      <c r="N4104">
        <v>4.63</v>
      </c>
      <c r="O4104">
        <v>6673</v>
      </c>
      <c r="P4104" t="inlineStr">
        <is>
          <t>677fadebae50cc0001625448</t>
        </is>
      </c>
      <c r="Q4104"/>
      <c r="R4104" t="inlineStr">
        <is>
          <t>15周</t>
        </is>
      </c>
      <c r="S4104" t="inlineStr">
        <is>
          <t>7.53</t>
        </is>
      </c>
      <c r="T4104" t="inlineStr">
        <is>
          <t>服饰穿搭</t>
        </is>
      </c>
      <c r="U4104" t="inlineStr">
        <is>
          <t>配饰</t>
        </is>
      </c>
      <c r="V4104" s="3">
        <v>46122.97351851852</v>
      </c>
      <c r="W4104" t="inlineStr">
        <is>
          <t>2026-Q2</t>
        </is>
      </c>
    </row>
    <row r="4105" ht="25.5" customHeight="1">
      <c r="A4105" t="inlineStr">
        <is>
          <t>Jeep · 吉普专业竞速泳镜男女生成人游泳镜防水防雾近视游泳眼镜泳帽装备</t>
        </is>
      </c>
      <c r="B4105" t="inlineStr">
        <is>
          <t>recvgoYCuBBvgN.jpg</t>
        </is>
      </c>
      <c r="C4105" s="2" t="str">
        <f>=HYPERLINK("https://xhslink.com/m/AQgRwNBTbXg", "https://xhslink.com/m/AQgRwNBTbXg")</f>
        <v>https://xhslink.com/m/AQgRwNBTbXg</v>
      </c>
      <c r="D4105"/>
      <c r="E4105">
        <v>1786</v>
      </c>
      <c r="F4105">
        <v>79</v>
      </c>
      <c r="G4105">
        <v>59</v>
      </c>
      <c r="H4105">
        <v>100</v>
      </c>
      <c r="I4105" t="inlineStr">
        <is>
          <t>运动包配</t>
        </is>
      </c>
      <c r="J4105" t="inlineStr">
        <is>
          <t>0.06</t>
        </is>
      </c>
      <c r="K4105"/>
      <c r="L4105" t="inlineStr">
        <is>
          <t>Jeep游泳旗舰店</t>
        </is>
      </c>
      <c r="M4105">
        <v>1707</v>
      </c>
      <c r="N4105">
        <v>4.64</v>
      </c>
      <c r="O4105">
        <v>7146</v>
      </c>
      <c r="P4105" t="inlineStr">
        <is>
          <t>678c9cd6d61c3f0015588886</t>
        </is>
      </c>
      <c r="Q4105"/>
      <c r="R4105" t="inlineStr">
        <is>
          <t>15周</t>
        </is>
      </c>
      <c r="S4105" t="inlineStr">
        <is>
          <t>1.05</t>
        </is>
      </c>
      <c r="T4105" t="inlineStr">
        <is>
          <t>运动潮玩</t>
        </is>
      </c>
      <c r="U4105" t="inlineStr">
        <is>
          <t>运动户外装备</t>
        </is>
      </c>
      <c r="V4105" s="3">
        <v>46122.97351851852</v>
      </c>
      <c r="W4105" t="inlineStr">
        <is>
          <t>2026-Q2</t>
        </is>
      </c>
    </row>
    <row r="4106" ht="25.5" customHeight="1">
      <c r="A4106" t="inlineStr">
        <is>
          <t>原创单肩健身HelloKitty可爱手提旅行包行李袋大容量可套拉杆箱鞋</t>
        </is>
      </c>
      <c r="B4106" t="inlineStr">
        <is>
          <t>recvgoYCuBYUN7.jpg</t>
        </is>
      </c>
      <c r="C4106" s="2" t="str">
        <f>=HYPERLINK("https://xhslink.com/m/znMPdJLMC", "https://xhslink.com/m/znMPdJLMC")</f>
        <v>https://xhslink.com/m/znMPdJLMC</v>
      </c>
      <c r="D4106"/>
      <c r="E4106">
        <v>6930</v>
      </c>
      <c r="F4106">
        <v>34.9</v>
      </c>
      <c r="G4106"/>
      <c r="H4106">
        <v>100</v>
      </c>
      <c r="I4106" t="inlineStr">
        <is>
          <t>运动包配</t>
        </is>
      </c>
      <c r="J4106" t="inlineStr">
        <is>
          <t>0.01</t>
        </is>
      </c>
      <c r="K4106"/>
      <c r="L4106" t="inlineStr">
        <is>
          <t>小K总studio的店</t>
        </is>
      </c>
      <c r="M4106">
        <v>5664</v>
      </c>
      <c r="N4106">
        <v>4.6</v>
      </c>
      <c r="O4106">
        <v>26000</v>
      </c>
      <c r="P4106" t="inlineStr">
        <is>
          <t>695c706ff7aaae00018fbaf8</t>
        </is>
      </c>
      <c r="Q4106"/>
      <c r="R4106" t="inlineStr">
        <is>
          <t>15周</t>
        </is>
      </c>
      <c r="S4106" t="inlineStr">
        <is>
          <t>1.22</t>
        </is>
      </c>
      <c r="T4106" t="inlineStr">
        <is>
          <t>运动潮玩</t>
        </is>
      </c>
      <c r="U4106" t="inlineStr">
        <is>
          <t>旅行出行</t>
        </is>
      </c>
      <c r="V4106" s="3">
        <v>46122.97351851852</v>
      </c>
      <c r="W4106" t="inlineStr">
        <is>
          <t>2026-Q2</t>
        </is>
      </c>
    </row>
    <row r="4107" ht="25.5" customHeight="1">
      <c r="A4107" t="inlineStr">
        <is>
          <t>轻便户外徒步登山包运动休闲双肩包男女旅行出游背包学生小书包</t>
        </is>
      </c>
      <c r="B4107" t="inlineStr">
        <is>
          <t>recvgoYCuB6WWC.jpg</t>
        </is>
      </c>
      <c r="C4107" s="2" t="str">
        <f>=HYPERLINK("https://xhslink.com/m/2sx1lJTyaon", "https://xhslink.com/m/2sx1lJTyaon")</f>
        <v>https://xhslink.com/m/2sx1lJTyaon</v>
      </c>
      <c r="D4107"/>
      <c r="E4107">
        <v>2350</v>
      </c>
      <c r="F4107">
        <v>50</v>
      </c>
      <c r="G4107">
        <v>45</v>
      </c>
      <c r="H4107">
        <v>100</v>
      </c>
      <c r="I4107" t="inlineStr">
        <is>
          <t>运动包配</t>
        </is>
      </c>
      <c r="J4107" t="inlineStr">
        <is>
          <t>0.04</t>
        </is>
      </c>
      <c r="K4107"/>
      <c r="L4107" t="inlineStr">
        <is>
          <t>Mu沐沐的店</t>
        </is>
      </c>
      <c r="M4107">
        <v>3762</v>
      </c>
      <c r="N4107">
        <v>4.56</v>
      </c>
      <c r="O4107">
        <v>51000</v>
      </c>
      <c r="P4107" t="inlineStr">
        <is>
          <t>68713e8464e96a0001e48b6e</t>
        </is>
      </c>
      <c r="Q4107" t="inlineStr">
        <is>
          <t>🚫重复</t>
        </is>
      </c>
      <c r="R4107" t="inlineStr">
        <is>
          <t>15周</t>
        </is>
      </c>
      <c r="S4107" t="inlineStr">
        <is>
          <t>0.62</t>
        </is>
      </c>
      <c r="T4107" t="inlineStr">
        <is>
          <t>服饰穿搭</t>
        </is>
      </c>
      <c r="U4107" t="inlineStr">
        <is>
          <t>鞋靴箱包</t>
        </is>
      </c>
      <c r="V4107" s="3">
        <v>46122.97351851852</v>
      </c>
      <c r="W4107" t="inlineStr">
        <is>
          <t>2026-Q2</t>
        </is>
      </c>
    </row>
    <row r="4108" ht="25.5" customHeight="1">
      <c r="A4108" t="inlineStr">
        <is>
          <t>itshe · 【买手热推款】新款普拉提袜五指袜子专业防滑女士跳操瑜伽袜春夏</t>
        </is>
      </c>
      <c r="B4108" t="inlineStr">
        <is>
          <t>recvgoYCuBUFD3.jpg</t>
        </is>
      </c>
      <c r="C4108" s="2" t="str">
        <f>=HYPERLINK("https://xhslink.com/m/5dCquSeze0t", "https://xhslink.com/m/5dCquSeze0t")</f>
        <v>https://xhslink.com/m/5dCquSeze0t</v>
      </c>
      <c r="D4108"/>
      <c r="E4108">
        <v>8448</v>
      </c>
      <c r="F4108">
        <v>69.9</v>
      </c>
      <c r="G4108">
        <v>59.9</v>
      </c>
      <c r="H4108">
        <v>100</v>
      </c>
      <c r="I4108" t="inlineStr">
        <is>
          <t>运动包配</t>
        </is>
      </c>
      <c r="J4108" t="inlineStr">
        <is>
          <t>0.01</t>
        </is>
      </c>
      <c r="K4108" t="inlineStr">
        <is>
          <t>🔥低粉爆款</t>
        </is>
      </c>
      <c r="L4108" t="inlineStr">
        <is>
          <t>itshe旗舰店</t>
        </is>
      </c>
      <c r="M4108">
        <v>2721</v>
      </c>
      <c r="N4108">
        <v>4.59</v>
      </c>
      <c r="O4108">
        <v>39000</v>
      </c>
      <c r="P4108" t="inlineStr">
        <is>
          <t>67aaf84e8e93060015e50681</t>
        </is>
      </c>
      <c r="Q4108" t="inlineStr">
        <is>
          <t>🚫重复</t>
        </is>
      </c>
      <c r="R4108" t="inlineStr">
        <is>
          <t>15周</t>
        </is>
      </c>
      <c r="S4108" t="inlineStr">
        <is>
          <t>3.10</t>
        </is>
      </c>
      <c r="T4108" t="inlineStr">
        <is>
          <t>运动潮玩</t>
        </is>
      </c>
      <c r="U4108" t="inlineStr">
        <is>
          <t>运动户外装备</t>
        </is>
      </c>
      <c r="V4108" s="3">
        <v>46122.97351851852</v>
      </c>
      <c r="W4108" t="inlineStr">
        <is>
          <t>2026-Q2</t>
        </is>
      </c>
    </row>
    <row r="4109" ht="25.5" customHeight="1">
      <c r="A4109" t="inlineStr">
        <is>
          <t>游泳衣女大码连体长袖长裤防晒速干保守修身显瘦水母衣浮潜水服女</t>
        </is>
      </c>
      <c r="B4109" t="inlineStr">
        <is>
          <t>recvgoYCuB5ctJ.jpg</t>
        </is>
      </c>
      <c r="C4109" s="2" t="str">
        <f>=HYPERLINK("https://xhslink.com/m/7z0N8nbmvcn", "https://xhslink.com/m/7z0N8nbmvcn")</f>
        <v>https://xhslink.com/m/7z0N8nbmvcn</v>
      </c>
      <c r="D4109"/>
      <c r="E4109">
        <v>20000</v>
      </c>
      <c r="F4109">
        <v>118</v>
      </c>
      <c r="G4109">
        <v>89</v>
      </c>
      <c r="H4109">
        <v>100</v>
      </c>
      <c r="I4109" t="inlineStr">
        <is>
          <t>游泳衣</t>
        </is>
      </c>
      <c r="J4109" t="inlineStr">
        <is>
          <t>0.01</t>
        </is>
      </c>
      <c r="K4109" t="inlineStr">
        <is>
          <t>🔥低粉爆款</t>
        </is>
      </c>
      <c r="L4109" t="inlineStr">
        <is>
          <t>乐贝儿泳衣的店</t>
        </is>
      </c>
      <c r="M4109">
        <v>1760</v>
      </c>
      <c r="N4109">
        <v>4.66</v>
      </c>
      <c r="O4109">
        <v>64000</v>
      </c>
      <c r="P4109" t="inlineStr">
        <is>
          <t>64663f66ef43dc0001b620d5</t>
        </is>
      </c>
      <c r="Q4109"/>
      <c r="R4109" t="inlineStr">
        <is>
          <t>15周</t>
        </is>
      </c>
      <c r="S4109" t="inlineStr">
        <is>
          <t>11.36</t>
        </is>
      </c>
      <c r="T4109" t="inlineStr">
        <is>
          <t>服饰穿搭</t>
        </is>
      </c>
      <c r="U4109" t="inlineStr">
        <is>
          <t>女装</t>
        </is>
      </c>
      <c r="V4109" s="3">
        <v>46122.97351851852</v>
      </c>
      <c r="W4109" t="inlineStr">
        <is>
          <t>2026-Q2</t>
        </is>
      </c>
    </row>
    <row r="4110" ht="25.5" customHeight="1">
      <c r="A4110" t="inlineStr">
        <is>
          <t>灵魂碎片 图书文创盲盒｜可许愿</t>
        </is>
      </c>
      <c r="B4110" t="inlineStr">
        <is>
          <t>recvgoYCuBV60t.jpg</t>
        </is>
      </c>
      <c r="C4110" s="2" t="str">
        <f>=HYPERLINK("https://xhslink.com/m/8GmufMKC3gk", "https://xhslink.com/m/8GmufMKC3gk")</f>
        <v>https://xhslink.com/m/8GmufMKC3gk</v>
      </c>
      <c r="D4110"/>
      <c r="E4110">
        <v>1472</v>
      </c>
      <c r="F4110">
        <v>168</v>
      </c>
      <c r="G4110"/>
      <c r="H4110">
        <v>100</v>
      </c>
      <c r="I4110" t="inlineStr">
        <is>
          <t>盲盒</t>
        </is>
      </c>
      <c r="J4110" t="inlineStr">
        <is>
          <t>0.07</t>
        </is>
      </c>
      <c r="K4110"/>
      <c r="L4110" t="inlineStr">
        <is>
          <t>WeLand 尾岛的店</t>
        </is>
      </c>
      <c r="M4110">
        <v>9661</v>
      </c>
      <c r="N4110">
        <v>4.64</v>
      </c>
      <c r="O4110">
        <v>2792</v>
      </c>
      <c r="P4110" t="inlineStr">
        <is>
          <t>68f5dfedc67e470001290fb0</t>
        </is>
      </c>
      <c r="Q4110"/>
      <c r="R4110" t="inlineStr">
        <is>
          <t>15周</t>
        </is>
      </c>
      <c r="S4110" t="inlineStr">
        <is>
          <t>0.15</t>
        </is>
      </c>
      <c r="T4110" t="inlineStr">
        <is>
          <t>运动潮玩</t>
        </is>
      </c>
      <c r="U4110" t="inlineStr">
        <is>
          <t>潮玩手办</t>
        </is>
      </c>
      <c r="V4110" s="3">
        <v>46122.97351851852</v>
      </c>
      <c r="W4110" t="inlineStr">
        <is>
          <t>2026-Q2</t>
        </is>
      </c>
    </row>
    <row r="4111" ht="25.5" customHeight="1">
      <c r="A4111" t="inlineStr">
        <is>
          <t>无期迷途联动餐厅正版官谷合集</t>
        </is>
      </c>
      <c r="B4111" t="inlineStr">
        <is>
          <t>recvgoYCuBOsY8.jpg</t>
        </is>
      </c>
      <c r="C4111" s="2" t="str">
        <f>=HYPERLINK("https://xhslink.com/m/DmcNBwgIvi", "https://xhslink.com/m/DmcNBwgIvi")</f>
        <v>https://xhslink.com/m/DmcNBwgIvi</v>
      </c>
      <c r="D4111"/>
      <c r="E4111">
        <v>7510</v>
      </c>
      <c r="F4111">
        <v>9.9</v>
      </c>
      <c r="G4111">
        <v>7.9</v>
      </c>
      <c r="H4111">
        <v>100</v>
      </c>
      <c r="I4111" t="inlineStr">
        <is>
          <t>桌游</t>
        </is>
      </c>
      <c r="J4111" t="inlineStr">
        <is>
          <t>0.01</t>
        </is>
      </c>
      <c r="K4111"/>
      <c r="L4111" t="inlineStr">
        <is>
          <t>谷哩谷粒（下单前看主页简介 无开箱不售后的店</t>
        </is>
      </c>
      <c r="M4111">
        <v>4475</v>
      </c>
      <c r="N4111">
        <v>4.77</v>
      </c>
      <c r="O4111">
        <v>29000</v>
      </c>
      <c r="P4111" t="inlineStr">
        <is>
          <t>69c740e7e6196b0001443ffd</t>
        </is>
      </c>
      <c r="Q4111"/>
      <c r="R4111" t="inlineStr">
        <is>
          <t>15周</t>
        </is>
      </c>
      <c r="S4111" t="inlineStr">
        <is>
          <t>1.68</t>
        </is>
      </c>
      <c r="T4111" t="inlineStr">
        <is>
          <t>运动潮玩</t>
        </is>
      </c>
      <c r="U4111" t="inlineStr">
        <is>
          <t>潮玩手办</t>
        </is>
      </c>
      <c r="V4111" s="3">
        <v>46122.97351851852</v>
      </c>
      <c r="W4111" t="inlineStr">
        <is>
          <t>2026-Q2</t>
        </is>
      </c>
    </row>
    <row r="4112" ht="25.5" customHeight="1">
      <c r="A4112" t="inlineStr">
        <is>
          <t>奇喵君故事 · 奇喵宇宙快闪系列-第二弹-透卡</t>
        </is>
      </c>
      <c r="B4112" t="inlineStr">
        <is>
          <t>recvgoYCuBwDc9.jpg</t>
        </is>
      </c>
      <c r="C4112" s="2" t="str">
        <f>=HYPERLINK("https://xhslink.com/m/6vbcgixhKO7", "https://xhslink.com/m/6vbcgixhKO7")</f>
        <v>https://xhslink.com/m/6vbcgixhKO7</v>
      </c>
      <c r="D4112"/>
      <c r="E4112">
        <v>1913</v>
      </c>
      <c r="F4112">
        <v>8.8</v>
      </c>
      <c r="G4112"/>
      <c r="H4112">
        <v>100</v>
      </c>
      <c r="I4112" t="inlineStr">
        <is>
          <t>桌游</t>
        </is>
      </c>
      <c r="J4112" t="inlineStr">
        <is>
          <t>0.05</t>
        </is>
      </c>
      <c r="K4112"/>
      <c r="L4112" t="inlineStr">
        <is>
          <t>奇喵君故事的店</t>
        </is>
      </c>
      <c r="M4112">
        <v>240000</v>
      </c>
      <c r="N4112">
        <v>4.48</v>
      </c>
      <c r="O4112">
        <v>101000</v>
      </c>
      <c r="P4112" t="inlineStr">
        <is>
          <t>69d117eb3ff4c80001ae76a5</t>
        </is>
      </c>
      <c r="Q4112"/>
      <c r="R4112" t="inlineStr">
        <is>
          <t>15周</t>
        </is>
      </c>
      <c r="S4112" t="inlineStr">
        <is>
          <t>0.01</t>
        </is>
      </c>
      <c r="T4112" t="inlineStr">
        <is>
          <t>运动潮玩</t>
        </is>
      </c>
      <c r="U4112" t="inlineStr">
        <is>
          <t>潮玩手办</t>
        </is>
      </c>
      <c r="V4112" s="3">
        <v>46122.97351851852</v>
      </c>
      <c r="W4112" t="inlineStr">
        <is>
          <t>2026-Q2</t>
        </is>
      </c>
    </row>
    <row r="4113" ht="25.5" customHeight="1">
      <c r="A4113" t="inlineStr">
        <is>
          <t>ins创意香菇番茄抱枕客厅沙发靠垫房间装饰摆件床上背靠垫飘窗垫</t>
        </is>
      </c>
      <c r="B4113" t="inlineStr">
        <is>
          <t>recvguTbC1gyGE.jpg</t>
        </is>
      </c>
      <c r="C4113" s="2" t="str">
        <f>=HYPERLINK("https://xhslink.com/m/9Z0VyQ4pjzt", "https://xhslink.com/m/9Z0VyQ4pjzt")</f>
        <v>https://xhslink.com/m/9Z0VyQ4pjzt</v>
      </c>
      <c r="D4113"/>
      <c r="E4113">
        <v>66000</v>
      </c>
      <c r="F4113">
        <v>56.3</v>
      </c>
      <c r="G4113">
        <v>18.9</v>
      </c>
      <c r="H4113">
        <v>100</v>
      </c>
      <c r="I4113" t="inlineStr">
        <is>
          <t>抱枕</t>
        </is>
      </c>
      <c r="J4113" t="inlineStr">
        <is>
          <t>0.00</t>
        </is>
      </c>
      <c r="K4113" t="inlineStr">
        <is>
          <t>🔥低粉爆款</t>
        </is>
      </c>
      <c r="L4113" t="inlineStr">
        <is>
          <t>nice聚优阁的店</t>
        </is>
      </c>
      <c r="M4113">
        <v>17000</v>
      </c>
      <c r="N4113">
        <v>4.62</v>
      </c>
      <c r="O4113">
        <v>349000</v>
      </c>
      <c r="P4113" t="inlineStr">
        <is>
          <t>66dd8e8c9e30eb00011eb15a</t>
        </is>
      </c>
      <c r="Q4113" t="inlineStr">
        <is>
          <t>🚫重复</t>
        </is>
      </c>
      <c r="R4113" t="inlineStr">
        <is>
          <t>15周</t>
        </is>
      </c>
      <c r="S4113" t="inlineStr">
        <is>
          <t>3.88</t>
        </is>
      </c>
      <c r="T4113" t="inlineStr">
        <is>
          <t>家居生活</t>
        </is>
      </c>
      <c r="U4113" t="inlineStr">
        <is>
          <t>家具家装</t>
        </is>
      </c>
      <c r="V4113" s="3">
        <v>46123.98462962963</v>
      </c>
      <c r="W4113" t="inlineStr">
        <is>
          <t>2026-Q2</t>
        </is>
      </c>
    </row>
    <row r="4114" ht="25.5" customHeight="1">
      <c r="A4114" t="inlineStr">
        <is>
          <t>可爱KT猫抱枕毛绒玩偶沙发靠垫飘窗榻榻米靠枕办公室椅子护腰腰垫</t>
        </is>
      </c>
      <c r="B4114" t="inlineStr">
        <is>
          <t>recvguTbC1ZLmi.jpg</t>
        </is>
      </c>
      <c r="C4114" s="2" t="str">
        <f>=HYPERLINK("https://xhslink.com/m/9QYHftWQjaj", "https://xhslink.com/m/9QYHftWQjaj")</f>
        <v>https://xhslink.com/m/9QYHftWQjaj</v>
      </c>
      <c r="D4114"/>
      <c r="E4114">
        <v>768</v>
      </c>
      <c r="F4114">
        <v>48.8</v>
      </c>
      <c r="G4114">
        <v>41.8</v>
      </c>
      <c r="H4114">
        <v>100</v>
      </c>
      <c r="I4114" t="inlineStr">
        <is>
          <t>抱枕</t>
        </is>
      </c>
      <c r="J4114" t="inlineStr">
        <is>
          <t>0.13</t>
        </is>
      </c>
      <c r="K4114"/>
      <c r="L4114" t="inlineStr">
        <is>
          <t>贪睡便利店的店</t>
        </is>
      </c>
      <c r="M4114">
        <v>658</v>
      </c>
      <c r="N4114">
        <v>4.55</v>
      </c>
      <c r="O4114">
        <v>15000</v>
      </c>
      <c r="P4114" t="inlineStr">
        <is>
          <t>69c5e29415bd74000137487d</t>
        </is>
      </c>
      <c r="Q4114" t="inlineStr">
        <is>
          <t>🚫重复</t>
        </is>
      </c>
      <c r="R4114" t="inlineStr">
        <is>
          <t>15周</t>
        </is>
      </c>
      <c r="S4114" t="inlineStr">
        <is>
          <t>1.17</t>
        </is>
      </c>
      <c r="T4114" t="inlineStr">
        <is>
          <t>家居生活</t>
        </is>
      </c>
      <c r="U4114" t="inlineStr">
        <is>
          <t>家具家装</t>
        </is>
      </c>
      <c r="V4114" s="3">
        <v>46123.98462962963</v>
      </c>
      <c r="W4114" t="inlineStr">
        <is>
          <t>2026-Q2</t>
        </is>
      </c>
    </row>
    <row r="4115" ht="25.5" customHeight="1">
      <c r="A4115" t="inlineStr">
        <is>
          <t>海派甜心釉下彩苹果碗陶瓷碗具餐盘套装</t>
        </is>
      </c>
      <c r="B4115" t="inlineStr">
        <is>
          <t>recvguTbC1BwF0.jpg</t>
        </is>
      </c>
      <c r="C4115" s="2" t="str">
        <f>=HYPERLINK("https://xhslink.com/m/86ffpZXgpDk", "https://xhslink.com/m/86ffpZXgpDk")</f>
        <v>https://xhslink.com/m/86ffpZXgpDk</v>
      </c>
      <c r="D4115"/>
      <c r="E4115">
        <v>13000</v>
      </c>
      <c r="F4115">
        <v>69.9</v>
      </c>
      <c r="G4115">
        <v>67.9</v>
      </c>
      <c r="H4115">
        <v>100</v>
      </c>
      <c r="I4115" t="inlineStr">
        <is>
          <t>餐具</t>
        </is>
      </c>
      <c r="J4115" t="inlineStr">
        <is>
          <t>0.01</t>
        </is>
      </c>
      <c r="K4115" t="inlineStr">
        <is>
          <t>🔥低粉爆款</t>
        </is>
      </c>
      <c r="L4115" t="inlineStr">
        <is>
          <t>I77 HOME（乾誉）的店</t>
        </is>
      </c>
      <c r="M4115">
        <v>825</v>
      </c>
      <c r="N4115">
        <v>4.49</v>
      </c>
      <c r="O4115">
        <v>16000</v>
      </c>
      <c r="P4115" t="inlineStr">
        <is>
          <t>68f35cd7c8f8b8000144c3b1</t>
        </is>
      </c>
      <c r="Q4115" t="inlineStr">
        <is>
          <t>🚫重复</t>
        </is>
      </c>
      <c r="R4115" t="inlineStr">
        <is>
          <t>15周</t>
        </is>
      </c>
      <c r="S4115" t="inlineStr">
        <is>
          <t>15.76</t>
        </is>
      </c>
      <c r="T4115" t="inlineStr">
        <is>
          <t>家居生活</t>
        </is>
      </c>
      <c r="U4115" t="inlineStr">
        <is>
          <t>厨房餐饮</t>
        </is>
      </c>
      <c r="V4115" s="3">
        <v>46123.98462962963</v>
      </c>
      <c r="W4115" t="inlineStr">
        <is>
          <t>2026-Q2</t>
        </is>
      </c>
    </row>
    <row r="4116" ht="25.5" customHeight="1">
      <c r="A4116" t="inlineStr">
        <is>
          <t>清新ins风可爱雪花陶瓷碗勺釉下彩高颜值餐具冰碗甜品碗超好看</t>
        </is>
      </c>
      <c r="B4116" t="inlineStr">
        <is>
          <t>recvguTbC1lYj5.jpg</t>
        </is>
      </c>
      <c r="C4116" s="2" t="str">
        <f>=HYPERLINK("https://xhslink.com/m/2lScStlzYRI", "https://xhslink.com/m/2lScStlzYRI")</f>
        <v>https://xhslink.com/m/2lScStlzYRI</v>
      </c>
      <c r="D4116"/>
      <c r="E4116">
        <v>33000</v>
      </c>
      <c r="F4116">
        <v>32.9</v>
      </c>
      <c r="G4116">
        <v>22.9</v>
      </c>
      <c r="H4116">
        <v>100</v>
      </c>
      <c r="I4116" t="inlineStr">
        <is>
          <t>餐具</t>
        </is>
      </c>
      <c r="J4116" t="inlineStr">
        <is>
          <t>0.00</t>
        </is>
      </c>
      <c r="K4116" t="inlineStr">
        <is>
          <t>🔥低粉爆款</t>
        </is>
      </c>
      <c r="L4116" t="inlineStr">
        <is>
          <t>sweet元气日记的店</t>
        </is>
      </c>
      <c r="M4116">
        <v>1730</v>
      </c>
      <c r="N4116">
        <v>4.5</v>
      </c>
      <c r="O4116">
        <v>35000</v>
      </c>
      <c r="P4116" t="inlineStr">
        <is>
          <t>68b5a6d5fba5440001ef8f2e</t>
        </is>
      </c>
      <c r="Q4116" t="inlineStr">
        <is>
          <t>🚫重复</t>
        </is>
      </c>
      <c r="R4116" t="inlineStr">
        <is>
          <t>15周</t>
        </is>
      </c>
      <c r="S4116" t="inlineStr">
        <is>
          <t>19.08</t>
        </is>
      </c>
      <c r="T4116" t="inlineStr">
        <is>
          <t>家居生活</t>
        </is>
      </c>
      <c r="U4116" t="inlineStr">
        <is>
          <t>厨房餐饮</t>
        </is>
      </c>
      <c r="V4116" s="3">
        <v>46123.98462962963</v>
      </c>
      <c r="W4116" t="inlineStr">
        <is>
          <t>2026-Q2</t>
        </is>
      </c>
    </row>
    <row r="4117" ht="25.5" customHeight="1">
      <c r="A4117" t="inlineStr">
        <is>
          <t>原创多巴胺小狐狸抱吉他钥匙扣挂件女生包包配饰创意礼物</t>
        </is>
      </c>
      <c r="B4117" t="inlineStr">
        <is>
          <t>recvguTbC1sUEX.jpg</t>
        </is>
      </c>
      <c r="C4117" s="2" t="str">
        <f>=HYPERLINK("https://xhslink.com/m/Ac2lNGnd7AC", "https://xhslink.com/m/Ac2lNGnd7AC")</f>
        <v>https://xhslink.com/m/Ac2lNGnd7AC</v>
      </c>
      <c r="D4117"/>
      <c r="E4117">
        <v>1212</v>
      </c>
      <c r="F4117">
        <v>39</v>
      </c>
      <c r="G4117">
        <v>18.5</v>
      </c>
      <c r="H4117">
        <v>100</v>
      </c>
      <c r="I4117" t="inlineStr">
        <is>
          <t>包包挂饰</t>
        </is>
      </c>
      <c r="J4117" t="inlineStr">
        <is>
          <t>0.08</t>
        </is>
      </c>
      <c r="K4117"/>
      <c r="L4117" t="inlineStr">
        <is>
          <t>MINIKO SHOP的店</t>
        </is>
      </c>
      <c r="M4117">
        <v>20000</v>
      </c>
      <c r="N4117">
        <v>4.58</v>
      </c>
      <c r="O4117">
        <v>111000</v>
      </c>
      <c r="P4117" t="inlineStr">
        <is>
          <t>69bd387c180bf4000115b773</t>
        </is>
      </c>
      <c r="Q4117"/>
      <c r="R4117" t="inlineStr">
        <is>
          <t>15周</t>
        </is>
      </c>
      <c r="S4117" t="inlineStr">
        <is>
          <t>0.06</t>
        </is>
      </c>
      <c r="T4117" t="inlineStr">
        <is>
          <t>服饰穿搭</t>
        </is>
      </c>
      <c r="U4117" t="inlineStr">
        <is>
          <t>鞋靴箱包</t>
        </is>
      </c>
      <c r="V4117" s="3">
        <v>46123.98462962963</v>
      </c>
      <c r="W4117" t="inlineStr">
        <is>
          <t>2026-Q2</t>
        </is>
      </c>
    </row>
    <row r="4118" ht="25.5" customHeight="1">
      <c r="A4118" t="inlineStr">
        <is>
          <t>天空岛4.0钻石泪臻耀琉光造景贴纸闪闪趣味解压玩具diy创意贴画</t>
        </is>
      </c>
      <c r="B4118" t="inlineStr">
        <is>
          <t>recvguTbC1obbr.jpg</t>
        </is>
      </c>
      <c r="C4118" s="2" t="str">
        <f>=HYPERLINK("https://xhslink.com/m/1KcDwxYOUYi", "https://xhslink.com/m/1KcDwxYOUYi")</f>
        <v>https://xhslink.com/m/1KcDwxYOUYi</v>
      </c>
      <c r="D4118"/>
      <c r="E4118">
        <v>37000</v>
      </c>
      <c r="F4118">
        <v>35.99</v>
      </c>
      <c r="G4118"/>
      <c r="H4118">
        <v>100</v>
      </c>
      <c r="I4118" t="inlineStr">
        <is>
          <t>益智玩具</t>
        </is>
      </c>
      <c r="J4118" t="inlineStr">
        <is>
          <t>0.00</t>
        </is>
      </c>
      <c r="K4118"/>
      <c r="L4118" t="inlineStr">
        <is>
          <t>天空岛文创的店</t>
        </is>
      </c>
      <c r="M4118">
        <v>70000</v>
      </c>
      <c r="N4118">
        <v>4.86</v>
      </c>
      <c r="O4118">
        <v>256000</v>
      </c>
      <c r="P4118" t="inlineStr">
        <is>
          <t>68c24ffdbd7606000116d9c7</t>
        </is>
      </c>
      <c r="Q4118" t="inlineStr">
        <is>
          <t>🚫重复</t>
        </is>
      </c>
      <c r="R4118" t="inlineStr">
        <is>
          <t>15周</t>
        </is>
      </c>
      <c r="S4118" t="inlineStr">
        <is>
          <t>0.53</t>
        </is>
      </c>
      <c r="T4118" t="inlineStr">
        <is>
          <t>母婴亲子</t>
        </is>
      </c>
      <c r="U4118" t="inlineStr">
        <is>
          <t>玩具早教</t>
        </is>
      </c>
      <c r="V4118" s="3">
        <v>46123.98462962963</v>
      </c>
      <c r="W4118" t="inlineStr">
        <is>
          <t>2026-Q2</t>
        </is>
      </c>
    </row>
    <row r="4119" ht="25.5" customHeight="1">
      <c r="A4119" t="inlineStr">
        <is>
          <t>几何熊 · 数学启蒙积木+8绘本 儿童早教益智玩具磁吸磁力数字积木 蒙氏教育</t>
        </is>
      </c>
      <c r="B4119" t="inlineStr">
        <is>
          <t>recvguTbC1ws9Y.jpg</t>
        </is>
      </c>
      <c r="C4119" s="2" t="str">
        <f>=HYPERLINK("https://xhslink.com/m/9QGDpxsaOZY", "https://xhslink.com/m/9QGDpxsaOZY")</f>
        <v>https://xhslink.com/m/9QGDpxsaOZY</v>
      </c>
      <c r="D4119"/>
      <c r="E4119">
        <v>3575</v>
      </c>
      <c r="F4119">
        <v>209</v>
      </c>
      <c r="G4119">
        <v>149</v>
      </c>
      <c r="H4119">
        <v>100</v>
      </c>
      <c r="I4119" t="inlineStr">
        <is>
          <t>益智玩具</t>
        </is>
      </c>
      <c r="J4119" t="inlineStr">
        <is>
          <t>0.03</t>
        </is>
      </c>
      <c r="K4119"/>
      <c r="L4119" t="inlineStr">
        <is>
          <t>几何熊旗舰店</t>
        </is>
      </c>
      <c r="M4119">
        <v>1321</v>
      </c>
      <c r="N4119">
        <v>4.38</v>
      </c>
      <c r="O4119">
        <v>3866</v>
      </c>
      <c r="P4119" t="inlineStr">
        <is>
          <t>685d396f47fd8b00011771b2</t>
        </is>
      </c>
      <c r="Q4119"/>
      <c r="R4119" t="inlineStr">
        <is>
          <t>15周</t>
        </is>
      </c>
      <c r="S4119" t="inlineStr">
        <is>
          <t>2.71</t>
        </is>
      </c>
      <c r="T4119" t="inlineStr">
        <is>
          <t>母婴亲子</t>
        </is>
      </c>
      <c r="U4119" t="inlineStr">
        <is>
          <t>玩具早教</t>
        </is>
      </c>
      <c r="V4119" s="3">
        <v>46123.98462962963</v>
      </c>
      <c r="W4119" t="inlineStr">
        <is>
          <t>2026-Q2</t>
        </is>
      </c>
    </row>
    <row r="4120" ht="25.5" customHeight="1">
      <c r="A4120" t="inlineStr">
        <is>
          <t>Taaoi儿童大厨房玩具套装煮饭做饭冰块咖啡女孩益智生日新年礼物</t>
        </is>
      </c>
      <c r="B4120" t="inlineStr">
        <is>
          <t>recvguTbC1esGv.jpg</t>
        </is>
      </c>
      <c r="C4120" s="2" t="str">
        <f>=HYPERLINK("https://xhslink.com/m/2kA4eY1FbBw", "https://xhslink.com/m/2kA4eY1FbBw")</f>
        <v>https://xhslink.com/m/2kA4eY1FbBw</v>
      </c>
      <c r="D4120"/>
      <c r="E4120">
        <v>3864</v>
      </c>
      <c r="F4120">
        <v>248</v>
      </c>
      <c r="G4120">
        <v>153</v>
      </c>
      <c r="H4120">
        <v>100</v>
      </c>
      <c r="I4120" t="inlineStr">
        <is>
          <t>益智玩具</t>
        </is>
      </c>
      <c r="J4120" t="inlineStr">
        <is>
          <t>0.03</t>
        </is>
      </c>
      <c r="K4120"/>
      <c r="L4120" t="inlineStr">
        <is>
          <t>Taaol Baby的店</t>
        </is>
      </c>
      <c r="M4120">
        <v>11000</v>
      </c>
      <c r="N4120">
        <v>4.44</v>
      </c>
      <c r="O4120">
        <v>160000</v>
      </c>
      <c r="P4120" t="inlineStr">
        <is>
          <t>6909735a5c4f19000191ae3f</t>
        </is>
      </c>
      <c r="Q4120" t="inlineStr">
        <is>
          <t>🚫重复</t>
        </is>
      </c>
      <c r="R4120" t="inlineStr">
        <is>
          <t>15周</t>
        </is>
      </c>
      <c r="S4120" t="inlineStr">
        <is>
          <t>0.35</t>
        </is>
      </c>
      <c r="T4120" t="inlineStr">
        <is>
          <t>家居生活</t>
        </is>
      </c>
      <c r="U4120" t="inlineStr">
        <is>
          <t>厨房餐饮</t>
        </is>
      </c>
      <c r="V4120" s="3">
        <v>46123.98462962963</v>
      </c>
      <c r="W4120" t="inlineStr">
        <is>
          <t>2026-Q2</t>
        </is>
      </c>
    </row>
    <row r="4121" ht="25.5" customHeight="1">
      <c r="A4121" t="inlineStr">
        <is>
          <t>2.6mm高透拼豆融合拼豆补充包手工diy材料 · 高透50克袋装</t>
        </is>
      </c>
      <c r="B4121" t="inlineStr">
        <is>
          <t>recvguTbC1nov7.jpg</t>
        </is>
      </c>
      <c r="C4121" s="2" t="str">
        <f>=HYPERLINK("https://xhslink.com/m/92FcmWJPB7T", "https://xhslink.com/m/92FcmWJPB7T")</f>
        <v>https://xhslink.com/m/92FcmWJPB7T</v>
      </c>
      <c r="D4121"/>
      <c r="E4121">
        <v>1959</v>
      </c>
      <c r="F4121">
        <v>21.99</v>
      </c>
      <c r="G4121">
        <v>9.99</v>
      </c>
      <c r="H4121">
        <v>100</v>
      </c>
      <c r="I4121" t="inlineStr">
        <is>
          <t>拼豆</t>
        </is>
      </c>
      <c r="J4121" t="inlineStr">
        <is>
          <t>0.05</t>
        </is>
      </c>
      <c r="K4121" t="inlineStr">
        <is>
          <t>🔥低粉爆款</t>
        </is>
      </c>
      <c r="L4121" t="inlineStr">
        <is>
          <t>RE一颗草莓宝的店</t>
        </is>
      </c>
      <c r="M4121">
        <v>551</v>
      </c>
      <c r="N4121">
        <v>4.03</v>
      </c>
      <c r="O4121">
        <v>40000</v>
      </c>
      <c r="P4121" t="inlineStr">
        <is>
          <t>697c6be71b200000015ceb95</t>
        </is>
      </c>
      <c r="Q4121"/>
      <c r="R4121" t="inlineStr">
        <is>
          <t>15周</t>
        </is>
      </c>
      <c r="S4121" t="inlineStr">
        <is>
          <t>3.56</t>
        </is>
      </c>
      <c r="T4121" t="inlineStr">
        <is>
          <t>运动潮玩</t>
        </is>
      </c>
      <c r="U4121" t="inlineStr">
        <is>
          <t>潮玩手办</t>
        </is>
      </c>
      <c r="V4121" s="3">
        <v>46123.98462962963</v>
      </c>
      <c r="W4121" t="inlineStr">
        <is>
          <t>2026-Q2</t>
        </is>
      </c>
    </row>
    <row r="4122" ht="25.5" customHeight="1">
      <c r="A4122" t="inlineStr">
        <is>
          <t>火星拼豆套装 融合豆 MARD漫漫咪小窝COCO黄豆豆DODO通用221色</t>
        </is>
      </c>
      <c r="B4122" t="inlineStr">
        <is>
          <t>recvguTbC1zdz9.jpg</t>
        </is>
      </c>
      <c r="C4122" s="2" t="str">
        <f>=HYPERLINK("https://xhslink.com/m/4rip45vmUtz", "https://xhslink.com/m/4rip45vmUtz")</f>
        <v>https://xhslink.com/m/4rip45vmUtz</v>
      </c>
      <c r="D4122"/>
      <c r="E4122">
        <v>4917</v>
      </c>
      <c r="F4122">
        <v>23.52</v>
      </c>
      <c r="G4122"/>
      <c r="H4122">
        <v>100</v>
      </c>
      <c r="I4122" t="inlineStr">
        <is>
          <t>拼豆</t>
        </is>
      </c>
      <c r="J4122" t="inlineStr">
        <is>
          <t>0.02</t>
        </is>
      </c>
      <c r="K4122"/>
      <c r="L4122" t="inlineStr">
        <is>
          <t>火星拼豆的店</t>
        </is>
      </c>
      <c r="M4122">
        <v>4575</v>
      </c>
      <c r="N4122">
        <v>4.56</v>
      </c>
      <c r="O4122">
        <v>51000</v>
      </c>
      <c r="P4122" t="inlineStr">
        <is>
          <t>696b474019260d00011e6c3e</t>
        </is>
      </c>
      <c r="Q4122" t="inlineStr">
        <is>
          <t>🚫重复</t>
        </is>
      </c>
      <c r="R4122" t="inlineStr">
        <is>
          <t>15周</t>
        </is>
      </c>
      <c r="S4122" t="inlineStr">
        <is>
          <t>1.07</t>
        </is>
      </c>
      <c r="T4122" t="inlineStr">
        <is>
          <t>运动潮玩</t>
        </is>
      </c>
      <c r="U4122" t="inlineStr">
        <is>
          <t>潮玩手办</t>
        </is>
      </c>
      <c r="V4122" s="3">
        <v>46123.98462962963</v>
      </c>
      <c r="W4122" t="inlineStr">
        <is>
          <t>2026-Q2</t>
        </is>
      </c>
    </row>
    <row r="4123" ht="25.5" customHeight="1">
      <c r="A4123" t="inlineStr">
        <is>
          <t>【Tree Lazy豆铲】丝滑拼豆豆铲12道6道新手拼豆神器不卡豆</t>
        </is>
      </c>
      <c r="B4123" t="inlineStr">
        <is>
          <t>recvguTbC1IfEl.jpg</t>
        </is>
      </c>
      <c r="C4123" s="2" t="str">
        <f>=HYPERLINK("https://xhslink.com/m/3bdDm4PAQcw", "https://xhslink.com/m/3bdDm4PAQcw")</f>
        <v>https://xhslink.com/m/3bdDm4PAQcw</v>
      </c>
      <c r="D4123"/>
      <c r="E4123">
        <v>5851</v>
      </c>
      <c r="F4123">
        <v>8.6</v>
      </c>
      <c r="G4123"/>
      <c r="H4123">
        <v>100</v>
      </c>
      <c r="I4123" t="inlineStr">
        <is>
          <t>拼豆</t>
        </is>
      </c>
      <c r="J4123" t="inlineStr">
        <is>
          <t>0.02</t>
        </is>
      </c>
      <c r="K4123"/>
      <c r="L4123" t="inlineStr">
        <is>
          <t>树小懒_的店</t>
        </is>
      </c>
      <c r="M4123">
        <v>11000</v>
      </c>
      <c r="N4123">
        <v>4.44</v>
      </c>
      <c r="O4123">
        <v>13000</v>
      </c>
      <c r="P4123" t="inlineStr">
        <is>
          <t>6955f86dbd92f500011c32f1</t>
        </is>
      </c>
      <c r="Q4123"/>
      <c r="R4123" t="inlineStr">
        <is>
          <t>15周</t>
        </is>
      </c>
      <c r="S4123" t="inlineStr">
        <is>
          <t>0.53</t>
        </is>
      </c>
      <c r="T4123" t="inlineStr">
        <is>
          <t>运动潮玩</t>
        </is>
      </c>
      <c r="U4123" t="inlineStr">
        <is>
          <t>潮玩手办</t>
        </is>
      </c>
      <c r="V4123" s="3">
        <v>46123.98462962963</v>
      </c>
      <c r="W4123" t="inlineStr">
        <is>
          <t>2026-Q2</t>
        </is>
      </c>
    </row>
    <row r="4124" ht="25.5" customHeight="1">
      <c r="A4124" t="inlineStr">
        <is>
          <t>依依拼豆221色融合豆兼容MARD黄豆豆DODO小舞COCO同款2.6mm小豆</t>
        </is>
      </c>
      <c r="B4124" t="inlineStr">
        <is>
          <t>recvguTbC1yvQr.jpg</t>
        </is>
      </c>
      <c r="C4124" s="2" t="str">
        <f>=HYPERLINK("https://xhslink.com/m/7qQ8FMaPVBA", "https://xhslink.com/m/7qQ8FMaPVBA")</f>
        <v>https://xhslink.com/m/7qQ8FMaPVBA</v>
      </c>
      <c r="D4124"/>
      <c r="E4124">
        <v>950</v>
      </c>
      <c r="F4124">
        <v>128</v>
      </c>
      <c r="G4124"/>
      <c r="H4124">
        <v>100</v>
      </c>
      <c r="I4124" t="inlineStr">
        <is>
          <t>拼豆</t>
        </is>
      </c>
      <c r="J4124" t="inlineStr">
        <is>
          <t>0.11</t>
        </is>
      </c>
      <c r="K4124"/>
      <c r="L4124" t="inlineStr">
        <is>
          <t>依依拼豆的店</t>
        </is>
      </c>
      <c r="M4124">
        <v>2121</v>
      </c>
      <c r="N4124">
        <v>4.47</v>
      </c>
      <c r="O4124">
        <v>1599</v>
      </c>
      <c r="P4124" t="inlineStr">
        <is>
          <t>69bb730299f8fe000149b0aa</t>
        </is>
      </c>
      <c r="Q4124"/>
      <c r="R4124" t="inlineStr">
        <is>
          <t>15周</t>
        </is>
      </c>
      <c r="S4124" t="inlineStr">
        <is>
          <t>0.45</t>
        </is>
      </c>
      <c r="T4124" t="inlineStr">
        <is>
          <t>运动潮玩</t>
        </is>
      </c>
      <c r="U4124" t="inlineStr">
        <is>
          <t>潮玩手办</t>
        </is>
      </c>
      <c r="V4124" s="3">
        <v>46123.98462962963</v>
      </c>
      <c r="W4124" t="inlineStr">
        <is>
          <t>2026-Q2</t>
        </is>
      </c>
    </row>
    <row r="4125" ht="25.5" customHeight="1">
      <c r="A4125" t="inlineStr">
        <is>
          <t>2.6mm拼豆小豆221色随机补充包拼豆豆手工diy材料包融合豆</t>
        </is>
      </c>
      <c r="B4125" t="inlineStr">
        <is>
          <t>recvguTbC1tGuQ.jpg</t>
        </is>
      </c>
      <c r="C4125" s="2" t="str">
        <f>=HYPERLINK("https://xhslink.com/m/1Vg7h644zTl", "https://xhslink.com/m/1Vg7h644zTl")</f>
        <v>https://xhslink.com/m/1Vg7h644zTl</v>
      </c>
      <c r="D4125"/>
      <c r="E4125">
        <v>459</v>
      </c>
      <c r="F4125">
        <v>19.9</v>
      </c>
      <c r="G4125"/>
      <c r="H4125">
        <v>100</v>
      </c>
      <c r="I4125" t="inlineStr">
        <is>
          <t>拼豆</t>
        </is>
      </c>
      <c r="J4125" t="inlineStr">
        <is>
          <t>0.22</t>
        </is>
      </c>
      <c r="K4125"/>
      <c r="L4125" t="inlineStr">
        <is>
          <t>拼豆豆diy的店</t>
        </is>
      </c>
      <c r="M4125">
        <v>430</v>
      </c>
      <c r="N4125">
        <v>4.54</v>
      </c>
      <c r="O4125">
        <v>3454</v>
      </c>
      <c r="P4125" t="inlineStr">
        <is>
          <t>69c0c33aa20c210001c046ea</t>
        </is>
      </c>
      <c r="Q4125"/>
      <c r="R4125" t="inlineStr">
        <is>
          <t>15周</t>
        </is>
      </c>
      <c r="S4125" t="inlineStr">
        <is>
          <t>1.07</t>
        </is>
      </c>
      <c r="T4125" t="inlineStr">
        <is>
          <t>运动潮玩</t>
        </is>
      </c>
      <c r="U4125" t="inlineStr">
        <is>
          <t>潮玩手办</t>
        </is>
      </c>
      <c r="V4125" s="3">
        <v>46123.98462962963</v>
      </c>
      <c r="W4125" t="inlineStr">
        <is>
          <t>2026-Q2</t>
        </is>
      </c>
    </row>
    <row r="4126" ht="25.5" customHeight="1">
      <c r="A4126" t="inlineStr">
        <is>
          <t>【A色系】火星拼豆现货 融合豆2.6mm 补充包 MARD同款通用 10g</t>
        </is>
      </c>
      <c r="B4126" t="inlineStr">
        <is>
          <t>recvguTbC1ZsyB.jpg</t>
        </is>
      </c>
      <c r="C4126" s="2" t="str">
        <f>=HYPERLINK("https://xhslink.com/m/5ppROKsiFUD", "https://xhslink.com/m/5ppROKsiFUD")</f>
        <v>https://xhslink.com/m/5ppROKsiFUD</v>
      </c>
      <c r="D4126"/>
      <c r="E4126">
        <v>2987</v>
      </c>
      <c r="F4126">
        <v>0.98</v>
      </c>
      <c r="G4126"/>
      <c r="H4126">
        <v>100</v>
      </c>
      <c r="I4126" t="inlineStr">
        <is>
          <t>拼豆</t>
        </is>
      </c>
      <c r="J4126" t="inlineStr">
        <is>
          <t>0.03</t>
        </is>
      </c>
      <c r="K4126"/>
      <c r="L4126" t="inlineStr">
        <is>
          <t>火星拼豆的店</t>
        </is>
      </c>
      <c r="M4126">
        <v>4575</v>
      </c>
      <c r="N4126">
        <v>4.56</v>
      </c>
      <c r="O4126">
        <v>51000</v>
      </c>
      <c r="P4126" t="inlineStr">
        <is>
          <t>6985cb555b50a30001e28451</t>
        </is>
      </c>
      <c r="Q4126" t="inlineStr">
        <is>
          <t>🚫重复</t>
        </is>
      </c>
      <c r="R4126" t="inlineStr">
        <is>
          <t>15周</t>
        </is>
      </c>
      <c r="S4126" t="inlineStr">
        <is>
          <t>0.65</t>
        </is>
      </c>
      <c r="T4126" t="inlineStr">
        <is>
          <t>运动潮玩</t>
        </is>
      </c>
      <c r="U4126" t="inlineStr">
        <is>
          <t>潮玩手办</t>
        </is>
      </c>
      <c r="V4126" s="3">
        <v>46123.98462962963</v>
      </c>
      <c r="W4126" t="inlineStr">
        <is>
          <t>2026-Q2</t>
        </is>
      </c>
    </row>
    <row r="4127" ht="25.5" customHeight="1">
      <c r="A4127" t="inlineStr">
        <is>
          <t>【24小时内速发】我不是拼豆神221全色补充包</t>
        </is>
      </c>
      <c r="B4127" t="inlineStr">
        <is>
          <t>recvguTbC130od.jpg</t>
        </is>
      </c>
      <c r="C4127" s="2" t="str">
        <f>=HYPERLINK("https://xhslink.com/m/6EaBYIv9bV", "https://xhslink.com/m/6EaBYIv9bV")</f>
        <v>https://xhslink.com/m/6EaBYIv9bV</v>
      </c>
      <c r="D4127"/>
      <c r="E4127">
        <v>462</v>
      </c>
      <c r="F4127">
        <v>69</v>
      </c>
      <c r="G4127"/>
      <c r="H4127">
        <v>100</v>
      </c>
      <c r="I4127" t="inlineStr">
        <is>
          <t>拼豆</t>
        </is>
      </c>
      <c r="J4127" t="inlineStr">
        <is>
          <t>0.22</t>
        </is>
      </c>
      <c r="K4127"/>
      <c r="L4127" t="inlineStr">
        <is>
          <t>我不是拼豆神的店</t>
        </is>
      </c>
      <c r="M4127">
        <v>16000</v>
      </c>
      <c r="N4127">
        <v>4.74</v>
      </c>
      <c r="O4127">
        <v>387000</v>
      </c>
      <c r="P4127" t="inlineStr">
        <is>
          <t>69b3bf67180bf400011e3466</t>
        </is>
      </c>
      <c r="Q4127" t="inlineStr">
        <is>
          <t>🚫重复</t>
        </is>
      </c>
      <c r="R4127" t="inlineStr">
        <is>
          <t>15周</t>
        </is>
      </c>
      <c r="S4127" t="inlineStr">
        <is>
          <t>0.03</t>
        </is>
      </c>
      <c r="T4127" t="inlineStr">
        <is>
          <t>运动潮玩</t>
        </is>
      </c>
      <c r="U4127" t="inlineStr">
        <is>
          <t>潮玩手办</t>
        </is>
      </c>
      <c r="V4127" s="3">
        <v>46123.98462962963</v>
      </c>
      <c r="W4127" t="inlineStr">
        <is>
          <t>2026-Q2</t>
        </is>
      </c>
    </row>
    <row r="4128" ht="25.5" customHeight="1">
      <c r="A4128" t="inlineStr">
        <is>
          <t>【满15包邮】黑白常用色拼豆补充包2.6MM高品质融合豆MARD同色号</t>
        </is>
      </c>
      <c r="B4128" t="inlineStr">
        <is>
          <t>recvguTbC18Ml3.jpg</t>
        </is>
      </c>
      <c r="C4128" s="2" t="str">
        <f>=HYPERLINK("https://xhslink.com/m/4VhTDktNrBE", "https://xhslink.com/m/4VhTDktNrBE")</f>
        <v>https://xhslink.com/m/4VhTDktNrBE</v>
      </c>
      <c r="D4128"/>
      <c r="E4128">
        <v>765</v>
      </c>
      <c r="F4128">
        <v>3</v>
      </c>
      <c r="G4128">
        <v>1</v>
      </c>
      <c r="H4128">
        <v>100</v>
      </c>
      <c r="I4128" t="inlineStr">
        <is>
          <t>拼豆</t>
        </is>
      </c>
      <c r="J4128" t="inlineStr">
        <is>
          <t>0.13</t>
        </is>
      </c>
      <c r="K4128"/>
      <c r="L4128" t="inlineStr">
        <is>
          <t>团团拼豆工厂的店</t>
        </is>
      </c>
      <c r="M4128">
        <v>814</v>
      </c>
      <c r="N4128">
        <v>4.55</v>
      </c>
      <c r="O4128">
        <v>11000</v>
      </c>
      <c r="P4128" t="inlineStr">
        <is>
          <t>69b8f1a45e5f050001f2a879</t>
        </is>
      </c>
      <c r="Q4128" t="inlineStr">
        <is>
          <t>🚫重复</t>
        </is>
      </c>
      <c r="R4128" t="inlineStr">
        <is>
          <t>15周</t>
        </is>
      </c>
      <c r="S4128" t="inlineStr">
        <is>
          <t>0.94</t>
        </is>
      </c>
      <c r="T4128" t="inlineStr">
        <is>
          <t>运动潮玩</t>
        </is>
      </c>
      <c r="U4128" t="inlineStr">
        <is>
          <t>潮玩手办</t>
        </is>
      </c>
      <c r="V4128" s="3">
        <v>46123.98462962963</v>
      </c>
      <c r="W4128" t="inlineStr">
        <is>
          <t>2026-Q2</t>
        </is>
      </c>
    </row>
    <row r="4129" ht="25.5" customHeight="1">
      <c r="A4129" t="inlineStr">
        <is>
          <t>【海洋总动员盲盒】毛绒挂件盲盒包包挂件搪胶毛绒挂件礼物推荐~</t>
        </is>
      </c>
      <c r="B4129" t="inlineStr">
        <is>
          <t>recvguTbC1GoN9.jpg</t>
        </is>
      </c>
      <c r="C4129" s="2" t="str">
        <f>=HYPERLINK("https://xhslink.com/m/9QMJiXXsOzC", "https://xhslink.com/m/9QMJiXXsOzC")</f>
        <v>https://xhslink.com/m/9QMJiXXsOzC</v>
      </c>
      <c r="D4129"/>
      <c r="E4129">
        <v>16000</v>
      </c>
      <c r="F4129">
        <v>26.8</v>
      </c>
      <c r="G4129"/>
      <c r="H4129">
        <v>100</v>
      </c>
      <c r="I4129" t="inlineStr">
        <is>
          <t>挂件公仔</t>
        </is>
      </c>
      <c r="J4129" t="inlineStr">
        <is>
          <t>0.01</t>
        </is>
      </c>
      <c r="K4129" t="inlineStr">
        <is>
          <t>🔥低粉爆款</t>
        </is>
      </c>
      <c r="L4129" t="inlineStr">
        <is>
          <t>玩具箱物语的店</t>
        </is>
      </c>
      <c r="M4129">
        <v>1794</v>
      </c>
      <c r="N4129">
        <v>4.54</v>
      </c>
      <c r="O4129">
        <v>52000</v>
      </c>
      <c r="P4129" t="inlineStr">
        <is>
          <t>685c16253a11a800014c0873</t>
        </is>
      </c>
      <c r="Q4129" t="inlineStr">
        <is>
          <t>🚫重复</t>
        </is>
      </c>
      <c r="R4129" t="inlineStr">
        <is>
          <t>15周</t>
        </is>
      </c>
      <c r="S4129" t="inlineStr">
        <is>
          <t>8.92</t>
        </is>
      </c>
      <c r="T4129" t="inlineStr">
        <is>
          <t>服饰穿搭</t>
        </is>
      </c>
      <c r="U4129" t="inlineStr">
        <is>
          <t>鞋靴箱包</t>
        </is>
      </c>
      <c r="V4129" s="3">
        <v>46123.98462962963</v>
      </c>
      <c r="W4129" t="inlineStr">
        <is>
          <t>2026-Q2</t>
        </is>
      </c>
    </row>
    <row r="4130" ht="25.5" customHeight="1">
      <c r="A4130" t="inlineStr">
        <is>
          <t>韩国碳灰三丽鸥灰白系列8cm限定毛绒挂件</t>
        </is>
      </c>
      <c r="B4130" t="inlineStr">
        <is>
          <t>recvguTbC11H1k.jpg</t>
        </is>
      </c>
      <c r="C4130" s="2" t="str">
        <f>=HYPERLINK("https://xhslink.com/m/7jLS1zlfZiy", "https://xhslink.com/m/7jLS1zlfZiy")</f>
        <v>https://xhslink.com/m/7jLS1zlfZiy</v>
      </c>
      <c r="D4130"/>
      <c r="E4130">
        <v>1461</v>
      </c>
      <c r="F4130">
        <v>32</v>
      </c>
      <c r="G4130"/>
      <c r="H4130">
        <v>100</v>
      </c>
      <c r="I4130" t="inlineStr">
        <is>
          <t>挂件公仔</t>
        </is>
      </c>
      <c r="J4130" t="inlineStr">
        <is>
          <t>0.07</t>
        </is>
      </c>
      <c r="K4130"/>
      <c r="L4130" t="inlineStr">
        <is>
          <t>毛绒绒玩具清仓的店</t>
        </is>
      </c>
      <c r="M4130">
        <v>56000</v>
      </c>
      <c r="N4130">
        <v>4.32</v>
      </c>
      <c r="O4130">
        <v>103000</v>
      </c>
      <c r="P4130" t="inlineStr">
        <is>
          <t>69c398ad23faf80001477336</t>
        </is>
      </c>
      <c r="Q4130"/>
      <c r="R4130" t="inlineStr">
        <is>
          <t>15周</t>
        </is>
      </c>
      <c r="S4130" t="inlineStr">
        <is>
          <t>0.03</t>
        </is>
      </c>
      <c r="T4130" t="inlineStr">
        <is>
          <t>服饰穿搭</t>
        </is>
      </c>
      <c r="U4130" t="inlineStr">
        <is>
          <t>配饰</t>
        </is>
      </c>
      <c r="V4130" s="3">
        <v>46123.98462962963</v>
      </c>
      <c r="W4130" t="inlineStr">
        <is>
          <t>2026-Q2</t>
        </is>
      </c>
    </row>
    <row r="4131" ht="25.5" customHeight="1">
      <c r="A4131" t="inlineStr">
        <is>
          <t>音符布丁联名冬日毛绒挂件原创毛绒钥匙扣包挂玩偶礼物配饰</t>
        </is>
      </c>
      <c r="B4131" t="inlineStr">
        <is>
          <t>recvguTbC1PH31.jpg</t>
        </is>
      </c>
      <c r="C4131" s="2" t="str">
        <f>=HYPERLINK("https://xhslink.com/m/8NUs2i1Ng1w", "https://xhslink.com/m/8NUs2i1Ng1w")</f>
        <v>https://xhslink.com/m/8NUs2i1Ng1w</v>
      </c>
      <c r="D4131"/>
      <c r="E4131">
        <v>746</v>
      </c>
      <c r="F4131">
        <v>75</v>
      </c>
      <c r="G4131"/>
      <c r="H4131">
        <v>100</v>
      </c>
      <c r="I4131" t="inlineStr">
        <is>
          <t>挂件公仔</t>
        </is>
      </c>
      <c r="J4131" t="inlineStr">
        <is>
          <t>0.13</t>
        </is>
      </c>
      <c r="K4131"/>
      <c r="L4131" t="inlineStr">
        <is>
          <t>厚薯饼商店的店</t>
        </is>
      </c>
      <c r="M4131">
        <v>2999</v>
      </c>
      <c r="N4131">
        <v>4.48</v>
      </c>
      <c r="O4131">
        <v>8751</v>
      </c>
      <c r="P4131" t="inlineStr">
        <is>
          <t>69a15c566b5a830001803704</t>
        </is>
      </c>
      <c r="Q4131"/>
      <c r="R4131" t="inlineStr">
        <is>
          <t>15周</t>
        </is>
      </c>
      <c r="S4131" t="inlineStr">
        <is>
          <t>0.25</t>
        </is>
      </c>
      <c r="T4131" t="inlineStr">
        <is>
          <t>母婴亲子</t>
        </is>
      </c>
      <c r="U4131" t="inlineStr">
        <is>
          <t>玩具早教</t>
        </is>
      </c>
      <c r="V4131" s="3">
        <v>46123.98462962963</v>
      </c>
      <c r="W4131" t="inlineStr">
        <is>
          <t>2026-Q2</t>
        </is>
      </c>
    </row>
    <row r="4132" ht="25.5" customHeight="1">
      <c r="A4132" t="inlineStr">
        <is>
          <t>预定折扣版本 2026年4月预订2026年10月左右出荷能等再拍哦</t>
        </is>
      </c>
      <c r="B4132" t="inlineStr">
        <is>
          <t>recvguTbC1Hnmn.jpg</t>
        </is>
      </c>
      <c r="C4132" s="2" t="str">
        <f>=HYPERLINK("https://xhslink.com/m/4uWos86E6lr", "https://xhslink.com/m/4uWos86E6lr")</f>
        <v>https://xhslink.com/m/4uWos86E6lr</v>
      </c>
      <c r="D4132"/>
      <c r="E4132">
        <v>2966</v>
      </c>
      <c r="F4132">
        <v>360</v>
      </c>
      <c r="G4132">
        <v>330</v>
      </c>
      <c r="H4132">
        <v>100</v>
      </c>
      <c r="I4132" t="inlineStr">
        <is>
          <t>小物件</t>
        </is>
      </c>
      <c r="J4132" t="inlineStr">
        <is>
          <t>0.03</t>
        </is>
      </c>
      <c r="K4132"/>
      <c r="L4132" t="inlineStr">
        <is>
          <t>Joy王老师（只卖正版）的店</t>
        </is>
      </c>
      <c r="M4132">
        <v>8144</v>
      </c>
      <c r="N4132">
        <v>4.49</v>
      </c>
      <c r="O4132">
        <v>9240</v>
      </c>
      <c r="P4132" t="inlineStr">
        <is>
          <t>698c973fd5afea0001cc3971</t>
        </is>
      </c>
      <c r="Q4132" t="inlineStr">
        <is>
          <t>🚫重复</t>
        </is>
      </c>
      <c r="R4132" t="inlineStr">
        <is>
          <t>15周</t>
        </is>
      </c>
      <c r="S4132" t="inlineStr">
        <is>
          <t>0.36</t>
        </is>
      </c>
      <c r="T4132" t="inlineStr">
        <is>
          <t>家居生活</t>
        </is>
      </c>
      <c r="U4132" t="inlineStr">
        <is>
          <t>家居日用</t>
        </is>
      </c>
      <c r="V4132" s="3">
        <v>46123.98462962963</v>
      </c>
      <c r="W4132" t="inlineStr">
        <is>
          <t>2026-Q2</t>
        </is>
      </c>
    </row>
    <row r="4133" ht="25.5" customHeight="1">
      <c r="A4133" t="inlineStr">
        <is>
          <t>【甜玉米毛绒手机挂件】毛绒玩偶/手机挂绳/礼物推荐</t>
        </is>
      </c>
      <c r="B4133" t="inlineStr">
        <is>
          <t>recvguTbC1VDtn.jpg</t>
        </is>
      </c>
      <c r="C4133" s="2" t="str">
        <f>=HYPERLINK("https://xhslink.com/m/8gZz9xRLfs3", "https://xhslink.com/m/8gZz9xRLfs3")</f>
        <v>https://xhslink.com/m/8gZz9xRLfs3</v>
      </c>
      <c r="D4133"/>
      <c r="E4133">
        <v>85000</v>
      </c>
      <c r="F4133">
        <v>35.9</v>
      </c>
      <c r="G4133"/>
      <c r="H4133">
        <v>100</v>
      </c>
      <c r="I4133" t="inlineStr">
        <is>
          <t>小物件</t>
        </is>
      </c>
      <c r="J4133" t="inlineStr">
        <is>
          <t>0.00</t>
        </is>
      </c>
      <c r="K4133"/>
      <c r="L4133" t="inlineStr">
        <is>
          <t>Rays潮玩的店</t>
        </is>
      </c>
      <c r="M4133">
        <v>385000</v>
      </c>
      <c r="N4133">
        <v>4.65</v>
      </c>
      <c r="O4133">
        <v>921000</v>
      </c>
      <c r="P4133" t="inlineStr">
        <is>
          <t>69b00bc79b4aae0001c9c46f</t>
        </is>
      </c>
      <c r="Q4133" t="inlineStr">
        <is>
          <t>🚫重复</t>
        </is>
      </c>
      <c r="R4133" t="inlineStr">
        <is>
          <t>15周</t>
        </is>
      </c>
      <c r="S4133" t="inlineStr">
        <is>
          <t>0.22</t>
        </is>
      </c>
      <c r="T4133" t="inlineStr">
        <is>
          <t>母婴亲子</t>
        </is>
      </c>
      <c r="U4133" t="inlineStr">
        <is>
          <t>玩具早教</t>
        </is>
      </c>
      <c r="V4133" s="3">
        <v>46123.98462962963</v>
      </c>
      <c r="W4133" t="inlineStr">
        <is>
          <t>2026-Q2</t>
        </is>
      </c>
    </row>
    <row r="4134" ht="25.5" customHeight="1">
      <c r="A4134" t="inlineStr">
        <is>
          <t>复古录音机生日礼物送男友可录音礼物包包挂件一周年纪念礼物情侣</t>
        </is>
      </c>
      <c r="B4134" t="inlineStr">
        <is>
          <t>recvguTbC1qaL4.jpg</t>
        </is>
      </c>
      <c r="C4134" s="2" t="str">
        <f>=HYPERLINK("https://xhslink.com/m/1t4xVtvRlmA", "https://xhslink.com/m/1t4xVtvRlmA")</f>
        <v>https://xhslink.com/m/1t4xVtvRlmA</v>
      </c>
      <c r="D4134"/>
      <c r="E4134">
        <v>42000</v>
      </c>
      <c r="F4134">
        <v>18.8</v>
      </c>
      <c r="G4134"/>
      <c r="H4134">
        <v>100</v>
      </c>
      <c r="I4134" t="inlineStr">
        <is>
          <t>小物件</t>
        </is>
      </c>
      <c r="J4134" t="inlineStr">
        <is>
          <t>0.00</t>
        </is>
      </c>
      <c r="K4134" t="inlineStr">
        <is>
          <t>🔥低粉爆款</t>
        </is>
      </c>
      <c r="L4134" t="inlineStr">
        <is>
          <t>夏味礼品Z26的店</t>
        </is>
      </c>
      <c r="M4134">
        <v>4330</v>
      </c>
      <c r="N4134">
        <v>4.63</v>
      </c>
      <c r="O4134">
        <v>44000</v>
      </c>
      <c r="P4134" t="inlineStr">
        <is>
          <t>6704e6efb3c39900016ddded</t>
        </is>
      </c>
      <c r="Q4134"/>
      <c r="R4134" t="inlineStr">
        <is>
          <t>15周</t>
        </is>
      </c>
      <c r="S4134" t="inlineStr">
        <is>
          <t>9.70</t>
        </is>
      </c>
      <c r="T4134" t="inlineStr">
        <is>
          <t>服饰穿搭</t>
        </is>
      </c>
      <c r="U4134" t="inlineStr">
        <is>
          <t>鞋靴箱包</t>
        </is>
      </c>
      <c r="V4134" s="3">
        <v>46123.98462962963</v>
      </c>
      <c r="W4134" t="inlineStr">
        <is>
          <t>2026-Q2</t>
        </is>
      </c>
    </row>
    <row r="4135" ht="25.5" customHeight="1">
      <c r="A4135" t="inlineStr">
        <is>
          <t>其他 · 高颜值少女心生日礼物小猪杯子送男女朋友情侣姐妹儿童礼品伴手礼</t>
        </is>
      </c>
      <c r="B4135" t="inlineStr">
        <is>
          <t>recvguTbC1ovBr.jpg</t>
        </is>
      </c>
      <c r="C4135" s="2" t="str">
        <f>=HYPERLINK("https://xhslink.com/m/4jQoQm2hec6", "https://xhslink.com/m/4jQoQm2hec6")</f>
        <v>https://xhslink.com/m/4jQoQm2hec6</v>
      </c>
      <c r="D4135"/>
      <c r="E4135">
        <v>372</v>
      </c>
      <c r="F4135">
        <v>62.11</v>
      </c>
      <c r="G4135">
        <v>0.11</v>
      </c>
      <c r="H4135">
        <v>100</v>
      </c>
      <c r="I4135" t="inlineStr">
        <is>
          <t>小物件</t>
        </is>
      </c>
      <c r="J4135" t="inlineStr">
        <is>
          <t>0.27</t>
        </is>
      </c>
      <c r="K4135"/>
      <c r="L4135" t="inlineStr">
        <is>
          <t>是清漪呀～的店</t>
        </is>
      </c>
      <c r="M4135">
        <v>155</v>
      </c>
      <c r="N4135">
        <v>4.41</v>
      </c>
      <c r="O4135">
        <v>3413</v>
      </c>
      <c r="P4135" t="inlineStr">
        <is>
          <t>697997ea0270070015390ec8</t>
        </is>
      </c>
      <c r="Q4135" t="inlineStr">
        <is>
          <t>🚫重复</t>
        </is>
      </c>
      <c r="R4135" t="inlineStr">
        <is>
          <t>15周</t>
        </is>
      </c>
      <c r="S4135" t="inlineStr">
        <is>
          <t>2.40</t>
        </is>
      </c>
      <c r="T4135" t="inlineStr">
        <is>
          <t>家居生活</t>
        </is>
      </c>
      <c r="U4135" t="inlineStr">
        <is>
          <t>厨房餐饮</t>
        </is>
      </c>
      <c r="V4135" s="3">
        <v>46123.98462962963</v>
      </c>
      <c r="W4135" t="inlineStr">
        <is>
          <t>2026-Q2</t>
        </is>
      </c>
    </row>
    <row r="4136" ht="25.5" customHeight="1">
      <c r="A4136" t="inlineStr">
        <is>
          <t>{露茜假发}bjd毛胚直发刘海可手改可卷发lolita洛丽塔假发 ES615</t>
        </is>
      </c>
      <c r="B4136" t="inlineStr">
        <is>
          <t>recvguTbC1hajj.jpg</t>
        </is>
      </c>
      <c r="C4136" s="2" t="str">
        <f>=HYPERLINK("https://xhslink.com/m/8DoxYxvNMkn", "https://xhslink.com/m/8DoxYxvNMkn")</f>
        <v>https://xhslink.com/m/8DoxYxvNMkn</v>
      </c>
      <c r="D4136"/>
      <c r="E4136">
        <v>24000</v>
      </c>
      <c r="F4136">
        <v>22.9</v>
      </c>
      <c r="G4136"/>
      <c r="H4136">
        <v>100</v>
      </c>
      <c r="I4136" t="inlineStr">
        <is>
          <t>四坑</t>
        </is>
      </c>
      <c r="J4136" t="inlineStr">
        <is>
          <t>0.00</t>
        </is>
      </c>
      <c r="K4136"/>
      <c r="L4136" t="inlineStr">
        <is>
          <t>浦江县露茜假发厂的店</t>
        </is>
      </c>
      <c r="M4136">
        <v>52000</v>
      </c>
      <c r="N4136">
        <v>4.56</v>
      </c>
      <c r="O4136">
        <v>103000</v>
      </c>
      <c r="P4136" t="inlineStr">
        <is>
          <t>64e99b0bf921e9000136b4f9</t>
        </is>
      </c>
      <c r="Q4136"/>
      <c r="R4136" t="inlineStr">
        <is>
          <t>15周</t>
        </is>
      </c>
      <c r="S4136" t="inlineStr">
        <is>
          <t>0.46</t>
        </is>
      </c>
      <c r="T4136" t="inlineStr">
        <is>
          <t>运动潮玩</t>
        </is>
      </c>
      <c r="U4136" t="inlineStr">
        <is>
          <t>潮玩手办</t>
        </is>
      </c>
      <c r="V4136" s="3">
        <v>46123.98462962963</v>
      </c>
      <c r="W4136" t="inlineStr">
        <is>
          <t>2026-Q2</t>
        </is>
      </c>
    </row>
    <row r="4137" ht="25.5" customHeight="1">
      <c r="A4137" t="inlineStr">
        <is>
          <t>风与眠-可食用主义 食物系循环柄纯棉简单日常轻lo</t>
        </is>
      </c>
      <c r="B4137" t="inlineStr">
        <is>
          <t>recvguTbC1eqez.jpg</t>
        </is>
      </c>
      <c r="C4137" s="2" t="str">
        <f>=HYPERLINK("https://xhslink.com/m/6EbQqDdegQe", "https://xhslink.com/m/6EbQqDdegQe")</f>
        <v>https://xhslink.com/m/6EbQqDdegQe</v>
      </c>
      <c r="D4137"/>
      <c r="E4137">
        <v>1014</v>
      </c>
      <c r="F4137">
        <v>218</v>
      </c>
      <c r="G4137">
        <v>216</v>
      </c>
      <c r="H4137">
        <v>100</v>
      </c>
      <c r="I4137" t="inlineStr">
        <is>
          <t>四坑</t>
        </is>
      </c>
      <c r="J4137" t="inlineStr">
        <is>
          <t>0.10</t>
        </is>
      </c>
      <c r="K4137"/>
      <c r="L4137" t="inlineStr">
        <is>
          <t>风与眠的店</t>
        </is>
      </c>
      <c r="M4137">
        <v>12000</v>
      </c>
      <c r="N4137">
        <v>4.39</v>
      </c>
      <c r="O4137">
        <v>3485</v>
      </c>
      <c r="P4137" t="inlineStr">
        <is>
          <t>68972adbb6005400015adf9a</t>
        </is>
      </c>
      <c r="Q4137"/>
      <c r="R4137" t="inlineStr">
        <is>
          <t>15周</t>
        </is>
      </c>
      <c r="S4137" t="inlineStr">
        <is>
          <t>0.08</t>
        </is>
      </c>
      <c r="T4137" t="inlineStr">
        <is>
          <t>运动潮玩</t>
        </is>
      </c>
      <c r="U4137" t="inlineStr">
        <is>
          <t>潮玩手办</t>
        </is>
      </c>
      <c r="V4137" s="3">
        <v>46123.98462962963</v>
      </c>
      <c r="W4137" t="inlineStr">
        <is>
          <t>2026-Q2</t>
        </is>
      </c>
    </row>
    <row r="4138" ht="25.5" customHeight="1">
      <c r="A4138" t="inlineStr">
        <is>
          <t>韩版夏季百搭ins日系简约夏季多巴胺彩色条纹竖条波点不掉跟船袜</t>
        </is>
      </c>
      <c r="B4138" t="inlineStr">
        <is>
          <t>recvguTbC1RD6k.jpg</t>
        </is>
      </c>
      <c r="C4138" s="2" t="str">
        <f>=HYPERLINK("https://xhslink.com/m/7bqeRf3VRjL", "https://xhslink.com/m/7bqeRf3VRjL")</f>
        <v>https://xhslink.com/m/7bqeRf3VRjL</v>
      </c>
      <c r="D4138"/>
      <c r="E4138">
        <v>3944</v>
      </c>
      <c r="F4138">
        <v>14.8</v>
      </c>
      <c r="G4138">
        <v>12.8</v>
      </c>
      <c r="H4138">
        <v>100</v>
      </c>
      <c r="I4138" t="inlineStr">
        <is>
          <t>袜子</t>
        </is>
      </c>
      <c r="J4138" t="inlineStr">
        <is>
          <t>0.03</t>
        </is>
      </c>
      <c r="K4138" t="inlineStr">
        <is>
          <t>🔥低粉爆款</t>
        </is>
      </c>
      <c r="L4138" t="inlineStr">
        <is>
          <t>早上好.的店</t>
        </is>
      </c>
      <c r="M4138">
        <v>165</v>
      </c>
      <c r="N4138">
        <v>4.69</v>
      </c>
      <c r="O4138">
        <v>5104</v>
      </c>
      <c r="P4138" t="inlineStr">
        <is>
          <t>687d8e5ab1b9df0001304b7d</t>
        </is>
      </c>
      <c r="Q4138"/>
      <c r="R4138" t="inlineStr">
        <is>
          <t>15周</t>
        </is>
      </c>
      <c r="S4138" t="inlineStr">
        <is>
          <t>23.90</t>
        </is>
      </c>
      <c r="T4138" t="inlineStr">
        <is>
          <t>服饰穿搭</t>
        </is>
      </c>
      <c r="U4138" t="inlineStr">
        <is>
          <t>鞋靴箱包</t>
        </is>
      </c>
      <c r="V4138" s="3">
        <v>46123.98462962963</v>
      </c>
      <c r="W4138" t="inlineStr">
        <is>
          <t>2026-Q2</t>
        </is>
      </c>
    </row>
    <row r="4139" ht="25.5" customHeight="1">
      <c r="A4139" t="inlineStr">
        <is>
          <t>芭蕾风白色袜子女中筒袜夏季薄款纯棉无骨网眼透气长袜夏天堆堆袜</t>
        </is>
      </c>
      <c r="B4139" t="inlineStr">
        <is>
          <t>recvguTbC1IT2T.jpg</t>
        </is>
      </c>
      <c r="C4139" s="2" t="str">
        <f>=HYPERLINK("https://xhslink.com/m/7GX9dB157Lq", "https://xhslink.com/m/7GX9dB157Lq")</f>
        <v>https://xhslink.com/m/7GX9dB157Lq</v>
      </c>
      <c r="D4139"/>
      <c r="E4139">
        <v>6104</v>
      </c>
      <c r="F4139">
        <v>19.9</v>
      </c>
      <c r="G4139">
        <v>12.9</v>
      </c>
      <c r="H4139">
        <v>100</v>
      </c>
      <c r="I4139" t="inlineStr">
        <is>
          <t>袜子</t>
        </is>
      </c>
      <c r="J4139" t="inlineStr">
        <is>
          <t>0.02</t>
        </is>
      </c>
      <c r="K4139" t="inlineStr">
        <is>
          <t>🔥低粉爆款</t>
        </is>
      </c>
      <c r="L4139" t="inlineStr">
        <is>
          <t>哈哈布灵的店</t>
        </is>
      </c>
      <c r="M4139">
        <v>1826</v>
      </c>
      <c r="N4139">
        <v>4.5</v>
      </c>
      <c r="O4139">
        <v>73000</v>
      </c>
      <c r="P4139" t="inlineStr">
        <is>
          <t>67dbaeb5cb1ed00001c5da38</t>
        </is>
      </c>
      <c r="Q4139"/>
      <c r="R4139" t="inlineStr">
        <is>
          <t>15周</t>
        </is>
      </c>
      <c r="S4139" t="inlineStr">
        <is>
          <t>3.34</t>
        </is>
      </c>
      <c r="T4139" t="inlineStr">
        <is>
          <t>服饰穿搭</t>
        </is>
      </c>
      <c r="U4139" t="inlineStr">
        <is>
          <t>鞋靴箱包</t>
        </is>
      </c>
      <c r="V4139" s="3">
        <v>46123.98462962963</v>
      </c>
      <c r="W4139" t="inlineStr">
        <is>
          <t>2026-Q2</t>
        </is>
      </c>
    </row>
    <row r="4140" ht="25.5" customHeight="1">
      <c r="A4140" t="inlineStr">
        <is>
          <t>宽松款轻薄棉·韩系ins夏季纯色透气网眼袜子女百搭慵懒风堆堆袜</t>
        </is>
      </c>
      <c r="B4140" t="inlineStr">
        <is>
          <t>recvguTbC1VRjd.jpg</t>
        </is>
      </c>
      <c r="C4140" s="2" t="str">
        <f>=HYPERLINK("https://xhslink.com/m/9FJiJccfWm2", "https://xhslink.com/m/9FJiJccfWm2")</f>
        <v>https://xhslink.com/m/9FJiJccfWm2</v>
      </c>
      <c r="D4140"/>
      <c r="E4140">
        <v>27000</v>
      </c>
      <c r="F4140">
        <v>18.5</v>
      </c>
      <c r="G4140">
        <v>15.91</v>
      </c>
      <c r="H4140">
        <v>100</v>
      </c>
      <c r="I4140" t="inlineStr">
        <is>
          <t>袜子</t>
        </is>
      </c>
      <c r="J4140" t="inlineStr">
        <is>
          <t>0.00</t>
        </is>
      </c>
      <c r="K4140" t="inlineStr">
        <is>
          <t>🔥低粉爆款</t>
        </is>
      </c>
      <c r="L4140" t="inlineStr">
        <is>
          <t>布灵吃不饱的店</t>
        </is>
      </c>
      <c r="M4140">
        <v>6565</v>
      </c>
      <c r="N4140">
        <v>4.49</v>
      </c>
      <c r="O4140">
        <v>95000</v>
      </c>
      <c r="P4140" t="inlineStr">
        <is>
          <t>67dfed5584926e0001250c2c</t>
        </is>
      </c>
      <c r="Q4140"/>
      <c r="R4140" t="inlineStr">
        <is>
          <t>15周</t>
        </is>
      </c>
      <c r="S4140" t="inlineStr">
        <is>
          <t>4.11</t>
        </is>
      </c>
      <c r="T4140" t="inlineStr">
        <is>
          <t>服饰穿搭</t>
        </is>
      </c>
      <c r="U4140" t="inlineStr">
        <is>
          <t>鞋靴箱包</t>
        </is>
      </c>
      <c r="V4140" s="3">
        <v>46123.98462962963</v>
      </c>
      <c r="W4140" t="inlineStr">
        <is>
          <t>2026-Q2</t>
        </is>
      </c>
    </row>
    <row r="4141" ht="25.5" customHeight="1">
      <c r="A4141" t="inlineStr">
        <is>
          <t>袜子女夏季薄款网眼镂空透气韩系ins纯色百搭中筒袜堆堆长袜</t>
        </is>
      </c>
      <c r="B4141" t="inlineStr">
        <is>
          <t>recvguTbC1vV2W.jpg</t>
        </is>
      </c>
      <c r="C4141" s="2" t="str">
        <f>=HYPERLINK("https://xhslink.com/m/4drcAjTO3Dy", "https://xhslink.com/m/4drcAjTO3Dy")</f>
        <v>https://xhslink.com/m/4drcAjTO3Dy</v>
      </c>
      <c r="D4141"/>
      <c r="E4141">
        <v>1450</v>
      </c>
      <c r="F4141">
        <v>29.99</v>
      </c>
      <c r="G4141">
        <v>9.99</v>
      </c>
      <c r="H4141">
        <v>100</v>
      </c>
      <c r="I4141" t="inlineStr">
        <is>
          <t>袜子</t>
        </is>
      </c>
      <c r="J4141" t="inlineStr">
        <is>
          <t>0.07</t>
        </is>
      </c>
      <c r="K4141"/>
      <c r="L4141" t="inlineStr">
        <is>
          <t>川川以南的店</t>
        </is>
      </c>
      <c r="M4141">
        <v>12000</v>
      </c>
      <c r="N4141">
        <v>4.37</v>
      </c>
      <c r="O4141">
        <v>373000</v>
      </c>
      <c r="P4141" t="inlineStr">
        <is>
          <t>68036ebd9dab110015014b7f</t>
        </is>
      </c>
      <c r="Q4141"/>
      <c r="R4141" t="inlineStr">
        <is>
          <t>15周</t>
        </is>
      </c>
      <c r="S4141" t="inlineStr">
        <is>
          <t>0.12</t>
        </is>
      </c>
      <c r="T4141" t="inlineStr">
        <is>
          <t>服饰穿搭</t>
        </is>
      </c>
      <c r="U4141" t="inlineStr">
        <is>
          <t>鞋靴箱包</t>
        </is>
      </c>
      <c r="V4141" s="3">
        <v>46123.98462962963</v>
      </c>
      <c r="W4141" t="inlineStr">
        <is>
          <t>2026-Q2</t>
        </is>
      </c>
    </row>
    <row r="4142" ht="25.5" customHeight="1">
      <c r="A4142" t="inlineStr">
        <is>
          <t>非洲菊随机色7扎140枝，我先闭眼冲了！！</t>
        </is>
      </c>
      <c r="B4142" t="inlineStr">
        <is>
          <t>recvguTbC1YBC4.jpg</t>
        </is>
      </c>
      <c r="C4142" s="2" t="str">
        <f>=HYPERLINK("https://xhslink.com/m/3cGJHUWO3Ao", "https://xhslink.com/m/3cGJHUWO3Ao")</f>
        <v>https://xhslink.com/m/3cGJHUWO3Ao</v>
      </c>
      <c r="D4142"/>
      <c r="E4142">
        <v>6292</v>
      </c>
      <c r="F4142">
        <v>19.9</v>
      </c>
      <c r="G4142"/>
      <c r="H4142">
        <v>100</v>
      </c>
      <c r="I4142" t="inlineStr">
        <is>
          <t>菊花</t>
        </is>
      </c>
      <c r="J4142" t="inlineStr">
        <is>
          <t>0.02</t>
        </is>
      </c>
      <c r="K4142"/>
      <c r="L4142" t="inlineStr">
        <is>
          <t>云南格棠鲜切花的店</t>
        </is>
      </c>
      <c r="M4142">
        <v>494000</v>
      </c>
      <c r="N4142">
        <v>3.88</v>
      </c>
      <c r="O4142">
        <v>21000</v>
      </c>
      <c r="P4142" t="inlineStr">
        <is>
          <t>699a673c5f567d0001778a54</t>
        </is>
      </c>
      <c r="Q4142"/>
      <c r="R4142" t="inlineStr">
        <is>
          <t>15周</t>
        </is>
      </c>
      <c r="S4142" t="inlineStr">
        <is>
          <t>0.01</t>
        </is>
      </c>
      <c r="T4142" t="inlineStr">
        <is>
          <t>家居生活</t>
        </is>
      </c>
      <c r="U4142" t="inlineStr">
        <is>
          <t>家具家装</t>
        </is>
      </c>
      <c r="V4142" s="3">
        <v>46123.98462962963</v>
      </c>
      <c r="W4142" t="inlineStr">
        <is>
          <t>2026-Q2</t>
        </is>
      </c>
    </row>
    <row r="4143" ht="25.5" customHeight="1">
      <c r="A4143" t="inlineStr">
        <is>
          <t>【顺丰包邮】云南蓝莓花香蓝莓抚仙湖蓝莓脆甜带花香</t>
        </is>
      </c>
      <c r="B4143" t="inlineStr">
        <is>
          <t>recvguTbC1lbKY.jpg</t>
        </is>
      </c>
      <c r="C4143" s="2" t="str">
        <f>=HYPERLINK("https://xhslink.com/m/qe68VKEBc8", "https://xhslink.com/m/qe68VKEBc8")</f>
        <v>https://xhslink.com/m/qe68VKEBc8</v>
      </c>
      <c r="D4143"/>
      <c r="E4143">
        <v>189000</v>
      </c>
      <c r="F4143">
        <v>174.8</v>
      </c>
      <c r="G4143">
        <v>154.8</v>
      </c>
      <c r="H4143">
        <v>100</v>
      </c>
      <c r="I4143" t="inlineStr">
        <is>
          <t>水果</t>
        </is>
      </c>
      <c r="J4143" t="inlineStr">
        <is>
          <t>0.00</t>
        </is>
      </c>
      <c r="K4143" t="inlineStr">
        <is>
          <t>🔥低粉爆款</t>
        </is>
      </c>
      <c r="L4143" t="inlineStr">
        <is>
          <t>sweet果记的店</t>
        </is>
      </c>
      <c r="M4143">
        <v>31000</v>
      </c>
      <c r="N4143">
        <v>4.46</v>
      </c>
      <c r="O4143">
        <v>339000</v>
      </c>
      <c r="P4143" t="inlineStr">
        <is>
          <t>67b6003b9759260001b698ea</t>
        </is>
      </c>
      <c r="Q4143" t="inlineStr">
        <is>
          <t>🚫重复</t>
        </is>
      </c>
      <c r="R4143" t="inlineStr">
        <is>
          <t>15周</t>
        </is>
      </c>
      <c r="S4143" t="inlineStr">
        <is>
          <t>6.10</t>
        </is>
      </c>
      <c r="T4143" t="inlineStr">
        <is>
          <t>美食滋补</t>
        </is>
      </c>
      <c r="U4143" t="inlineStr">
        <is>
          <t>生鲜特产</t>
        </is>
      </c>
      <c r="V4143" s="3">
        <v>46123.98462962963</v>
      </c>
      <c r="W4143" t="inlineStr">
        <is>
          <t>2026-Q2</t>
        </is>
      </c>
    </row>
    <row r="4144" ht="25.5" customHeight="1">
      <c r="A4144" t="inlineStr">
        <is>
          <t>髌骨带跳绳护膝女专业跑步羽毛球运动膝盖男保护半月板关节损伤夏</t>
        </is>
      </c>
      <c r="B4144" t="inlineStr">
        <is>
          <t>recvguTbC1NTc9.jpg</t>
        </is>
      </c>
      <c r="C4144" s="2" t="str">
        <f>=HYPERLINK("https://xhslink.com/m/3zCVK6F5yzb", "https://xhslink.com/m/3zCVK6F5yzb")</f>
        <v>https://xhslink.com/m/3zCVK6F5yzb</v>
      </c>
      <c r="D4144"/>
      <c r="E4144">
        <v>9140</v>
      </c>
      <c r="F4144">
        <v>38.6</v>
      </c>
      <c r="G4144">
        <v>15.6</v>
      </c>
      <c r="H4144">
        <v>100</v>
      </c>
      <c r="I4144" t="inlineStr">
        <is>
          <t>运动</t>
        </is>
      </c>
      <c r="J4144" t="inlineStr">
        <is>
          <t>0.01</t>
        </is>
      </c>
      <c r="K4144" t="inlineStr">
        <is>
          <t>🔥低粉爆款</t>
        </is>
      </c>
      <c r="L4144" t="inlineStr">
        <is>
          <t>玉米唧唧的店</t>
        </is>
      </c>
      <c r="M4144">
        <v>277</v>
      </c>
      <c r="N4144">
        <v>4.58</v>
      </c>
      <c r="O4144">
        <v>36000</v>
      </c>
      <c r="P4144" t="inlineStr">
        <is>
          <t>68d8fa80c75361000174c9cd</t>
        </is>
      </c>
      <c r="Q4144" t="inlineStr">
        <is>
          <t>🚫重复</t>
        </is>
      </c>
      <c r="R4144" t="inlineStr">
        <is>
          <t>15周</t>
        </is>
      </c>
      <c r="S4144" t="inlineStr">
        <is>
          <t>33.00</t>
        </is>
      </c>
      <c r="T4144" t="inlineStr">
        <is>
          <t>运动潮玩</t>
        </is>
      </c>
      <c r="U4144" t="inlineStr">
        <is>
          <t>运动户外装备</t>
        </is>
      </c>
      <c r="V4144" s="3">
        <v>46123.98462962963</v>
      </c>
      <c r="W4144" t="inlineStr">
        <is>
          <t>2026-Q2</t>
        </is>
      </c>
    </row>
    <row r="4145" ht="25.5" customHeight="1">
      <c r="A4145" t="inlineStr">
        <is>
          <t>SPORTLEOX · 护膝夏季超薄关节支撑半月板损伤运动防护空调房男女跑步膝盖护具</t>
        </is>
      </c>
      <c r="B4145" t="inlineStr">
        <is>
          <t>recvguTbC1egUO.jpg</t>
        </is>
      </c>
      <c r="C4145" s="2" t="str">
        <f>=HYPERLINK("https://xhslink.com/m/22qDobiO3CO", "https://xhslink.com/m/22qDobiO3CO")</f>
        <v>https://xhslink.com/m/22qDobiO3CO</v>
      </c>
      <c r="D4145"/>
      <c r="E4145">
        <v>6957</v>
      </c>
      <c r="F4145">
        <v>162</v>
      </c>
      <c r="G4145">
        <v>98</v>
      </c>
      <c r="H4145">
        <v>100</v>
      </c>
      <c r="I4145" t="inlineStr">
        <is>
          <t>运动</t>
        </is>
      </c>
      <c r="J4145" t="inlineStr">
        <is>
          <t>0.01</t>
        </is>
      </c>
      <c r="K4145" t="inlineStr">
        <is>
          <t>🔥低粉爆款</t>
        </is>
      </c>
      <c r="L4145" t="inlineStr">
        <is>
          <t>SPORTLEOX运动户外的店</t>
        </is>
      </c>
      <c r="M4145">
        <v>800</v>
      </c>
      <c r="N4145">
        <v>4.69</v>
      </c>
      <c r="O4145">
        <v>8882</v>
      </c>
      <c r="P4145" t="inlineStr">
        <is>
          <t>68b681269a1641000178d370</t>
        </is>
      </c>
      <c r="Q4145" t="inlineStr">
        <is>
          <t>🚫重复</t>
        </is>
      </c>
      <c r="R4145" t="inlineStr">
        <is>
          <t>15周</t>
        </is>
      </c>
      <c r="S4145" t="inlineStr">
        <is>
          <t>8.70</t>
        </is>
      </c>
      <c r="T4145" t="inlineStr">
        <is>
          <t>数码家电</t>
        </is>
      </c>
      <c r="U4145" t="inlineStr">
        <is>
          <t>大家电</t>
        </is>
      </c>
      <c r="V4145" s="3">
        <v>46123.98462962963</v>
      </c>
      <c r="W4145" t="inlineStr">
        <is>
          <t>2026-Q2</t>
        </is>
      </c>
    </row>
    <row r="4146" ht="25.5" customHeight="1">
      <c r="A4146" t="inlineStr">
        <is>
          <t>SportCom · 日本护膝半月板损伤男女膝盖关节专业护具跑步运动薄款髌骨保护套</t>
        </is>
      </c>
      <c r="B4146" t="inlineStr">
        <is>
          <t>recvguTbC1alUG.jpg</t>
        </is>
      </c>
      <c r="C4146" s="2" t="str">
        <f>=HYPERLINK("https://xhslink.com/m/9Xu1J1w9Jy5", "https://xhslink.com/m/9Xu1J1w9Jy5")</f>
        <v>https://xhslink.com/m/9Xu1J1w9Jy5</v>
      </c>
      <c r="D4146"/>
      <c r="E4146">
        <v>15000</v>
      </c>
      <c r="F4146">
        <v>79.9</v>
      </c>
      <c r="G4146">
        <v>49.9</v>
      </c>
      <c r="H4146">
        <v>100</v>
      </c>
      <c r="I4146" t="inlineStr">
        <is>
          <t>运动</t>
        </is>
      </c>
      <c r="J4146" t="inlineStr">
        <is>
          <t>0.01</t>
        </is>
      </c>
      <c r="K4146" t="inlineStr">
        <is>
          <t>🔥低粉爆款</t>
        </is>
      </c>
      <c r="L4146" t="inlineStr">
        <is>
          <t>Sportcom运动护具的店</t>
        </is>
      </c>
      <c r="M4146">
        <v>500</v>
      </c>
      <c r="N4146">
        <v>4.68</v>
      </c>
      <c r="O4146">
        <v>15000</v>
      </c>
      <c r="P4146" t="inlineStr">
        <is>
          <t>68343d4f0fd38b00014ee42e</t>
        </is>
      </c>
      <c r="Q4146" t="inlineStr">
        <is>
          <t>🚫重复</t>
        </is>
      </c>
      <c r="R4146" t="inlineStr">
        <is>
          <t>15周</t>
        </is>
      </c>
      <c r="S4146" t="inlineStr">
        <is>
          <t>30.00</t>
        </is>
      </c>
      <c r="T4146" t="inlineStr">
        <is>
          <t>运动潮玩</t>
        </is>
      </c>
      <c r="U4146" t="inlineStr">
        <is>
          <t>运动户外装备</t>
        </is>
      </c>
      <c r="V4146" s="3">
        <v>46123.98462962963</v>
      </c>
      <c r="W4146" t="inlineStr">
        <is>
          <t>2026-Q2</t>
        </is>
      </c>
    </row>
    <row r="4147" ht="25.5" customHeight="1">
      <c r="A4147" t="inlineStr">
        <is>
          <t>安踏 · 云感软底跑步鞋女透气运动鞋缓震跳绳鞋922525537/922515513</t>
        </is>
      </c>
      <c r="B4147" t="inlineStr">
        <is>
          <t>recvguTbC1aNq2.jpg</t>
        </is>
      </c>
      <c r="C4147" s="2" t="str">
        <f>=HYPERLINK("https://xhslink.com/m/3Yfzb7lR4uZ", "https://xhslink.com/m/3Yfzb7lR4uZ")</f>
        <v>https://xhslink.com/m/3Yfzb7lR4uZ</v>
      </c>
      <c r="D4147"/>
      <c r="E4147">
        <v>2063</v>
      </c>
      <c r="F4147">
        <v>399</v>
      </c>
      <c r="G4147">
        <v>186</v>
      </c>
      <c r="H4147">
        <v>100</v>
      </c>
      <c r="I4147" t="inlineStr">
        <is>
          <t>运动</t>
        </is>
      </c>
      <c r="J4147" t="inlineStr">
        <is>
          <t>0.05</t>
        </is>
      </c>
      <c r="K4147"/>
      <c r="L4147" t="inlineStr">
        <is>
          <t>安踏旗舰店</t>
        </is>
      </c>
      <c r="M4147">
        <v>242000</v>
      </c>
      <c r="N4147">
        <v>4.59</v>
      </c>
      <c r="O4147">
        <v>161000</v>
      </c>
      <c r="P4147" t="inlineStr">
        <is>
          <t>67e3d3d09dab1100157ccf84</t>
        </is>
      </c>
      <c r="Q4147" t="inlineStr">
        <is>
          <t>🚫重复</t>
        </is>
      </c>
      <c r="R4147" t="inlineStr">
        <is>
          <t>15周</t>
        </is>
      </c>
      <c r="S4147" t="inlineStr">
        <is>
          <t>0.01</t>
        </is>
      </c>
      <c r="T4147" t="inlineStr">
        <is>
          <t>运动潮玩</t>
        </is>
      </c>
      <c r="U4147" t="inlineStr">
        <is>
          <t>运动户外装备</t>
        </is>
      </c>
      <c r="V4147" s="3">
        <v>46123.98462962963</v>
      </c>
      <c r="W4147" t="inlineStr">
        <is>
          <t>2026-Q2</t>
        </is>
      </c>
    </row>
    <row r="4148" ht="25.5" customHeight="1">
      <c r="A4148" t="inlineStr">
        <is>
          <t>【一质手作】复古雾海蓝宝清透手链细链手作百搭</t>
        </is>
      </c>
      <c r="B4148" t="inlineStr">
        <is>
          <t>recvguTbC1iFzq.jpg</t>
        </is>
      </c>
      <c r="C4148" s="2" t="str">
        <f>=HYPERLINK("https://xhslink.com/m/4qVXfy9O8m7", "https://xhslink.com/m/4qVXfy9O8m7")</f>
        <v>https://xhslink.com/m/4qVXfy9O8m7</v>
      </c>
      <c r="D4148"/>
      <c r="E4148">
        <v>4108</v>
      </c>
      <c r="F4148">
        <v>28.8</v>
      </c>
      <c r="G4148">
        <v>20</v>
      </c>
      <c r="H4148">
        <v>100</v>
      </c>
      <c r="I4148" t="inlineStr">
        <is>
          <t>配饰</t>
        </is>
      </c>
      <c r="J4148" t="inlineStr">
        <is>
          <t>0.02</t>
        </is>
      </c>
      <c r="K4148"/>
      <c r="L4148" t="inlineStr">
        <is>
          <t>一质家手作的店</t>
        </is>
      </c>
      <c r="M4148">
        <v>3077</v>
      </c>
      <c r="N4148">
        <v>4.34</v>
      </c>
      <c r="O4148">
        <v>7845</v>
      </c>
      <c r="P4148" t="inlineStr">
        <is>
          <t>6945462fd96c45000143d120</t>
        </is>
      </c>
      <c r="Q4148"/>
      <c r="R4148" t="inlineStr">
        <is>
          <t>15周</t>
        </is>
      </c>
      <c r="S4148" t="inlineStr">
        <is>
          <t>1.34</t>
        </is>
      </c>
      <c r="T4148" t="inlineStr">
        <is>
          <t>服饰穿搭</t>
        </is>
      </c>
      <c r="U4148" t="inlineStr">
        <is>
          <t>配饰</t>
        </is>
      </c>
      <c r="V4148" s="3">
        <v>46123.98462962963</v>
      </c>
      <c r="W4148" t="inlineStr">
        <is>
          <t>2026-Q2</t>
        </is>
      </c>
    </row>
    <row r="4149" ht="25.5" customHeight="1">
      <c r="A4149" t="inlineStr">
        <is>
          <t>醋酸缎面鱼尾半身裙女2025气质简约垂感显瘦包臀聚酯纤维中长裙</t>
        </is>
      </c>
      <c r="B4149" t="inlineStr">
        <is>
          <t>recvguTbC114m0.jpg</t>
        </is>
      </c>
      <c r="C4149" s="2" t="str">
        <f>=HYPERLINK("https://xhslink.com/m/3O3T0EWBOKo", "https://xhslink.com/m/3O3T0EWBOKo")</f>
        <v>https://xhslink.com/m/3O3T0EWBOKo</v>
      </c>
      <c r="D4149"/>
      <c r="E4149">
        <v>1892</v>
      </c>
      <c r="F4149">
        <v>99.8</v>
      </c>
      <c r="G4149">
        <v>69.8</v>
      </c>
      <c r="H4149">
        <v>100</v>
      </c>
      <c r="I4149" t="inlineStr">
        <is>
          <t>半身裙</t>
        </is>
      </c>
      <c r="J4149" t="inlineStr">
        <is>
          <t>0.05</t>
        </is>
      </c>
      <c r="K4149"/>
      <c r="L4149" t="inlineStr">
        <is>
          <t>初衣.stuido的店</t>
        </is>
      </c>
      <c r="M4149">
        <v>643</v>
      </c>
      <c r="N4149">
        <v>4.5</v>
      </c>
      <c r="O4149">
        <v>6008</v>
      </c>
      <c r="P4149" t="inlineStr">
        <is>
          <t>6848dbeee0db0d001540ab9b</t>
        </is>
      </c>
      <c r="Q4149"/>
      <c r="R4149" t="inlineStr">
        <is>
          <t>15周</t>
        </is>
      </c>
      <c r="S4149" t="inlineStr">
        <is>
          <t>2.94</t>
        </is>
      </c>
      <c r="T4149" t="inlineStr">
        <is>
          <t>服饰穿搭</t>
        </is>
      </c>
      <c r="U4149" t="inlineStr">
        <is>
          <t>女装</t>
        </is>
      </c>
      <c r="V4149" s="3">
        <v>46123.98462962963</v>
      </c>
      <c r="W4149" t="inlineStr">
        <is>
          <t>2026-Q2</t>
        </is>
      </c>
    </row>
    <row r="4150" ht="25.5" customHeight="1">
      <c r="A4150" t="inlineStr">
        <is>
          <t>白色鱼骨半身裙女夏季新款简约时尚显瘦小众设计感A字百搭中裙子</t>
        </is>
      </c>
      <c r="B4150" t="inlineStr">
        <is>
          <t>recvguTbC1pr0w.jpg</t>
        </is>
      </c>
      <c r="C4150" s="2" t="str">
        <f>=HYPERLINK("https://xhslink.com/m/5CXWfmBYVkg", "https://xhslink.com/m/5CXWfmBYVkg")</f>
        <v>https://xhslink.com/m/5CXWfmBYVkg</v>
      </c>
      <c r="D4150"/>
      <c r="E4150">
        <v>7634</v>
      </c>
      <c r="F4150">
        <v>82</v>
      </c>
      <c r="G4150">
        <v>69</v>
      </c>
      <c r="H4150">
        <v>100</v>
      </c>
      <c r="I4150" t="inlineStr">
        <is>
          <t>半身裙</t>
        </is>
      </c>
      <c r="J4150" t="inlineStr">
        <is>
          <t>0.01</t>
        </is>
      </c>
      <c r="K4150" t="inlineStr">
        <is>
          <t>🔥低粉爆款</t>
        </is>
      </c>
      <c r="L4150" t="inlineStr">
        <is>
          <t>失语对白的店</t>
        </is>
      </c>
      <c r="M4150">
        <v>2451</v>
      </c>
      <c r="N4150">
        <v>4.51</v>
      </c>
      <c r="O4150">
        <v>43000</v>
      </c>
      <c r="P4150" t="inlineStr">
        <is>
          <t>6857c5cf0f14430001365651</t>
        </is>
      </c>
      <c r="Q4150" t="inlineStr">
        <is>
          <t>🚫重复</t>
        </is>
      </c>
      <c r="R4150" t="inlineStr">
        <is>
          <t>15周</t>
        </is>
      </c>
      <c r="S4150" t="inlineStr">
        <is>
          <t>3.11</t>
        </is>
      </c>
      <c r="T4150" t="inlineStr">
        <is>
          <t>服饰穿搭</t>
        </is>
      </c>
      <c r="U4150" t="inlineStr">
        <is>
          <t>女装</t>
        </is>
      </c>
      <c r="V4150" s="3">
        <v>46123.98462962963</v>
      </c>
      <c r="W4150" t="inlineStr">
        <is>
          <t>2026-Q2</t>
        </is>
      </c>
    </row>
    <row r="4151" ht="25.5" customHeight="1">
      <c r="A4151" t="inlineStr">
        <is>
          <t>小鹿家 温柔ins风碎花半身裙女夏2024新款高腰中长款a字裙小个子</t>
        </is>
      </c>
      <c r="B4151" t="inlineStr">
        <is>
          <t>recvguTbC1tB77.jpg</t>
        </is>
      </c>
      <c r="C4151" s="2" t="str">
        <f>=HYPERLINK("https://xhslink.com/m/3cseM7xoHwr", "https://xhslink.com/m/3cseM7xoHwr")</f>
        <v>https://xhslink.com/m/3cseM7xoHwr</v>
      </c>
      <c r="D4151"/>
      <c r="E4151">
        <v>2336</v>
      </c>
      <c r="F4151">
        <v>59</v>
      </c>
      <c r="G4151">
        <v>49</v>
      </c>
      <c r="H4151">
        <v>100</v>
      </c>
      <c r="I4151" t="inlineStr">
        <is>
          <t>半身裙</t>
        </is>
      </c>
      <c r="J4151" t="inlineStr">
        <is>
          <t>0.04</t>
        </is>
      </c>
      <c r="K4151"/>
      <c r="L4151" t="inlineStr">
        <is>
          <t>小鹿穿搭分享的店</t>
        </is>
      </c>
      <c r="M4151">
        <v>7082</v>
      </c>
      <c r="N4151">
        <v>4.62</v>
      </c>
      <c r="O4151">
        <v>33000</v>
      </c>
      <c r="P4151" t="inlineStr">
        <is>
          <t>69b760074cdf2e00018613fa</t>
        </is>
      </c>
      <c r="Q4151" t="inlineStr">
        <is>
          <t>🚫重复</t>
        </is>
      </c>
      <c r="R4151" t="inlineStr">
        <is>
          <t>15周</t>
        </is>
      </c>
      <c r="S4151" t="inlineStr">
        <is>
          <t>0.33</t>
        </is>
      </c>
      <c r="T4151" t="inlineStr">
        <is>
          <t>服饰穿搭</t>
        </is>
      </c>
      <c r="U4151" t="inlineStr">
        <is>
          <t>女装</t>
        </is>
      </c>
      <c r="V4151" s="3">
        <v>46123.98462962963</v>
      </c>
      <c r="W4151" t="inlineStr">
        <is>
          <t>2026-Q2</t>
        </is>
      </c>
    </row>
    <row r="4152" ht="25.5" customHeight="1">
      <c r="A4152" t="inlineStr">
        <is>
          <t>复古学院风格纹A字百褶半身裙裤女2026春秋新款显瘦百搭超短裙</t>
        </is>
      </c>
      <c r="B4152" t="inlineStr">
        <is>
          <t>recvguTbC1l4C5.jpg</t>
        </is>
      </c>
      <c r="C4152" s="2" t="str">
        <f>=HYPERLINK("https://xhslink.com/m/45fi2wGPpNO", "https://xhslink.com/m/45fi2wGPpNO")</f>
        <v>https://xhslink.com/m/45fi2wGPpNO</v>
      </c>
      <c r="D4152"/>
      <c r="E4152">
        <v>4651</v>
      </c>
      <c r="F4152">
        <v>89</v>
      </c>
      <c r="G4152"/>
      <c r="H4152">
        <v>100</v>
      </c>
      <c r="I4152" t="inlineStr">
        <is>
          <t>半身裙</t>
        </is>
      </c>
      <c r="J4152" t="inlineStr">
        <is>
          <t>0.02</t>
        </is>
      </c>
      <c r="K4152"/>
      <c r="L4152" t="inlineStr">
        <is>
          <t>小张今天穿什么的店</t>
        </is>
      </c>
      <c r="M4152">
        <v>28000</v>
      </c>
      <c r="N4152">
        <v>4.59</v>
      </c>
      <c r="O4152">
        <v>120000</v>
      </c>
      <c r="P4152" t="inlineStr">
        <is>
          <t>69a81cd4befcbd00016fd9e7</t>
        </is>
      </c>
      <c r="Q4152"/>
      <c r="R4152" t="inlineStr">
        <is>
          <t>15周</t>
        </is>
      </c>
      <c r="S4152" t="inlineStr">
        <is>
          <t>0.17</t>
        </is>
      </c>
      <c r="T4152" t="inlineStr">
        <is>
          <t>服饰穿搭</t>
        </is>
      </c>
      <c r="U4152" t="inlineStr">
        <is>
          <t>女装</t>
        </is>
      </c>
      <c r="V4152" s="3">
        <v>46123.98462962963</v>
      </c>
      <c r="W4152" t="inlineStr">
        <is>
          <t>2026-Q2</t>
        </is>
      </c>
    </row>
    <row r="4153" ht="25.5" customHeight="1">
      <c r="A4153" t="inlineStr">
        <is>
          <t>日系学院风纯色半身裙女夏季高腰宽松显瘦a字伞裙休闲中长裙9184</t>
        </is>
      </c>
      <c r="B4153" t="inlineStr">
        <is>
          <t>recvguTbC1BFsv.jpg</t>
        </is>
      </c>
      <c r="C4153" s="2" t="str">
        <f>=HYPERLINK("https://xhslink.com/m/25835v8AqGh", "https://xhslink.com/m/25835v8AqGh")</f>
        <v>https://xhslink.com/m/25835v8AqGh</v>
      </c>
      <c r="D4153"/>
      <c r="E4153">
        <v>4856</v>
      </c>
      <c r="F4153">
        <v>82</v>
      </c>
      <c r="G4153">
        <v>67</v>
      </c>
      <c r="H4153">
        <v>100</v>
      </c>
      <c r="I4153" t="inlineStr">
        <is>
          <t>半身裙</t>
        </is>
      </c>
      <c r="J4153" t="inlineStr">
        <is>
          <t>0.02</t>
        </is>
      </c>
      <c r="K4153"/>
      <c r="L4153" t="inlineStr">
        <is>
          <t>浓积云的店</t>
        </is>
      </c>
      <c r="M4153">
        <v>4488</v>
      </c>
      <c r="N4153">
        <v>4.59</v>
      </c>
      <c r="O4153">
        <v>73000</v>
      </c>
      <c r="P4153" t="inlineStr">
        <is>
          <t>683e8ff8f9ad0500013a4beb</t>
        </is>
      </c>
      <c r="Q4153" t="inlineStr">
        <is>
          <t>🚫重复</t>
        </is>
      </c>
      <c r="R4153" t="inlineStr">
        <is>
          <t>15周</t>
        </is>
      </c>
      <c r="S4153" t="inlineStr">
        <is>
          <t>1.08</t>
        </is>
      </c>
      <c r="T4153" t="inlineStr">
        <is>
          <t>服饰穿搭</t>
        </is>
      </c>
      <c r="U4153" t="inlineStr">
        <is>
          <t>女装</t>
        </is>
      </c>
      <c r="V4153" s="3">
        <v>46123.98462962963</v>
      </c>
      <c r="W4153" t="inlineStr">
        <is>
          <t>2026-Q2</t>
        </is>
      </c>
    </row>
    <row r="4154" ht="25.5" customHeight="1">
      <c r="A4154" t="inlineStr">
        <is>
          <t>美式高腰工装半身裙女夏季新款胖mm后开叉抽绳遮肚显瘦大码中长裙</t>
        </is>
      </c>
      <c r="B4154" t="inlineStr">
        <is>
          <t>recvguTbC15BvL.jpg</t>
        </is>
      </c>
      <c r="C4154" s="2" t="str">
        <f>=HYPERLINK("https://xhslink.com/m/AnYRBuVtzmH", "https://xhslink.com/m/AnYRBuVtzmH")</f>
        <v>https://xhslink.com/m/AnYRBuVtzmH</v>
      </c>
      <c r="D4154"/>
      <c r="E4154">
        <v>5260</v>
      </c>
      <c r="F4154">
        <v>139</v>
      </c>
      <c r="G4154">
        <v>79</v>
      </c>
      <c r="H4154">
        <v>100</v>
      </c>
      <c r="I4154" t="inlineStr">
        <is>
          <t>半身裙</t>
        </is>
      </c>
      <c r="J4154" t="inlineStr">
        <is>
          <t>0.02</t>
        </is>
      </c>
      <c r="K4154"/>
      <c r="L4154" t="inlineStr">
        <is>
          <t>尚衣阁严选的店</t>
        </is>
      </c>
      <c r="M4154">
        <v>2216</v>
      </c>
      <c r="N4154">
        <v>4.55</v>
      </c>
      <c r="O4154">
        <v>28000</v>
      </c>
      <c r="P4154" t="inlineStr">
        <is>
          <t>68020c24bf68a200010d6bc0</t>
        </is>
      </c>
      <c r="Q4154"/>
      <c r="R4154" t="inlineStr">
        <is>
          <t>15周</t>
        </is>
      </c>
      <c r="S4154" t="inlineStr">
        <is>
          <t>2.37</t>
        </is>
      </c>
      <c r="T4154" t="inlineStr">
        <is>
          <t>服饰穿搭</t>
        </is>
      </c>
      <c r="U4154" t="inlineStr">
        <is>
          <t>女装</t>
        </is>
      </c>
      <c r="V4154" s="3">
        <v>46123.98462962963</v>
      </c>
      <c r="W4154" t="inlineStr">
        <is>
          <t>2026-Q2</t>
        </is>
      </c>
    </row>
    <row r="4155" ht="25.5" customHeight="1">
      <c r="A4155" t="inlineStr">
        <is>
          <t>美呆了！巨好看的印花压褶少女百搭通勤半身裙女 直筒侧开叉裙子</t>
        </is>
      </c>
      <c r="B4155" t="inlineStr">
        <is>
          <t>recvguTbC1UJMm.jpg</t>
        </is>
      </c>
      <c r="C4155" s="2" t="str">
        <f>=HYPERLINK("https://xhslink.com/m/5rQptrnvx7P", "https://xhslink.com/m/5rQptrnvx7P")</f>
        <v>https://xhslink.com/m/5rQptrnvx7P</v>
      </c>
      <c r="D4155"/>
      <c r="E4155">
        <v>2108</v>
      </c>
      <c r="F4155">
        <v>289</v>
      </c>
      <c r="G4155">
        <v>189</v>
      </c>
      <c r="H4155">
        <v>100</v>
      </c>
      <c r="I4155" t="inlineStr">
        <is>
          <t>半身裙</t>
        </is>
      </c>
      <c r="J4155" t="inlineStr">
        <is>
          <t>0.05</t>
        </is>
      </c>
      <c r="K4155"/>
      <c r="L4155" t="inlineStr">
        <is>
          <t>刺猬与糖的店</t>
        </is>
      </c>
      <c r="M4155">
        <v>4760</v>
      </c>
      <c r="N4155">
        <v>4.58</v>
      </c>
      <c r="O4155">
        <v>3145</v>
      </c>
      <c r="P4155" t="inlineStr">
        <is>
          <t>67d96485085499000147720b</t>
        </is>
      </c>
      <c r="Q4155"/>
      <c r="R4155" t="inlineStr">
        <is>
          <t>15周</t>
        </is>
      </c>
      <c r="S4155" t="inlineStr">
        <is>
          <t>0.44</t>
        </is>
      </c>
      <c r="T4155" t="inlineStr">
        <is>
          <t>服饰穿搭</t>
        </is>
      </c>
      <c r="U4155" t="inlineStr">
        <is>
          <t>女装</t>
        </is>
      </c>
      <c r="V4155" s="3">
        <v>46123.98462962963</v>
      </c>
      <c r="W4155" t="inlineStr">
        <is>
          <t>2026-Q2</t>
        </is>
      </c>
    </row>
    <row r="4156" ht="25.5" customHeight="1">
      <c r="A4156" t="inlineStr">
        <is>
          <t>高级垂感半身裙百搭粉色鱼尾裙子2025秋季韩版休闲西装女套装</t>
        </is>
      </c>
      <c r="B4156" t="inlineStr">
        <is>
          <t>recvguTbC1TAhv.jpg</t>
        </is>
      </c>
      <c r="C4156" s="2" t="str">
        <f>=HYPERLINK("https://xhslink.com/m/2ymPSm2TSym", "https://xhslink.com/m/2ymPSm2TSym")</f>
        <v>https://xhslink.com/m/2ymPSm2TSym</v>
      </c>
      <c r="D4156"/>
      <c r="E4156">
        <v>2557</v>
      </c>
      <c r="F4156">
        <v>79</v>
      </c>
      <c r="G4156"/>
      <c r="H4156">
        <v>100</v>
      </c>
      <c r="I4156" t="inlineStr">
        <is>
          <t>半身裙</t>
        </is>
      </c>
      <c r="J4156" t="inlineStr">
        <is>
          <t>0.04</t>
        </is>
      </c>
      <c r="K4156"/>
      <c r="L4156" t="inlineStr">
        <is>
          <t>旺旺喜欢冰冰的店</t>
        </is>
      </c>
      <c r="M4156">
        <v>1835</v>
      </c>
      <c r="N4156">
        <v>4.69</v>
      </c>
      <c r="O4156">
        <v>5699</v>
      </c>
      <c r="P4156" t="inlineStr">
        <is>
          <t>69c4a842ff00dc000168ff28</t>
        </is>
      </c>
      <c r="Q4156"/>
      <c r="R4156" t="inlineStr">
        <is>
          <t>15周</t>
        </is>
      </c>
      <c r="S4156" t="inlineStr">
        <is>
          <t>1.39</t>
        </is>
      </c>
      <c r="T4156" t="inlineStr">
        <is>
          <t>服饰穿搭</t>
        </is>
      </c>
      <c r="U4156" t="inlineStr">
        <is>
          <t>女装</t>
        </is>
      </c>
      <c r="V4156" s="3">
        <v>46123.98462962963</v>
      </c>
      <c r="W4156" t="inlineStr">
        <is>
          <t>2026-Q2</t>
        </is>
      </c>
    </row>
    <row r="4157" ht="25.5" customHeight="1">
      <c r="A4157" t="inlineStr">
        <is>
          <t>冲量！前2000单99！超火的“断货王”摸摸头马甲半身裙</t>
        </is>
      </c>
      <c r="B4157" t="inlineStr">
        <is>
          <t>recvguTbC1apoE.jpg</t>
        </is>
      </c>
      <c r="C4157" s="2" t="str">
        <f>=HYPERLINK("https://xhslink.com/m/9cgXEbSRnjJ", "https://xhslink.com/m/9cgXEbSRnjJ")</f>
        <v>https://xhslink.com/m/9cgXEbSRnjJ</v>
      </c>
      <c r="D4157"/>
      <c r="E4157">
        <v>2029</v>
      </c>
      <c r="F4157">
        <v>169</v>
      </c>
      <c r="G4157">
        <v>129.8</v>
      </c>
      <c r="H4157">
        <v>100</v>
      </c>
      <c r="I4157" t="inlineStr">
        <is>
          <t>半身裙</t>
        </is>
      </c>
      <c r="J4157" t="inlineStr">
        <is>
          <t>0.05</t>
        </is>
      </c>
      <c r="K4157"/>
      <c r="L4157" t="inlineStr">
        <is>
          <t>ajin是我呀 （韩国篇）的店</t>
        </is>
      </c>
      <c r="M4157">
        <v>118000</v>
      </c>
      <c r="N4157">
        <v>4.68</v>
      </c>
      <c r="O4157">
        <v>57000</v>
      </c>
      <c r="P4157" t="inlineStr">
        <is>
          <t>69b9866be6196b00015c82a5</t>
        </is>
      </c>
      <c r="Q4157"/>
      <c r="R4157" t="inlineStr">
        <is>
          <t>15周</t>
        </is>
      </c>
      <c r="S4157" t="inlineStr">
        <is>
          <t>0.02</t>
        </is>
      </c>
      <c r="T4157" t="inlineStr">
        <is>
          <t>服饰穿搭</t>
        </is>
      </c>
      <c r="U4157" t="inlineStr">
        <is>
          <t>女装</t>
        </is>
      </c>
      <c r="V4157" s="3">
        <v>46123.98462962963</v>
      </c>
      <c r="W4157" t="inlineStr">
        <is>
          <t>2026-Q2</t>
        </is>
      </c>
    </row>
    <row r="4158" ht="25.5" customHeight="1">
      <c r="A4158" t="inlineStr">
        <is>
          <t>黄色半身裙女春秋款2025高腰显瘦a字长裙小个子垂感伞裙大裙摆</t>
        </is>
      </c>
      <c r="B4158" t="inlineStr">
        <is>
          <t>recvguTbC1CYbD.jpg</t>
        </is>
      </c>
      <c r="C4158" s="2" t="str">
        <f>=HYPERLINK("https://xhslink.com/m/8x7mbMuRfi4", "https://xhslink.com/m/8x7mbMuRfi4")</f>
        <v>https://xhslink.com/m/8x7mbMuRfi4</v>
      </c>
      <c r="D4158"/>
      <c r="E4158">
        <v>617</v>
      </c>
      <c r="F4158">
        <v>49</v>
      </c>
      <c r="G4158">
        <v>46</v>
      </c>
      <c r="H4158">
        <v>100</v>
      </c>
      <c r="I4158" t="inlineStr">
        <is>
          <t>半身裙</t>
        </is>
      </c>
      <c r="J4158" t="inlineStr">
        <is>
          <t>0.16</t>
        </is>
      </c>
      <c r="K4158" t="inlineStr">
        <is>
          <t>🔥低粉爆款</t>
        </is>
      </c>
      <c r="L4158" t="inlineStr">
        <is>
          <t>依点点穿搭的店</t>
        </is>
      </c>
      <c r="M4158">
        <v>205</v>
      </c>
      <c r="N4158">
        <v>4.63</v>
      </c>
      <c r="O4158">
        <v>1047</v>
      </c>
      <c r="P4158" t="inlineStr">
        <is>
          <t>697ea3baf89e9d0015092358</t>
        </is>
      </c>
      <c r="Q4158" t="inlineStr">
        <is>
          <t>🚫重复</t>
        </is>
      </c>
      <c r="R4158" t="inlineStr">
        <is>
          <t>15周</t>
        </is>
      </c>
      <c r="S4158" t="inlineStr">
        <is>
          <t>3.01</t>
        </is>
      </c>
      <c r="T4158" t="inlineStr">
        <is>
          <t>服饰穿搭</t>
        </is>
      </c>
      <c r="U4158" t="inlineStr">
        <is>
          <t>女装</t>
        </is>
      </c>
      <c r="V4158" s="3">
        <v>46123.98462962963</v>
      </c>
      <c r="W4158" t="inlineStr">
        <is>
          <t>2026-Q2</t>
        </is>
      </c>
    </row>
    <row r="4159" ht="25.5" customHeight="1">
      <c r="A4159" t="inlineStr">
        <is>
          <t>毛边流苏口袋刺绣设计感A字半身牛仔裙～9993</t>
        </is>
      </c>
      <c r="B4159" t="inlineStr">
        <is>
          <t>recvguTbC1z7Q0.jpg</t>
        </is>
      </c>
      <c r="C4159" s="2" t="str">
        <f>=HYPERLINK("https://xhslink.com/m/4kB4QI4jj4S", "https://xhslink.com/m/4kB4QI4jj4S")</f>
        <v>https://xhslink.com/m/4kB4QI4jj4S</v>
      </c>
      <c r="D4159"/>
      <c r="E4159">
        <v>1103</v>
      </c>
      <c r="F4159">
        <v>89</v>
      </c>
      <c r="G4159"/>
      <c r="H4159">
        <v>100</v>
      </c>
      <c r="I4159" t="inlineStr">
        <is>
          <t>半身裙</t>
        </is>
      </c>
      <c r="J4159" t="inlineStr">
        <is>
          <t>0.09</t>
        </is>
      </c>
      <c r="K4159"/>
      <c r="L4159" t="inlineStr">
        <is>
          <t>ootd 十三行 每日穿搭👖的店</t>
        </is>
      </c>
      <c r="M4159">
        <v>297000</v>
      </c>
      <c r="N4159">
        <v>4.47</v>
      </c>
      <c r="O4159">
        <v>684000</v>
      </c>
      <c r="P4159" t="inlineStr">
        <is>
          <t>69c12c40d95b5a0001eac42e</t>
        </is>
      </c>
      <c r="Q4159" t="inlineStr">
        <is>
          <t>🚫重复</t>
        </is>
      </c>
      <c r="R4159" t="inlineStr">
        <is>
          <t>15周</t>
        </is>
      </c>
      <c r="S4159" t="inlineStr">
        <is>
          <t>0.00</t>
        </is>
      </c>
      <c r="T4159" t="inlineStr">
        <is>
          <t>服饰穿搭</t>
        </is>
      </c>
      <c r="U4159" t="inlineStr">
        <is>
          <t>女装</t>
        </is>
      </c>
      <c r="V4159" s="3">
        <v>46123.98462962963</v>
      </c>
      <c r="W4159" t="inlineStr">
        <is>
          <t>2026-Q2</t>
        </is>
      </c>
    </row>
    <row r="4160" ht="25.5" customHeight="1">
      <c r="A4160" t="inlineStr">
        <is>
          <t>【春上新】米色高腰A字拼接褶皱半身裙女百搭显瘦飘逸过膝中长裙</t>
        </is>
      </c>
      <c r="B4160" t="inlineStr">
        <is>
          <t>recvguTbC1fHhv.jpg</t>
        </is>
      </c>
      <c r="C4160" s="2" t="str">
        <f>=HYPERLINK("https://xhslink.com/m/1isB2h3XPPk", "https://xhslink.com/m/1isB2h3XPPk")</f>
        <v>https://xhslink.com/m/1isB2h3XPPk</v>
      </c>
      <c r="D4160"/>
      <c r="E4160">
        <v>853</v>
      </c>
      <c r="F4160">
        <v>99</v>
      </c>
      <c r="G4160"/>
      <c r="H4160">
        <v>100</v>
      </c>
      <c r="I4160" t="inlineStr">
        <is>
          <t>半身裙</t>
        </is>
      </c>
      <c r="J4160" t="inlineStr">
        <is>
          <t>0.12</t>
        </is>
      </c>
      <c r="K4160"/>
      <c r="L4160" t="inlineStr">
        <is>
          <t>这是小林呀的店</t>
        </is>
      </c>
      <c r="M4160">
        <v>399000</v>
      </c>
      <c r="N4160">
        <v>4.56</v>
      </c>
      <c r="O4160">
        <v>353000</v>
      </c>
      <c r="P4160" t="inlineStr">
        <is>
          <t>69a628f1a39d6500019128b9</t>
        </is>
      </c>
      <c r="Q4160"/>
      <c r="R4160" t="inlineStr">
        <is>
          <t>15周</t>
        </is>
      </c>
      <c r="S4160" t="inlineStr">
        <is>
          <t>0.00</t>
        </is>
      </c>
      <c r="T4160" t="inlineStr">
        <is>
          <t>服饰穿搭</t>
        </is>
      </c>
      <c r="U4160" t="inlineStr">
        <is>
          <t>女装</t>
        </is>
      </c>
      <c r="V4160" s="3">
        <v>46123.98462962963</v>
      </c>
      <c r="W4160" t="inlineStr">
        <is>
          <t>2026-Q2</t>
        </is>
      </c>
    </row>
    <row r="4161" ht="25.5" customHeight="1">
      <c r="A4161" t="inlineStr">
        <is>
          <t>坡跟5cm人字拖鞋仙女鞋子外穿2026夏季气质凉拖法式凉鞋/已升级</t>
        </is>
      </c>
      <c r="B4161" t="inlineStr">
        <is>
          <t>recvguTbC17GvT.jpg</t>
        </is>
      </c>
      <c r="C4161" s="2" t="str">
        <f>=HYPERLINK("https://xhslink.com/m/9ZxwSYmSUXg", "https://xhslink.com/m/9ZxwSYmSUXg")</f>
        <v>https://xhslink.com/m/9ZxwSYmSUXg</v>
      </c>
      <c r="D4161"/>
      <c r="E4161">
        <v>6077</v>
      </c>
      <c r="F4161">
        <v>89</v>
      </c>
      <c r="G4161">
        <v>59.9</v>
      </c>
      <c r="H4161">
        <v>100</v>
      </c>
      <c r="I4161" t="inlineStr">
        <is>
          <t>鞋靴</t>
        </is>
      </c>
      <c r="J4161" t="inlineStr">
        <is>
          <t>0.02</t>
        </is>
      </c>
      <c r="K4161"/>
      <c r="L4161" t="inlineStr">
        <is>
          <t>诺雨一依的店</t>
        </is>
      </c>
      <c r="M4161">
        <v>4206</v>
      </c>
      <c r="N4161">
        <v>4.5</v>
      </c>
      <c r="O4161">
        <v>21000</v>
      </c>
      <c r="P4161" t="inlineStr">
        <is>
          <t>6803b1f22f87160015c41a0b</t>
        </is>
      </c>
      <c r="Q4161" t="inlineStr">
        <is>
          <t>🚫重复</t>
        </is>
      </c>
      <c r="R4161" t="inlineStr">
        <is>
          <t>15周</t>
        </is>
      </c>
      <c r="S4161" t="inlineStr">
        <is>
          <t>1.44</t>
        </is>
      </c>
      <c r="T4161" t="inlineStr">
        <is>
          <t>服饰穿搭</t>
        </is>
      </c>
      <c r="U4161" t="inlineStr">
        <is>
          <t>鞋靴箱包</t>
        </is>
      </c>
      <c r="V4161" s="3">
        <v>46123.98462962963</v>
      </c>
      <c r="W4161" t="inlineStr">
        <is>
          <t>2026-Q2</t>
        </is>
      </c>
    </row>
    <row r="4162" ht="25.5" customHeight="1">
      <c r="A4162" t="inlineStr">
        <is>
          <t>「增高6/8cm」皮鞋男结婚隐形内增高正装皮鞋男士结婚新郎皮鞋</t>
        </is>
      </c>
      <c r="B4162" t="inlineStr">
        <is>
          <t>recvguTbC1ZqLg.jpg</t>
        </is>
      </c>
      <c r="C4162" s="2" t="str">
        <f>=HYPERLINK("https://xhslink.com/m/8pr1YUSF7fs", "https://xhslink.com/m/8pr1YUSF7fs")</f>
        <v>https://xhslink.com/m/8pr1YUSF7fs</v>
      </c>
      <c r="D4162"/>
      <c r="E4162">
        <v>11000</v>
      </c>
      <c r="F4162">
        <v>208</v>
      </c>
      <c r="G4162">
        <v>168</v>
      </c>
      <c r="H4162">
        <v>100</v>
      </c>
      <c r="I4162" t="inlineStr">
        <is>
          <t>鞋靴</t>
        </is>
      </c>
      <c r="J4162" t="inlineStr">
        <is>
          <t>0.01</t>
        </is>
      </c>
      <c r="K4162" t="inlineStr">
        <is>
          <t>🔥低粉爆款</t>
        </is>
      </c>
      <c r="L4162" t="inlineStr">
        <is>
          <t>麦琪（备婚中）的店</t>
        </is>
      </c>
      <c r="M4162">
        <v>808</v>
      </c>
      <c r="N4162">
        <v>4.61</v>
      </c>
      <c r="O4162">
        <v>13000</v>
      </c>
      <c r="P4162" t="inlineStr">
        <is>
          <t>67bd6ee9eef182000108e7ab</t>
        </is>
      </c>
      <c r="Q4162"/>
      <c r="R4162" t="inlineStr">
        <is>
          <t>15周</t>
        </is>
      </c>
      <c r="S4162" t="inlineStr">
        <is>
          <t>13.61</t>
        </is>
      </c>
      <c r="T4162" t="inlineStr">
        <is>
          <t>服饰穿搭</t>
        </is>
      </c>
      <c r="U4162" t="inlineStr">
        <is>
          <t>男装</t>
        </is>
      </c>
      <c r="V4162" s="3">
        <v>46123.98462962963</v>
      </c>
      <c r="W4162" t="inlineStr">
        <is>
          <t>2026-Q2</t>
        </is>
      </c>
    </row>
    <row r="4163" ht="25.5" customHeight="1">
      <c r="A4163" t="inlineStr">
        <is>
          <t>City walk复古小众板鞋女款2026新款春夏厚底小白鞋休闲鞋潮3205</t>
        </is>
      </c>
      <c r="B4163" t="inlineStr">
        <is>
          <t>recvguTbC1ir7w.jpg</t>
        </is>
      </c>
      <c r="C4163" s="2" t="str">
        <f>=HYPERLINK("https://xhslink.com/m/A1WoKHUtY0G", "https://xhslink.com/m/A1WoKHUtY0G")</f>
        <v>https://xhslink.com/m/A1WoKHUtY0G</v>
      </c>
      <c r="D4163"/>
      <c r="E4163">
        <v>8920</v>
      </c>
      <c r="F4163">
        <v>88.6</v>
      </c>
      <c r="G4163">
        <v>68.6</v>
      </c>
      <c r="H4163">
        <v>100</v>
      </c>
      <c r="I4163" t="inlineStr">
        <is>
          <t>鞋靴</t>
        </is>
      </c>
      <c r="J4163" t="inlineStr">
        <is>
          <t>0.01</t>
        </is>
      </c>
      <c r="K4163"/>
      <c r="L4163" t="inlineStr">
        <is>
          <t>City walk的店</t>
        </is>
      </c>
      <c r="M4163">
        <v>3045</v>
      </c>
      <c r="N4163">
        <v>4.42</v>
      </c>
      <c r="O4163">
        <v>29000</v>
      </c>
      <c r="P4163" t="inlineStr">
        <is>
          <t>69bbb17099f8fe00015876a9</t>
        </is>
      </c>
      <c r="Q4163" t="inlineStr">
        <is>
          <t>🚫重复</t>
        </is>
      </c>
      <c r="R4163" t="inlineStr">
        <is>
          <t>15周</t>
        </is>
      </c>
      <c r="S4163" t="inlineStr">
        <is>
          <t>2.93</t>
        </is>
      </c>
      <c r="T4163" t="inlineStr">
        <is>
          <t>服饰穿搭</t>
        </is>
      </c>
      <c r="U4163" t="inlineStr">
        <is>
          <t>鞋靴箱包</t>
        </is>
      </c>
      <c r="V4163" s="3">
        <v>46123.98462962963</v>
      </c>
      <c r="W4163" t="inlineStr">
        <is>
          <t>2026-Q2</t>
        </is>
      </c>
    </row>
    <row r="4164" ht="25.5" customHeight="1">
      <c r="A4164" t="inlineStr">
        <is>
          <t>甜喵家 2026新款百搭休闲增高学生板鞋厚底小白鞋百搭鞋子</t>
        </is>
      </c>
      <c r="B4164" t="inlineStr">
        <is>
          <t>recvguTbC1svNm.jpg</t>
        </is>
      </c>
      <c r="C4164" s="2" t="str">
        <f>=HYPERLINK("https://xhslink.com/m/7sVPxWJIy5r", "https://xhslink.com/m/7sVPxWJIy5r")</f>
        <v>https://xhslink.com/m/7sVPxWJIy5r</v>
      </c>
      <c r="D4164"/>
      <c r="E4164">
        <v>24000</v>
      </c>
      <c r="F4164">
        <v>89.8</v>
      </c>
      <c r="G4164">
        <v>54.8</v>
      </c>
      <c r="H4164">
        <v>100</v>
      </c>
      <c r="I4164" t="inlineStr">
        <is>
          <t>鞋靴</t>
        </is>
      </c>
      <c r="J4164" t="inlineStr">
        <is>
          <t>0.00</t>
        </is>
      </c>
      <c r="K4164" t="inlineStr">
        <is>
          <t>🔥低粉爆款</t>
        </is>
      </c>
      <c r="L4164" t="inlineStr">
        <is>
          <t>喵呜甜鞋日记的店</t>
        </is>
      </c>
      <c r="M4164">
        <v>2777</v>
      </c>
      <c r="N4164">
        <v>4.28</v>
      </c>
      <c r="O4164">
        <v>51000</v>
      </c>
      <c r="P4164" t="inlineStr">
        <is>
          <t>67ed615f1e01cb0001f33912</t>
        </is>
      </c>
      <c r="Q4164" t="inlineStr">
        <is>
          <t>🚫重复</t>
        </is>
      </c>
      <c r="R4164" t="inlineStr">
        <is>
          <t>15周</t>
        </is>
      </c>
      <c r="S4164" t="inlineStr">
        <is>
          <t>8.64</t>
        </is>
      </c>
      <c r="T4164" t="inlineStr">
        <is>
          <t>服饰穿搭</t>
        </is>
      </c>
      <c r="U4164" t="inlineStr">
        <is>
          <t>鞋靴箱包</t>
        </is>
      </c>
      <c r="V4164" s="3">
        <v>46123.98462962963</v>
      </c>
      <c r="W4164" t="inlineStr">
        <is>
          <t>2026-Q2</t>
        </is>
      </c>
    </row>
    <row r="4165" ht="25.5" customHeight="1">
      <c r="A4165" t="inlineStr">
        <is>
          <t>其他 · 卓沅平替款重奏梅花鞋厚底增高情侣帆布小脏鞋小个子百搭平价款</t>
        </is>
      </c>
      <c r="B4165" t="inlineStr">
        <is>
          <t>recvguTbC1SV2A.jpg</t>
        </is>
      </c>
      <c r="C4165" s="2" t="str">
        <f>=HYPERLINK("https://xhslink.com/m/3h3WOpe82ob", "https://xhslink.com/m/3h3WOpe82ob")</f>
        <v>https://xhslink.com/m/3h3WOpe82ob</v>
      </c>
      <c r="D4165"/>
      <c r="E4165">
        <v>5339</v>
      </c>
      <c r="F4165">
        <v>379</v>
      </c>
      <c r="G4165">
        <v>176</v>
      </c>
      <c r="H4165">
        <v>100</v>
      </c>
      <c r="I4165" t="inlineStr">
        <is>
          <t>鞋靴</t>
        </is>
      </c>
      <c r="J4165" t="inlineStr">
        <is>
          <t>0.02</t>
        </is>
      </c>
      <c r="K4165" t="inlineStr">
        <is>
          <t>🔥低粉爆款</t>
        </is>
      </c>
      <c r="L4165" t="inlineStr">
        <is>
          <t>悠米Yim的店</t>
        </is>
      </c>
      <c r="M4165">
        <v>423</v>
      </c>
      <c r="N4165">
        <v>4.73</v>
      </c>
      <c r="O4165">
        <v>5872</v>
      </c>
      <c r="P4165" t="inlineStr">
        <is>
          <t>6957621018ca7d00150b99b3</t>
        </is>
      </c>
      <c r="Q4165"/>
      <c r="R4165" t="inlineStr">
        <is>
          <t>15周</t>
        </is>
      </c>
      <c r="S4165" t="inlineStr">
        <is>
          <t>12.62</t>
        </is>
      </c>
      <c r="T4165" t="inlineStr">
        <is>
          <t>服饰穿搭</t>
        </is>
      </c>
      <c r="U4165" t="inlineStr">
        <is>
          <t>鞋靴箱包</t>
        </is>
      </c>
      <c r="V4165" s="3">
        <v>46123.98462962963</v>
      </c>
      <c r="W4165" t="inlineStr">
        <is>
          <t>2026-Q2</t>
        </is>
      </c>
    </row>
    <row r="4166" ht="25.5" customHeight="1">
      <c r="A4166" t="inlineStr">
        <is>
          <t>【内增高8.5cm】小个子四季厚底女登山运动户外休闲老爹鞋暴走鞋</t>
        </is>
      </c>
      <c r="B4166" t="inlineStr">
        <is>
          <t>recvguTbC11LlZ.jpg</t>
        </is>
      </c>
      <c r="C4166" s="2" t="str">
        <f>=HYPERLINK("https://xhslink.com/m/924HyOJXysN", "https://xhslink.com/m/924HyOJXysN")</f>
        <v>https://xhslink.com/m/924HyOJXysN</v>
      </c>
      <c r="D4166"/>
      <c r="E4166">
        <v>2290</v>
      </c>
      <c r="F4166">
        <v>318</v>
      </c>
      <c r="G4166">
        <v>223</v>
      </c>
      <c r="H4166">
        <v>100</v>
      </c>
      <c r="I4166" t="inlineStr">
        <is>
          <t>鞋靴</t>
        </is>
      </c>
      <c r="J4166" t="inlineStr">
        <is>
          <t>0.04</t>
        </is>
      </c>
      <c r="K4166"/>
      <c r="L4166" t="inlineStr">
        <is>
          <t>Duu小个子定制女鞋的店</t>
        </is>
      </c>
      <c r="M4166">
        <v>2047</v>
      </c>
      <c r="N4166">
        <v>4.51</v>
      </c>
      <c r="O4166">
        <v>6100</v>
      </c>
      <c r="P4166" t="inlineStr">
        <is>
          <t>693579d263db6a001532afb7</t>
        </is>
      </c>
      <c r="Q4166" t="inlineStr">
        <is>
          <t>🚫重复</t>
        </is>
      </c>
      <c r="R4166" t="inlineStr">
        <is>
          <t>15周</t>
        </is>
      </c>
      <c r="S4166" t="inlineStr">
        <is>
          <t>1.12</t>
        </is>
      </c>
      <c r="T4166" t="inlineStr">
        <is>
          <t>服饰穿搭</t>
        </is>
      </c>
      <c r="U4166" t="inlineStr">
        <is>
          <t>鞋靴箱包</t>
        </is>
      </c>
      <c r="V4166" s="3">
        <v>46123.98462962963</v>
      </c>
      <c r="W4166" t="inlineStr">
        <is>
          <t>2026-Q2</t>
        </is>
      </c>
    </row>
    <row r="4167" ht="25.5" customHeight="1">
      <c r="A4167" t="inlineStr">
        <is>
          <t>圆圆呀aaa__｛现货48小时内发｝平底款绸缎水钻气质通勤单鞋</t>
        </is>
      </c>
      <c r="B4167" t="inlineStr">
        <is>
          <t>recvguTbC1ViiF.jpg</t>
        </is>
      </c>
      <c r="C4167" s="2" t="str">
        <f>=HYPERLINK("https://xhslink.com/m/5msPv0ySvjc", "https://xhslink.com/m/5msPv0ySvjc")</f>
        <v>https://xhslink.com/m/5msPv0ySvjc</v>
      </c>
      <c r="D4167"/>
      <c r="E4167">
        <v>9244</v>
      </c>
      <c r="F4167">
        <v>174</v>
      </c>
      <c r="G4167">
        <v>137</v>
      </c>
      <c r="H4167">
        <v>100</v>
      </c>
      <c r="I4167" t="inlineStr">
        <is>
          <t>鞋靴</t>
        </is>
      </c>
      <c r="J4167" t="inlineStr">
        <is>
          <t>0.01</t>
        </is>
      </c>
      <c r="K4167"/>
      <c r="L4167" t="inlineStr">
        <is>
          <t>圆圆呀aaa__的店</t>
        </is>
      </c>
      <c r="M4167">
        <v>12000</v>
      </c>
      <c r="N4167">
        <v>4.59</v>
      </c>
      <c r="O4167">
        <v>57000</v>
      </c>
      <c r="P4167" t="inlineStr">
        <is>
          <t>691330719fd2100001532610</t>
        </is>
      </c>
      <c r="Q4167" t="inlineStr">
        <is>
          <t>🚫重复</t>
        </is>
      </c>
      <c r="R4167" t="inlineStr">
        <is>
          <t>15周</t>
        </is>
      </c>
      <c r="S4167" t="inlineStr">
        <is>
          <t>0.77</t>
        </is>
      </c>
      <c r="T4167" t="inlineStr">
        <is>
          <t>服饰穿搭</t>
        </is>
      </c>
      <c r="U4167" t="inlineStr">
        <is>
          <t>鞋靴箱包</t>
        </is>
      </c>
      <c r="V4167" s="3">
        <v>46123.98462962963</v>
      </c>
      <c r="W4167" t="inlineStr">
        <is>
          <t>2026-Q2</t>
        </is>
      </c>
    </row>
    <row r="4168" ht="25.5" customHeight="1">
      <c r="A4168" t="inlineStr">
        <is>
          <t>3.5cm复古风运动鞋夏秋季透气网面德训鞋百搭休闲健身鞋爬坡女鞋</t>
        </is>
      </c>
      <c r="B4168" t="inlineStr">
        <is>
          <t>recvguTbC1iwal.jpg</t>
        </is>
      </c>
      <c r="C4168" s="2" t="str">
        <f>=HYPERLINK("https://xhslink.com/m/7f2EhfH2Xtd", "https://xhslink.com/m/7f2EhfH2Xtd")</f>
        <v>https://xhslink.com/m/7f2EhfH2Xtd</v>
      </c>
      <c r="D4168"/>
      <c r="E4168">
        <v>5572</v>
      </c>
      <c r="F4168">
        <v>91</v>
      </c>
      <c r="G4168">
        <v>76.88</v>
      </c>
      <c r="H4168">
        <v>100</v>
      </c>
      <c r="I4168" t="inlineStr">
        <is>
          <t>鞋靴</t>
        </is>
      </c>
      <c r="J4168" t="inlineStr">
        <is>
          <t>0.02</t>
        </is>
      </c>
      <c r="K4168"/>
      <c r="L4168" t="inlineStr">
        <is>
          <t>晴天女鞋的店</t>
        </is>
      </c>
      <c r="M4168">
        <v>1866</v>
      </c>
      <c r="N4168">
        <v>4.64</v>
      </c>
      <c r="O4168">
        <v>12000</v>
      </c>
      <c r="P4168" t="inlineStr">
        <is>
          <t>6892cfbebc668f0015b963f5</t>
        </is>
      </c>
      <c r="Q4168" t="inlineStr">
        <is>
          <t>🚫重复</t>
        </is>
      </c>
      <c r="R4168" t="inlineStr">
        <is>
          <t>15周</t>
        </is>
      </c>
      <c r="S4168" t="inlineStr">
        <is>
          <t>2.99</t>
        </is>
      </c>
      <c r="T4168" t="inlineStr">
        <is>
          <t>服饰穿搭</t>
        </is>
      </c>
      <c r="U4168" t="inlineStr">
        <is>
          <t>鞋靴箱包</t>
        </is>
      </c>
      <c r="V4168" s="3">
        <v>46123.98462962963</v>
      </c>
      <c r="W4168" t="inlineStr">
        <is>
          <t>2026-Q2</t>
        </is>
      </c>
    </row>
    <row r="4169" ht="25.5" customHeight="1">
      <c r="A4169" t="inlineStr">
        <is>
          <t>增高7cm可爱洞洞鞋eva夏季外穿防滑软底沙滩凉拖女带足弓</t>
        </is>
      </c>
      <c r="B4169" t="inlineStr">
        <is>
          <t>recvguTbC1ntcL.jpg</t>
        </is>
      </c>
      <c r="C4169" s="2" t="str">
        <f>=HYPERLINK("https://xhslink.com/m/A8Gw3GtsoaT", "https://xhslink.com/m/A8Gw3GtsoaT")</f>
        <v>https://xhslink.com/m/A8Gw3GtsoaT</v>
      </c>
      <c r="D4169"/>
      <c r="E4169">
        <v>2413</v>
      </c>
      <c r="F4169">
        <v>62.99</v>
      </c>
      <c r="G4169">
        <v>42.99</v>
      </c>
      <c r="H4169">
        <v>100</v>
      </c>
      <c r="I4169" t="inlineStr">
        <is>
          <t>鞋靴</t>
        </is>
      </c>
      <c r="J4169" t="inlineStr">
        <is>
          <t>0.04</t>
        </is>
      </c>
      <c r="K4169" t="inlineStr">
        <is>
          <t>🔥低粉爆款</t>
        </is>
      </c>
      <c r="L4169" t="inlineStr">
        <is>
          <t>小羊有好柿的店</t>
        </is>
      </c>
      <c r="M4169">
        <v>221</v>
      </c>
      <c r="N4169">
        <v>4.62</v>
      </c>
      <c r="O4169">
        <v>2507</v>
      </c>
      <c r="P4169" t="inlineStr">
        <is>
          <t>69ae992b1166fe0001e23b42</t>
        </is>
      </c>
      <c r="Q4169" t="inlineStr">
        <is>
          <t>🚫重复</t>
        </is>
      </c>
      <c r="R4169" t="inlineStr">
        <is>
          <t>15周</t>
        </is>
      </c>
      <c r="S4169" t="inlineStr">
        <is>
          <t>10.92</t>
        </is>
      </c>
      <c r="T4169" t="inlineStr">
        <is>
          <t>服饰穿搭</t>
        </is>
      </c>
      <c r="U4169" t="inlineStr">
        <is>
          <t>鞋靴箱包</t>
        </is>
      </c>
      <c r="V4169" s="3">
        <v>46123.98462962963</v>
      </c>
      <c r="W4169" t="inlineStr">
        <is>
          <t>2026-Q2</t>
        </is>
      </c>
    </row>
    <row r="4170" ht="25.5" customHeight="1">
      <c r="A4170" t="inlineStr">
        <is>
          <t>鞋先生Leebart~SMT夏季凉拖PVC透明果冻猫跟凉鞋</t>
        </is>
      </c>
      <c r="B4170" t="inlineStr">
        <is>
          <t>recvguTbC1lnDO.jpg</t>
        </is>
      </c>
      <c r="C4170" s="2" t="str">
        <f>=HYPERLINK("https://xhslink.com/m/3UC5PjChMy7", "https://xhslink.com/m/3UC5PjChMy7")</f>
        <v>https://xhslink.com/m/3UC5PjChMy7</v>
      </c>
      <c r="D4170"/>
      <c r="E4170">
        <v>1642</v>
      </c>
      <c r="F4170">
        <v>186</v>
      </c>
      <c r="G4170">
        <v>148.1</v>
      </c>
      <c r="H4170">
        <v>100</v>
      </c>
      <c r="I4170" t="inlineStr">
        <is>
          <t>鞋靴</t>
        </is>
      </c>
      <c r="J4170" t="inlineStr">
        <is>
          <t>0.06</t>
        </is>
      </c>
      <c r="K4170"/>
      <c r="L4170" t="inlineStr">
        <is>
          <t>鞋先生Leebart的店</t>
        </is>
      </c>
      <c r="M4170">
        <v>90000</v>
      </c>
      <c r="N4170">
        <v>4.69</v>
      </c>
      <c r="O4170">
        <v>58000</v>
      </c>
      <c r="P4170" t="inlineStr">
        <is>
          <t>69c256dfa20c210001fcfe3b</t>
        </is>
      </c>
      <c r="Q4170"/>
      <c r="R4170" t="inlineStr">
        <is>
          <t>15周</t>
        </is>
      </c>
      <c r="S4170" t="inlineStr">
        <is>
          <t>0.02</t>
        </is>
      </c>
      <c r="T4170" t="inlineStr">
        <is>
          <t>服饰穿搭</t>
        </is>
      </c>
      <c r="U4170" t="inlineStr">
        <is>
          <t>鞋靴箱包</t>
        </is>
      </c>
      <c r="V4170" s="3">
        <v>46123.98462962963</v>
      </c>
      <c r="W4170" t="inlineStr">
        <is>
          <t>2026-Q2</t>
        </is>
      </c>
    </row>
    <row r="4171" ht="25.5" customHeight="1">
      <c r="A4171" t="inlineStr">
        <is>
          <t>臣棠手工·【跟高4cm】通勤德训极简厚底系带拼接运动休闲单鞋女</t>
        </is>
      </c>
      <c r="B4171" t="inlineStr">
        <is>
          <t>recvguTbC1oxUh.jpg</t>
        </is>
      </c>
      <c r="C4171" s="2" t="str">
        <f>=HYPERLINK("https://xhslink.com/m/3kMrlYN9G2a", "https://xhslink.com/m/3kMrlYN9G2a")</f>
        <v>https://xhslink.com/m/3kMrlYN9G2a</v>
      </c>
      <c r="D4171"/>
      <c r="E4171">
        <v>7838</v>
      </c>
      <c r="F4171">
        <v>158</v>
      </c>
      <c r="G4171">
        <v>78</v>
      </c>
      <c r="H4171">
        <v>100</v>
      </c>
      <c r="I4171" t="inlineStr">
        <is>
          <t>鞋靴</t>
        </is>
      </c>
      <c r="J4171" t="inlineStr">
        <is>
          <t>0.01</t>
        </is>
      </c>
      <c r="K4171"/>
      <c r="L4171" t="inlineStr">
        <is>
          <t>臣棠手工鞋的店</t>
        </is>
      </c>
      <c r="M4171">
        <v>5729</v>
      </c>
      <c r="N4171">
        <v>4.34</v>
      </c>
      <c r="O4171">
        <v>57000</v>
      </c>
      <c r="P4171" t="inlineStr">
        <is>
          <t>68f0f8c7ed3b2f000165fe80</t>
        </is>
      </c>
      <c r="Q4171" t="inlineStr">
        <is>
          <t>🚫重复</t>
        </is>
      </c>
      <c r="R4171" t="inlineStr">
        <is>
          <t>15周</t>
        </is>
      </c>
      <c r="S4171" t="inlineStr">
        <is>
          <t>1.37</t>
        </is>
      </c>
      <c r="T4171" t="inlineStr">
        <is>
          <t>服饰穿搭</t>
        </is>
      </c>
      <c r="U4171" t="inlineStr">
        <is>
          <t>鞋靴箱包</t>
        </is>
      </c>
      <c r="V4171" s="3">
        <v>46123.98462962963</v>
      </c>
      <c r="W4171" t="inlineStr">
        <is>
          <t>2026-Q2</t>
        </is>
      </c>
    </row>
    <row r="4172" ht="25.5" customHeight="1">
      <c r="A4172" t="inlineStr">
        <is>
          <t>实物拍摄增高5cm春夏新款轻便厚底德训鞋百搭韩版运动休闲鞋子女</t>
        </is>
      </c>
      <c r="B4172" t="inlineStr">
        <is>
          <t>recvguTbC1fR0L.jpg</t>
        </is>
      </c>
      <c r="C4172" s="2" t="str">
        <f>=HYPERLINK("https://xhslink.com/m/3AD0kzdGpVr", "https://xhslink.com/m/3AD0kzdGpVr")</f>
        <v>https://xhslink.com/m/3AD0kzdGpVr</v>
      </c>
      <c r="D4172"/>
      <c r="E4172">
        <v>5762</v>
      </c>
      <c r="F4172">
        <v>168</v>
      </c>
      <c r="G4172">
        <v>89.9</v>
      </c>
      <c r="H4172">
        <v>100</v>
      </c>
      <c r="I4172" t="inlineStr">
        <is>
          <t>鞋靴</t>
        </is>
      </c>
      <c r="J4172" t="inlineStr">
        <is>
          <t>0.02</t>
        </is>
      </c>
      <c r="K4172"/>
      <c r="L4172" t="inlineStr">
        <is>
          <t>可颂croissant女鞋的店</t>
        </is>
      </c>
      <c r="M4172">
        <v>4144</v>
      </c>
      <c r="N4172">
        <v>4.59</v>
      </c>
      <c r="O4172">
        <v>26000</v>
      </c>
      <c r="P4172" t="inlineStr">
        <is>
          <t>68dadfb8c7536100017fa9cc</t>
        </is>
      </c>
      <c r="Q4172" t="inlineStr">
        <is>
          <t>🚫重复</t>
        </is>
      </c>
      <c r="R4172" t="inlineStr">
        <is>
          <t>15周</t>
        </is>
      </c>
      <c r="S4172" t="inlineStr">
        <is>
          <t>1.39</t>
        </is>
      </c>
      <c r="T4172" t="inlineStr">
        <is>
          <t>服饰穿搭</t>
        </is>
      </c>
      <c r="U4172" t="inlineStr">
        <is>
          <t>鞋靴箱包</t>
        </is>
      </c>
      <c r="V4172" s="3">
        <v>46123.98462962963</v>
      </c>
      <c r="W4172" t="inlineStr">
        <is>
          <t>2026-Q2</t>
        </is>
      </c>
    </row>
    <row r="4173" ht="25.5" customHeight="1">
      <c r="A4173" t="inlineStr">
        <is>
          <t>韩版秋超火贝壳头厚底运动休闲潮流百搭鞋丑萌大头面包鞋板鞋女鞋</t>
        </is>
      </c>
      <c r="B4173" t="inlineStr">
        <is>
          <t>recvguTbC1VD9f.jpg</t>
        </is>
      </c>
      <c r="C4173" s="2" t="str">
        <f>=HYPERLINK("https://xhslink.com/m/LsDVUrLbTR", "https://xhslink.com/m/LsDVUrLbTR")</f>
        <v>https://xhslink.com/m/LsDVUrLbTR</v>
      </c>
      <c r="D4173"/>
      <c r="E4173">
        <v>13000</v>
      </c>
      <c r="F4173">
        <v>55.9</v>
      </c>
      <c r="G4173"/>
      <c r="H4173">
        <v>100</v>
      </c>
      <c r="I4173" t="inlineStr">
        <is>
          <t>鞋靴</t>
        </is>
      </c>
      <c r="J4173" t="inlineStr">
        <is>
          <t>0.01</t>
        </is>
      </c>
      <c r="K4173"/>
      <c r="L4173" t="inlineStr">
        <is>
          <t>松荟鱼酱鞋屋的店</t>
        </is>
      </c>
      <c r="M4173">
        <v>4968</v>
      </c>
      <c r="N4173">
        <v>4.3</v>
      </c>
      <c r="O4173">
        <v>72000</v>
      </c>
      <c r="P4173" t="inlineStr">
        <is>
          <t>697509982a96a00001f6b2dc</t>
        </is>
      </c>
      <c r="Q4173" t="inlineStr">
        <is>
          <t>🚫重复</t>
        </is>
      </c>
      <c r="R4173" t="inlineStr">
        <is>
          <t>15周</t>
        </is>
      </c>
      <c r="S4173" t="inlineStr">
        <is>
          <t>2.62</t>
        </is>
      </c>
      <c r="T4173" t="inlineStr">
        <is>
          <t>服饰穿搭</t>
        </is>
      </c>
      <c r="U4173" t="inlineStr">
        <is>
          <t>鞋靴箱包</t>
        </is>
      </c>
      <c r="V4173" s="3">
        <v>46123.98462962963</v>
      </c>
      <c r="W4173" t="inlineStr">
        <is>
          <t>2026-Q2</t>
        </is>
      </c>
    </row>
    <row r="4174" ht="25.5" customHeight="1">
      <c r="A4174" t="inlineStr">
        <is>
          <t>周子然同款2026夏季新款方头细跟黑色亮片一字带高跟凉拖鞋女外穿</t>
        </is>
      </c>
      <c r="B4174" t="inlineStr">
        <is>
          <t>recvguTbC1rc9l.jpg</t>
        </is>
      </c>
      <c r="C4174" s="2" t="str">
        <f>=HYPERLINK("https://xhslink.com/m/2Sgv3AnFbqT", "https://xhslink.com/m/2Sgv3AnFbqT")</f>
        <v>https://xhslink.com/m/2Sgv3AnFbqT</v>
      </c>
      <c r="D4174"/>
      <c r="E4174">
        <v>1211</v>
      </c>
      <c r="F4174">
        <v>163.9</v>
      </c>
      <c r="G4174">
        <v>148.9</v>
      </c>
      <c r="H4174">
        <v>100</v>
      </c>
      <c r="I4174" t="inlineStr">
        <is>
          <t>鞋靴</t>
        </is>
      </c>
      <c r="J4174" t="inlineStr">
        <is>
          <t>0.08</t>
        </is>
      </c>
      <c r="K4174"/>
      <c r="L4174" t="inlineStr">
        <is>
          <t>心悦能量满满的店</t>
        </is>
      </c>
      <c r="M4174">
        <v>1036</v>
      </c>
      <c r="N4174">
        <v>4.6</v>
      </c>
      <c r="O4174">
        <v>2366</v>
      </c>
      <c r="P4174" t="inlineStr">
        <is>
          <t>698f189dc9f5da0001c4e38c</t>
        </is>
      </c>
      <c r="Q4174"/>
      <c r="R4174" t="inlineStr">
        <is>
          <t>15周</t>
        </is>
      </c>
      <c r="S4174" t="inlineStr">
        <is>
          <t>1.17</t>
        </is>
      </c>
      <c r="T4174" t="inlineStr">
        <is>
          <t>服饰穿搭</t>
        </is>
      </c>
      <c r="U4174" t="inlineStr">
        <is>
          <t>鞋靴箱包</t>
        </is>
      </c>
      <c r="V4174" s="3">
        <v>46123.98462962963</v>
      </c>
      <c r="W4174" t="inlineStr">
        <is>
          <t>2026-Q2</t>
        </is>
      </c>
    </row>
    <row r="4175" ht="25.5" customHeight="1">
      <c r="A4175" t="inlineStr">
        <is>
          <t>HEQICHOU · 何其丑 棕色复古风圆头平底交叉带玛丽珍鞋女新款休闲浅口单鞋</t>
        </is>
      </c>
      <c r="B4175" t="inlineStr">
        <is>
          <t>recvguTbC1B7EL.jpg</t>
        </is>
      </c>
      <c r="C4175" s="2" t="str">
        <f>=HYPERLINK("https://xhslink.com/m/6kgpgxIexLL", "https://xhslink.com/m/6kgpgxIexLL")</f>
        <v>https://xhslink.com/m/6kgpgxIexLL</v>
      </c>
      <c r="D4175"/>
      <c r="E4175">
        <v>3350</v>
      </c>
      <c r="F4175">
        <v>218</v>
      </c>
      <c r="G4175">
        <v>158</v>
      </c>
      <c r="H4175">
        <v>100</v>
      </c>
      <c r="I4175" t="inlineStr">
        <is>
          <t>鞋靴</t>
        </is>
      </c>
      <c r="J4175" t="inlineStr">
        <is>
          <t>0.03</t>
        </is>
      </c>
      <c r="K4175"/>
      <c r="L4175" t="inlineStr">
        <is>
          <t>奇怪的鞋店 HEQICHOU女鞋的店</t>
        </is>
      </c>
      <c r="M4175">
        <v>384000</v>
      </c>
      <c r="N4175">
        <v>4.73</v>
      </c>
      <c r="O4175">
        <v>316000</v>
      </c>
      <c r="P4175" t="inlineStr">
        <is>
          <t>69b7b9239138010015e4ba05</t>
        </is>
      </c>
      <c r="Q4175" t="inlineStr">
        <is>
          <t>🚫重复</t>
        </is>
      </c>
      <c r="R4175" t="inlineStr">
        <is>
          <t>15周</t>
        </is>
      </c>
      <c r="S4175" t="inlineStr">
        <is>
          <t>0.01</t>
        </is>
      </c>
      <c r="T4175" t="inlineStr">
        <is>
          <t>服饰穿搭</t>
        </is>
      </c>
      <c r="U4175" t="inlineStr">
        <is>
          <t>鞋靴箱包</t>
        </is>
      </c>
      <c r="V4175" s="3">
        <v>46123.98462962963</v>
      </c>
      <c r="W4175" t="inlineStr">
        <is>
          <t>2026-Q2</t>
        </is>
      </c>
    </row>
    <row r="4176" ht="25.5" customHeight="1">
      <c r="A4176" t="inlineStr">
        <is>
          <t>CBD女精英~经典蝴蝶结浅口粗跟芭蕾单鞋女平底鞋内增高软皮通勤鞋</t>
        </is>
      </c>
      <c r="B4176" t="inlineStr">
        <is>
          <t>recvguTbC1MnRs.jpg</t>
        </is>
      </c>
      <c r="C4176" s="2" t="str">
        <f>=HYPERLINK("https://xhslink.com/m/3rbEDnoAHQp", "https://xhslink.com/m/3rbEDnoAHQp")</f>
        <v>https://xhslink.com/m/3rbEDnoAHQp</v>
      </c>
      <c r="D4176"/>
      <c r="E4176">
        <v>3298</v>
      </c>
      <c r="F4176">
        <v>138</v>
      </c>
      <c r="G4176"/>
      <c r="H4176">
        <v>100</v>
      </c>
      <c r="I4176" t="inlineStr">
        <is>
          <t>鞋靴</t>
        </is>
      </c>
      <c r="J4176" t="inlineStr">
        <is>
          <t>0.03</t>
        </is>
      </c>
      <c r="K4176"/>
      <c r="L4176" t="inlineStr">
        <is>
          <t>妍妍小个子研究所的店</t>
        </is>
      </c>
      <c r="M4176">
        <v>3326</v>
      </c>
      <c r="N4176">
        <v>4.54</v>
      </c>
      <c r="O4176">
        <v>26000</v>
      </c>
      <c r="P4176" t="inlineStr">
        <is>
          <t>68dbbfcdd3eed20001f80fa0</t>
        </is>
      </c>
      <c r="Q4176" t="inlineStr">
        <is>
          <t>🚫重复</t>
        </is>
      </c>
      <c r="R4176" t="inlineStr">
        <is>
          <t>15周</t>
        </is>
      </c>
      <c r="S4176" t="inlineStr">
        <is>
          <t>0.99</t>
        </is>
      </c>
      <c r="T4176" t="inlineStr">
        <is>
          <t>服饰穿搭</t>
        </is>
      </c>
      <c r="U4176" t="inlineStr">
        <is>
          <t>鞋靴箱包</t>
        </is>
      </c>
      <c r="V4176" s="3">
        <v>46123.98462962963</v>
      </c>
      <c r="W4176" t="inlineStr">
        <is>
          <t>2026-Q2</t>
        </is>
      </c>
    </row>
    <row r="4177" ht="25.5" customHeight="1">
      <c r="A4177" t="inlineStr">
        <is>
          <t>时尚魔术贴小白鞋女新款百搭软底德训鞋通勤舒适休闲板鞋</t>
        </is>
      </c>
      <c r="B4177" t="inlineStr">
        <is>
          <t>recvguTbC1tdYL.jpg</t>
        </is>
      </c>
      <c r="C4177" s="2" t="str">
        <f>=HYPERLINK("https://xhslink.com/m/bYIUS63AoX", "https://xhslink.com/m/bYIUS63AoX")</f>
        <v>https://xhslink.com/m/bYIUS63AoX</v>
      </c>
      <c r="D4177"/>
      <c r="E4177">
        <v>1978</v>
      </c>
      <c r="F4177">
        <v>98</v>
      </c>
      <c r="G4177">
        <v>75</v>
      </c>
      <c r="H4177">
        <v>100</v>
      </c>
      <c r="I4177" t="inlineStr">
        <is>
          <t>鞋靴</t>
        </is>
      </c>
      <c r="J4177" t="inlineStr">
        <is>
          <t>0.05</t>
        </is>
      </c>
      <c r="K4177"/>
      <c r="L4177" t="inlineStr">
        <is>
          <t>王依依YiYi的店</t>
        </is>
      </c>
      <c r="M4177">
        <v>691</v>
      </c>
      <c r="N4177">
        <v>4.71</v>
      </c>
      <c r="O4177">
        <v>7293</v>
      </c>
      <c r="P4177" t="inlineStr">
        <is>
          <t>69903fe7c9f5da0001d62076</t>
        </is>
      </c>
      <c r="Q4177" t="inlineStr">
        <is>
          <t>🚫重复</t>
        </is>
      </c>
      <c r="R4177" t="inlineStr">
        <is>
          <t>15周</t>
        </is>
      </c>
      <c r="S4177" t="inlineStr">
        <is>
          <t>2.86</t>
        </is>
      </c>
      <c r="T4177" t="inlineStr">
        <is>
          <t>服饰穿搭</t>
        </is>
      </c>
      <c r="U4177" t="inlineStr">
        <is>
          <t>鞋靴箱包</t>
        </is>
      </c>
      <c r="V4177" s="3">
        <v>46123.98462962963</v>
      </c>
      <c r="W4177" t="inlineStr">
        <is>
          <t>2026-Q2</t>
        </is>
      </c>
    </row>
    <row r="4178" ht="25.5" customHeight="1">
      <c r="A4178" t="inlineStr">
        <is>
          <t>渠道～经典粗跟分趾合集 户外休闲</t>
        </is>
      </c>
      <c r="B4178" t="inlineStr">
        <is>
          <t>recvguTbC1upHp.jpg</t>
        </is>
      </c>
      <c r="C4178" s="2" t="str">
        <f>=HYPERLINK("https://xhslink.com/m/5XYm6UJ1UPH", "https://xhslink.com/m/5XYm6UJ1UPH")</f>
        <v>https://xhslink.com/m/5XYm6UJ1UPH</v>
      </c>
      <c r="D4178"/>
      <c r="E4178">
        <v>5731</v>
      </c>
      <c r="F4178">
        <v>658</v>
      </c>
      <c r="G4178">
        <v>328</v>
      </c>
      <c r="H4178">
        <v>100</v>
      </c>
      <c r="I4178" t="inlineStr">
        <is>
          <t>鞋靴</t>
        </is>
      </c>
      <c r="J4178" t="inlineStr">
        <is>
          <t>0.02</t>
        </is>
      </c>
      <c r="K4178"/>
      <c r="L4178" t="inlineStr">
        <is>
          <t>拉拉拉拉拉拉拉的店店的店</t>
        </is>
      </c>
      <c r="M4178">
        <v>741000</v>
      </c>
      <c r="N4178">
        <v>4.34</v>
      </c>
      <c r="O4178">
        <v>446000</v>
      </c>
      <c r="P4178" t="inlineStr">
        <is>
          <t>68577f203a11a8000117d051</t>
        </is>
      </c>
      <c r="Q4178" t="inlineStr">
        <is>
          <t>🚫重复</t>
        </is>
      </c>
      <c r="R4178" t="inlineStr">
        <is>
          <t>15周</t>
        </is>
      </c>
      <c r="S4178" t="inlineStr">
        <is>
          <t>0.01</t>
        </is>
      </c>
      <c r="T4178" t="inlineStr">
        <is>
          <t>服饰穿搭</t>
        </is>
      </c>
      <c r="U4178" t="inlineStr">
        <is>
          <t>鞋靴箱包</t>
        </is>
      </c>
      <c r="V4178" s="3">
        <v>46123.98462962963</v>
      </c>
      <c r="W4178" t="inlineStr">
        <is>
          <t>2026-Q2</t>
        </is>
      </c>
    </row>
    <row r="4179" ht="25.5" customHeight="1">
      <c r="A4179" t="inlineStr">
        <is>
          <t>舒淼家 · 原创朋克大头铆钉绑带厚底大腿围大码支持定制吉赛尔同款帆布长靴</t>
        </is>
      </c>
      <c r="B4179" t="inlineStr">
        <is>
          <t>recvguTbC1wuyP.jpg</t>
        </is>
      </c>
      <c r="C4179" s="2" t="str">
        <f>=HYPERLINK("https://xhslink.com/m/w6iyIcvltp", "https://xhslink.com/m/w6iyIcvltp")</f>
        <v>https://xhslink.com/m/w6iyIcvltp</v>
      </c>
      <c r="D4179"/>
      <c r="E4179">
        <v>692</v>
      </c>
      <c r="F4179">
        <v>399</v>
      </c>
      <c r="G4179"/>
      <c r="H4179">
        <v>100</v>
      </c>
      <c r="I4179" t="inlineStr">
        <is>
          <t>鞋靴</t>
        </is>
      </c>
      <c r="J4179" t="inlineStr">
        <is>
          <t>0.14</t>
        </is>
      </c>
      <c r="K4179"/>
      <c r="L4179" t="inlineStr">
        <is>
          <t>舒淼家高端定制女鞋的店</t>
        </is>
      </c>
      <c r="M4179">
        <v>21000</v>
      </c>
      <c r="N4179">
        <v>4.76</v>
      </c>
      <c r="O4179">
        <v>3350</v>
      </c>
      <c r="P4179" t="inlineStr">
        <is>
          <t>64f5448a1f2c0e0001c480d4</t>
        </is>
      </c>
      <c r="Q4179"/>
      <c r="R4179" t="inlineStr">
        <is>
          <t>15周</t>
        </is>
      </c>
      <c r="S4179" t="inlineStr">
        <is>
          <t>0.03</t>
        </is>
      </c>
      <c r="T4179" t="inlineStr">
        <is>
          <t>服饰穿搭</t>
        </is>
      </c>
      <c r="U4179" t="inlineStr">
        <is>
          <t>鞋靴箱包</t>
        </is>
      </c>
      <c r="V4179" s="3">
        <v>46123.98462962963</v>
      </c>
      <c r="W4179" t="inlineStr">
        <is>
          <t>2026-Q2</t>
        </is>
      </c>
    </row>
    <row r="4180" ht="25.5" customHeight="1">
      <c r="A4180" t="inlineStr">
        <is>
          <t>小富自制· 2cm增高韩系甜美洞洞鞋女2026春季厚底玛丽珍不臭不响</t>
        </is>
      </c>
      <c r="B4180" t="inlineStr">
        <is>
          <t>recvguTbC1HF5t.jpg</t>
        </is>
      </c>
      <c r="C4180" s="2" t="str">
        <f>=HYPERLINK("https://xhslink.com/m/2qs8p1Muim2", "https://xhslink.com/m/2qs8p1Muim2")</f>
        <v>https://xhslink.com/m/2qs8p1Muim2</v>
      </c>
      <c r="D4180"/>
      <c r="E4180">
        <v>1979</v>
      </c>
      <c r="F4180">
        <v>128</v>
      </c>
      <c r="G4180">
        <v>58.88</v>
      </c>
      <c r="H4180">
        <v>100</v>
      </c>
      <c r="I4180" t="inlineStr">
        <is>
          <t>鞋靴</t>
        </is>
      </c>
      <c r="J4180" t="inlineStr">
        <is>
          <t>0.05</t>
        </is>
      </c>
      <c r="K4180"/>
      <c r="L4180" t="inlineStr">
        <is>
          <t>小富的鞋柜的店</t>
        </is>
      </c>
      <c r="M4180">
        <v>5433</v>
      </c>
      <c r="N4180">
        <v>4.7</v>
      </c>
      <c r="O4180">
        <v>24000</v>
      </c>
      <c r="P4180" t="inlineStr">
        <is>
          <t>69b3e99405ddcd0001f8294a</t>
        </is>
      </c>
      <c r="Q4180" t="inlineStr">
        <is>
          <t>🚫重复</t>
        </is>
      </c>
      <c r="R4180" t="inlineStr">
        <is>
          <t>15周</t>
        </is>
      </c>
      <c r="S4180" t="inlineStr">
        <is>
          <t>0.36</t>
        </is>
      </c>
      <c r="T4180" t="inlineStr">
        <is>
          <t>服饰穿搭</t>
        </is>
      </c>
      <c r="U4180" t="inlineStr">
        <is>
          <t>鞋靴箱包</t>
        </is>
      </c>
      <c r="V4180" s="3">
        <v>46123.98462962963</v>
      </c>
      <c r="W4180" t="inlineStr">
        <is>
          <t>2026-Q2</t>
        </is>
      </c>
    </row>
    <row r="4181" ht="25.5" customHeight="1">
      <c r="A4181" t="inlineStr">
        <is>
          <t>山西特产纯碱烤馍养解馋胃零食无蔗糖饼干早餐金币烤馍</t>
        </is>
      </c>
      <c r="B4181" t="inlineStr">
        <is>
          <t>recvguTbC1x2fP.jpg</t>
        </is>
      </c>
      <c r="C4181" s="2" t="str">
        <f>=HYPERLINK("https://xhslink.com/m/XhXlpl8FaU", "https://xhslink.com/m/XhXlpl8FaU")</f>
        <v>https://xhslink.com/m/XhXlpl8FaU</v>
      </c>
      <c r="D4181"/>
      <c r="E4181">
        <v>35000</v>
      </c>
      <c r="F4181">
        <v>42.9</v>
      </c>
      <c r="G4181">
        <v>40.9</v>
      </c>
      <c r="H4181">
        <v>100</v>
      </c>
      <c r="I4181" t="inlineStr">
        <is>
          <t>饼干</t>
        </is>
      </c>
      <c r="J4181" t="inlineStr">
        <is>
          <t>0.00</t>
        </is>
      </c>
      <c r="K4181" t="inlineStr">
        <is>
          <t>🔥低粉爆款</t>
        </is>
      </c>
      <c r="L4181" t="inlineStr">
        <is>
          <t>嗦吧轻食荟的店</t>
        </is>
      </c>
      <c r="M4181">
        <v>7829</v>
      </c>
      <c r="N4181">
        <v>4.59</v>
      </c>
      <c r="O4181">
        <v>162000</v>
      </c>
      <c r="P4181" t="inlineStr">
        <is>
          <t>688246a102d7b0000169b274</t>
        </is>
      </c>
      <c r="Q4181" t="inlineStr">
        <is>
          <t>🚫重复</t>
        </is>
      </c>
      <c r="R4181" t="inlineStr">
        <is>
          <t>15周</t>
        </is>
      </c>
      <c r="S4181" t="inlineStr">
        <is>
          <t>4.47</t>
        </is>
      </c>
      <c r="T4181" t="inlineStr">
        <is>
          <t>美食滋补</t>
        </is>
      </c>
      <c r="U4181" t="inlineStr">
        <is>
          <t>休闲零食</t>
        </is>
      </c>
      <c r="V4181" s="3">
        <v>46123.98462962963</v>
      </c>
      <c r="W4181" t="inlineStr">
        <is>
          <t>2026-Q2</t>
        </is>
      </c>
    </row>
    <row r="4182" ht="25.5" customHeight="1">
      <c r="A4182" t="inlineStr">
        <is>
          <t>[非直播时也可买]满75包邮 加购物车满75统一结账即包邮</t>
        </is>
      </c>
      <c r="B4182" t="inlineStr">
        <is>
          <t>recvguTbC1SMFN.jpg</t>
        </is>
      </c>
      <c r="C4182" s="2" t="str">
        <f>=HYPERLINK("https://xhslink.com/m/AnXVQ7iU8nZ", "https://xhslink.com/m/AnXVQ7iU8nZ")</f>
        <v>https://xhslink.com/m/AnXVQ7iU8nZ</v>
      </c>
      <c r="D4182"/>
      <c r="E4182">
        <v>40000</v>
      </c>
      <c r="F4182">
        <v>10</v>
      </c>
      <c r="G4182"/>
      <c r="H4182">
        <v>100</v>
      </c>
      <c r="I4182" t="inlineStr">
        <is>
          <t>饼干</t>
        </is>
      </c>
      <c r="J4182" t="inlineStr">
        <is>
          <t>0.00</t>
        </is>
      </c>
      <c r="K4182"/>
      <c r="L4182" t="inlineStr">
        <is>
          <t>1817临期零食1号店的店</t>
        </is>
      </c>
      <c r="M4182">
        <v>16000</v>
      </c>
      <c r="N4182">
        <v>4.31</v>
      </c>
      <c r="O4182">
        <v>63000</v>
      </c>
      <c r="P4182" t="inlineStr">
        <is>
          <t>69878b06e047060001164f22</t>
        </is>
      </c>
      <c r="Q4182" t="inlineStr">
        <is>
          <t>🚫重复</t>
        </is>
      </c>
      <c r="R4182" t="inlineStr">
        <is>
          <t>15周</t>
        </is>
      </c>
      <c r="S4182" t="inlineStr">
        <is>
          <t>2.50</t>
        </is>
      </c>
      <c r="T4182" t="inlineStr">
        <is>
          <t>美食滋补</t>
        </is>
      </c>
      <c r="U4182" t="inlineStr">
        <is>
          <t>休闲零食</t>
        </is>
      </c>
      <c r="V4182" s="3">
        <v>46123.98462962963</v>
      </c>
      <c r="W4182" t="inlineStr">
        <is>
          <t>2026-Q2</t>
        </is>
      </c>
    </row>
    <row r="4183" ht="25.5" customHeight="1">
      <c r="A4183" t="inlineStr">
        <is>
          <t>碧翠园 · MCT巧克力泥巴派脏脏软饼干可可0蔗糖巧克力夹心下午茶泥巴派</t>
        </is>
      </c>
      <c r="B4183" t="inlineStr">
        <is>
          <t>recvguTbC1kQRS.jpg</t>
        </is>
      </c>
      <c r="C4183" s="2" t="str">
        <f>=HYPERLINK("https://xhslink.com/m/Agcp5yrzPFf", "https://xhslink.com/m/Agcp5yrzPFf")</f>
        <v>https://xhslink.com/m/Agcp5yrzPFf</v>
      </c>
      <c r="D4183"/>
      <c r="E4183">
        <v>11000</v>
      </c>
      <c r="F4183">
        <v>69.9</v>
      </c>
      <c r="G4183">
        <v>59.9</v>
      </c>
      <c r="H4183">
        <v>100</v>
      </c>
      <c r="I4183" t="inlineStr">
        <is>
          <t>饼干</t>
        </is>
      </c>
      <c r="J4183" t="inlineStr">
        <is>
          <t>0.01</t>
        </is>
      </c>
      <c r="K4183"/>
      <c r="L4183" t="inlineStr">
        <is>
          <t>碧翠园BCPARK旗舰店</t>
        </is>
      </c>
      <c r="M4183">
        <v>20000</v>
      </c>
      <c r="N4183">
        <v>3.99</v>
      </c>
      <c r="O4183">
        <v>95000</v>
      </c>
      <c r="P4183" t="inlineStr">
        <is>
          <t>69082035becfcc00019c73de</t>
        </is>
      </c>
      <c r="Q4183" t="inlineStr">
        <is>
          <t>🚫重复</t>
        </is>
      </c>
      <c r="R4183" t="inlineStr">
        <is>
          <t>15周</t>
        </is>
      </c>
      <c r="S4183" t="inlineStr">
        <is>
          <t>0.55</t>
        </is>
      </c>
      <c r="T4183" t="inlineStr">
        <is>
          <t>美食滋补</t>
        </is>
      </c>
      <c r="U4183" t="inlineStr">
        <is>
          <t>休闲零食</t>
        </is>
      </c>
      <c r="V4183" s="3">
        <v>46123.98462962963</v>
      </c>
      <c r="W4183" t="inlineStr">
        <is>
          <t>2026-Q2</t>
        </is>
      </c>
    </row>
    <row r="4184" ht="25.5" customHeight="1">
      <c r="A4184" t="inlineStr">
        <is>
          <t>克丽安 · 韩国进口CROWN苹果味夹心华夫饼干办公室休闲食品解馋零食</t>
        </is>
      </c>
      <c r="B4184" t="inlineStr">
        <is>
          <t>recvguTbC1WuUr.jpg</t>
        </is>
      </c>
      <c r="C4184" s="2" t="str">
        <f>=HYPERLINK("https://xhslink.com/m/5ASXTNbiRid", "https://xhslink.com/m/5ASXTNbiRid")</f>
        <v>https://xhslink.com/m/5ASXTNbiRid</v>
      </c>
      <c r="D4184"/>
      <c r="E4184">
        <v>13000</v>
      </c>
      <c r="F4184">
        <v>52.8</v>
      </c>
      <c r="G4184">
        <v>32.8</v>
      </c>
      <c r="H4184">
        <v>100</v>
      </c>
      <c r="I4184" t="inlineStr">
        <is>
          <t>饼干</t>
        </is>
      </c>
      <c r="J4184" t="inlineStr">
        <is>
          <t>0.01</t>
        </is>
      </c>
      <c r="K4184"/>
      <c r="L4184" t="inlineStr">
        <is>
          <t>拉面口袋的店</t>
        </is>
      </c>
      <c r="M4184">
        <v>163000</v>
      </c>
      <c r="N4184">
        <v>4.51</v>
      </c>
      <c r="O4184">
        <v>425000</v>
      </c>
      <c r="P4184" t="inlineStr">
        <is>
          <t>68ca8c86aed1a40015a047e0</t>
        </is>
      </c>
      <c r="Q4184" t="inlineStr">
        <is>
          <t>🚫重复</t>
        </is>
      </c>
      <c r="R4184" t="inlineStr">
        <is>
          <t>15周</t>
        </is>
      </c>
      <c r="S4184" t="inlineStr">
        <is>
          <t>0.08</t>
        </is>
      </c>
      <c r="T4184" t="inlineStr">
        <is>
          <t>美食滋补</t>
        </is>
      </c>
      <c r="U4184" t="inlineStr">
        <is>
          <t>休闲零食</t>
        </is>
      </c>
      <c r="V4184" s="3">
        <v>46123.98462962963</v>
      </c>
      <c r="W4184" t="inlineStr">
        <is>
          <t>2026-Q2</t>
        </is>
      </c>
    </row>
    <row r="4185" ht="25.5" customHeight="1">
      <c r="A4185" t="inlineStr">
        <is>
          <t>农夫山庄 · 日式水泡饼200g早餐泡牛奶麦香休闲怀旧童年零食潮汕特产代餐饼干</t>
        </is>
      </c>
      <c r="B4185" t="inlineStr">
        <is>
          <t>recvguTbC1r2YW.jpg</t>
        </is>
      </c>
      <c r="C4185" s="2" t="str">
        <f>=HYPERLINK("https://xhslink.com/m/2ARdB6IhjH", "https://xhslink.com/m/2ARdB6IhjH")</f>
        <v>https://xhslink.com/m/2ARdB6IhjH</v>
      </c>
      <c r="D4185"/>
      <c r="E4185">
        <v>10000</v>
      </c>
      <c r="F4185">
        <v>26.9</v>
      </c>
      <c r="G4185"/>
      <c r="H4185">
        <v>100</v>
      </c>
      <c r="I4185" t="inlineStr">
        <is>
          <t>饼干</t>
        </is>
      </c>
      <c r="J4185" t="inlineStr">
        <is>
          <t>0.01</t>
        </is>
      </c>
      <c r="K4185"/>
      <c r="L4185" t="inlineStr">
        <is>
          <t>农夫山庄旗舰店</t>
        </is>
      </c>
      <c r="M4185">
        <v>26000</v>
      </c>
      <c r="N4185">
        <v>4.54</v>
      </c>
      <c r="O4185">
        <v>12000</v>
      </c>
      <c r="P4185" t="inlineStr">
        <is>
          <t>67b94591f2389c00017ed96b</t>
        </is>
      </c>
      <c r="Q4185" t="inlineStr">
        <is>
          <t>🚫重复</t>
        </is>
      </c>
      <c r="R4185" t="inlineStr">
        <is>
          <t>15周</t>
        </is>
      </c>
      <c r="S4185" t="inlineStr">
        <is>
          <t>0.38</t>
        </is>
      </c>
      <c r="T4185" t="inlineStr">
        <is>
          <t>美食滋补</t>
        </is>
      </c>
      <c r="U4185" t="inlineStr">
        <is>
          <t>休闲零食</t>
        </is>
      </c>
      <c r="V4185" s="3">
        <v>46123.98462962963</v>
      </c>
      <c r="W4185" t="inlineStr">
        <is>
          <t>2026-Q2</t>
        </is>
      </c>
    </row>
    <row r="4186" ht="25.5" customHeight="1">
      <c r="A4186" t="inlineStr">
        <is>
          <t>东方甄选 · 火腿肠（特级品质）猪肉鸡肉肠 方便食品办公室零食</t>
        </is>
      </c>
      <c r="B4186" t="inlineStr">
        <is>
          <t>recvguTbC1DXc1.jpg</t>
        </is>
      </c>
      <c r="C4186" s="2" t="str">
        <f>=HYPERLINK("https://xhslink.com/m/c4FgMd9GfV", "https://xhslink.com/m/c4FgMd9GfV")</f>
        <v>https://xhslink.com/m/c4FgMd9GfV</v>
      </c>
      <c r="D4186"/>
      <c r="E4186">
        <v>68000</v>
      </c>
      <c r="F4186">
        <v>26.9</v>
      </c>
      <c r="G4186">
        <v>25.56</v>
      </c>
      <c r="H4186">
        <v>100</v>
      </c>
      <c r="I4186" t="inlineStr">
        <is>
          <t>玉米肠</t>
        </is>
      </c>
      <c r="J4186" t="inlineStr">
        <is>
          <t>0.00</t>
        </is>
      </c>
      <c r="K4186"/>
      <c r="L4186" t="inlineStr">
        <is>
          <t>东方甄选旗舰店</t>
        </is>
      </c>
      <c r="M4186">
        <v>991000</v>
      </c>
      <c r="N4186">
        <v>4.7</v>
      </c>
      <c r="O4186">
        <v>1758000</v>
      </c>
      <c r="P4186" t="inlineStr">
        <is>
          <t>68d63950e0f3b20001b59398</t>
        </is>
      </c>
      <c r="Q4186" t="inlineStr">
        <is>
          <t>🚫重复</t>
        </is>
      </c>
      <c r="R4186" t="inlineStr">
        <is>
          <t>15周</t>
        </is>
      </c>
      <c r="S4186" t="inlineStr">
        <is>
          <t>0.07</t>
        </is>
      </c>
      <c r="T4186" t="inlineStr">
        <is>
          <t>美食滋补</t>
        </is>
      </c>
      <c r="U4186" t="inlineStr">
        <is>
          <t>休闲零食</t>
        </is>
      </c>
      <c r="V4186" s="3">
        <v>46123.98462962963</v>
      </c>
      <c r="W4186" t="inlineStr">
        <is>
          <t>2026-Q2</t>
        </is>
      </c>
    </row>
    <row r="4187" ht="25.5" customHeight="1">
      <c r="A4187" t="inlineStr">
        <is>
          <t>【非遗配方 限时特惠】古法承制天然草本合香珠手工手串</t>
        </is>
      </c>
      <c r="B4187" t="inlineStr">
        <is>
          <t>recvguTbC1BvrT.jpg</t>
        </is>
      </c>
      <c r="C4187" s="2" t="str">
        <f>=HYPERLINK("https://xhslink.com/m/3srh9iVLUtA", "https://xhslink.com/m/3srh9iVLUtA")</f>
        <v>https://xhslink.com/m/3srh9iVLUtA</v>
      </c>
      <c r="D4187"/>
      <c r="E4187">
        <v>9739</v>
      </c>
      <c r="F4187">
        <v>25.9</v>
      </c>
      <c r="G4187">
        <v>9.8</v>
      </c>
      <c r="H4187">
        <v>100</v>
      </c>
      <c r="I4187" t="inlineStr">
        <is>
          <t>手串</t>
        </is>
      </c>
      <c r="J4187" t="inlineStr">
        <is>
          <t>0.01</t>
        </is>
      </c>
      <c r="K4187" t="inlineStr">
        <is>
          <t>🔥低粉爆款</t>
        </is>
      </c>
      <c r="L4187" t="inlineStr">
        <is>
          <t>玥然之家的店</t>
        </is>
      </c>
      <c r="M4187">
        <v>50</v>
      </c>
      <c r="N4187">
        <v>4.51</v>
      </c>
      <c r="O4187">
        <v>9844</v>
      </c>
      <c r="P4187" t="inlineStr">
        <is>
          <t>699da05d90d16a0001d95499</t>
        </is>
      </c>
      <c r="Q4187"/>
      <c r="R4187" t="inlineStr">
        <is>
          <t>15周</t>
        </is>
      </c>
      <c r="S4187" t="inlineStr">
        <is>
          <t>194.78</t>
        </is>
      </c>
      <c r="T4187" t="inlineStr">
        <is>
          <t>服饰穿搭</t>
        </is>
      </c>
      <c r="U4187" t="inlineStr">
        <is>
          <t>配饰</t>
        </is>
      </c>
      <c r="V4187" s="3">
        <v>46123.98462962963</v>
      </c>
      <c r="W4187" t="inlineStr">
        <is>
          <t>2026-Q2</t>
        </is>
      </c>
    </row>
    <row r="4188" ht="25.5" customHeight="1">
      <c r="A4188" t="inlineStr">
        <is>
          <t>【老粉福利】琥珀木大手串（天然不泡油版本）</t>
        </is>
      </c>
      <c r="B4188" t="inlineStr">
        <is>
          <t>recvguTbC1Yh6n.jpg</t>
        </is>
      </c>
      <c r="C4188" s="2" t="str">
        <f>=HYPERLINK("https://xhslink.com/m/4FUJ18N5uy8", "https://xhslink.com/m/4FUJ18N5uy8")</f>
        <v>https://xhslink.com/m/4FUJ18N5uy8</v>
      </c>
      <c r="D4188"/>
      <c r="E4188">
        <v>7382</v>
      </c>
      <c r="F4188">
        <v>9.99</v>
      </c>
      <c r="G4188"/>
      <c r="H4188">
        <v>100</v>
      </c>
      <c r="I4188" t="inlineStr">
        <is>
          <t>手串</t>
        </is>
      </c>
      <c r="J4188" t="inlineStr">
        <is>
          <t>0.01</t>
        </is>
      </c>
      <c r="K4188"/>
      <c r="L4188" t="inlineStr">
        <is>
          <t>熊肉肉工作室的店</t>
        </is>
      </c>
      <c r="M4188">
        <v>96000</v>
      </c>
      <c r="N4188">
        <v>4.54</v>
      </c>
      <c r="O4188">
        <v>738000</v>
      </c>
      <c r="P4188" t="inlineStr">
        <is>
          <t>6976d5db78d8d50001200b95</t>
        </is>
      </c>
      <c r="Q4188"/>
      <c r="R4188" t="inlineStr">
        <is>
          <t>15周</t>
        </is>
      </c>
      <c r="S4188" t="inlineStr">
        <is>
          <t>0.08</t>
        </is>
      </c>
      <c r="T4188" t="inlineStr">
        <is>
          <t>服饰穿搭</t>
        </is>
      </c>
      <c r="U4188" t="inlineStr">
        <is>
          <t>配饰</t>
        </is>
      </c>
      <c r="V4188" s="3">
        <v>46123.98462962963</v>
      </c>
      <c r="W4188" t="inlineStr">
        <is>
          <t>2026-Q2</t>
        </is>
      </c>
    </row>
    <row r="4189" ht="25.5" customHeight="1">
      <c r="A4189" t="inlineStr">
        <is>
          <t>【非遗配方 限时特惠】苗苗子庆香林草本合香珠手串</t>
        </is>
      </c>
      <c r="B4189" t="inlineStr">
        <is>
          <t>recvguTbC18sTj.jpg</t>
        </is>
      </c>
      <c r="C4189" s="2" t="str">
        <f>=HYPERLINK("https://xhslink.com/m/6cDE5XIZ38F", "https://xhslink.com/m/6cDE5XIZ38F")</f>
        <v>https://xhslink.com/m/6cDE5XIZ38F</v>
      </c>
      <c r="D4189"/>
      <c r="E4189">
        <v>51000</v>
      </c>
      <c r="F4189">
        <v>132.8</v>
      </c>
      <c r="G4189">
        <v>102.8</v>
      </c>
      <c r="H4189">
        <v>100</v>
      </c>
      <c r="I4189" t="inlineStr">
        <is>
          <t>手串</t>
        </is>
      </c>
      <c r="J4189" t="inlineStr">
        <is>
          <t>0.00</t>
        </is>
      </c>
      <c r="K4189" t="inlineStr">
        <is>
          <t>🔥低粉爆款</t>
        </is>
      </c>
      <c r="L4189" t="inlineStr">
        <is>
          <t>苗雅集的店</t>
        </is>
      </c>
      <c r="M4189">
        <v>12000</v>
      </c>
      <c r="N4189">
        <v>4.66</v>
      </c>
      <c r="O4189">
        <v>235000</v>
      </c>
      <c r="P4189" t="inlineStr">
        <is>
          <t>6977118ab828e400010e8c3b</t>
        </is>
      </c>
      <c r="Q4189"/>
      <c r="R4189" t="inlineStr">
        <is>
          <t>15周</t>
        </is>
      </c>
      <c r="S4189" t="inlineStr">
        <is>
          <t>4.25</t>
        </is>
      </c>
      <c r="T4189" t="inlineStr">
        <is>
          <t>服饰穿搭</t>
        </is>
      </c>
      <c r="U4189" t="inlineStr">
        <is>
          <t>配饰</t>
        </is>
      </c>
      <c r="V4189" s="3">
        <v>46123.98462962963</v>
      </c>
      <c r="W4189" t="inlineStr">
        <is>
          <t>2026-Q2</t>
        </is>
      </c>
    </row>
    <row r="4190" ht="25.5" customHeight="1">
      <c r="A4190" t="inlineStr">
        <is>
          <t>开袋即食零食冰烤蜜薯紫薯大学生减脂期代餐轻食健康早餐速食推荐</t>
        </is>
      </c>
      <c r="B4190" t="inlineStr">
        <is>
          <t>__upload_recvgAET7xpGVb.jpg</t>
        </is>
      </c>
      <c r="C4190" s="2" t="str">
        <f>=HYPERLINK("https://xhslink.com/m/UsAw1QZ5fP", "https://xhslink.com/m/UsAw1QZ5fP")</f>
        <v>https://xhslink.com/m/UsAw1QZ5fP</v>
      </c>
      <c r="D4190"/>
      <c r="E4190">
        <v>32000</v>
      </c>
      <c r="F4190">
        <v>35.8</v>
      </c>
      <c r="G4190">
        <v>25.8</v>
      </c>
      <c r="H4190">
        <v>100</v>
      </c>
      <c r="I4190" t="inlineStr">
        <is>
          <t>低脂零食</t>
        </is>
      </c>
      <c r="J4190" t="inlineStr">
        <is>
          <t>0.00</t>
        </is>
      </c>
      <c r="K4190" t="inlineStr">
        <is>
          <t>🔥低粉爆款</t>
        </is>
      </c>
      <c r="L4190" t="inlineStr">
        <is>
          <t>麦味零食坊的店</t>
        </is>
      </c>
      <c r="M4190">
        <v>6042</v>
      </c>
      <c r="N4190">
        <v>4.75</v>
      </c>
      <c r="O4190">
        <v>136000</v>
      </c>
      <c r="P4190" t="inlineStr">
        <is>
          <t>670bc03d4cd28900014f106d</t>
        </is>
      </c>
      <c r="Q4190" t="inlineStr">
        <is>
          <t>🚫重复</t>
        </is>
      </c>
      <c r="R4190" t="inlineStr">
        <is>
          <t>15周</t>
        </is>
      </c>
      <c r="S4190" t="inlineStr">
        <is>
          <t>5.30</t>
        </is>
      </c>
      <c r="T4190" t="inlineStr">
        <is>
          <t>美食滋补</t>
        </is>
      </c>
      <c r="U4190" t="inlineStr">
        <is>
          <t>休闲零食</t>
        </is>
      </c>
      <c r="V4190" s="3">
        <v>46124.971342592595</v>
      </c>
      <c r="W4190" t="inlineStr">
        <is>
          <t>2026-Q2</t>
        </is>
      </c>
    </row>
    <row r="4191" ht="25.5" customHeight="1">
      <c r="A4191" t="inlineStr">
        <is>
          <t>【低盐版】炭烤手工牛肉干 瘦多有肥边儿～肥瘦随机不售后（冷冻</t>
        </is>
      </c>
      <c r="B4191" t="inlineStr">
        <is>
          <t>__upload_recvgAET7xbc5x.jpg</t>
        </is>
      </c>
      <c r="C4191" s="2" t="str">
        <f>=HYPERLINK("https://xhslink.com/m/8IVQiz4tjsY", "https://xhslink.com/m/8IVQiz4tjsY")</f>
        <v>https://xhslink.com/m/8IVQiz4tjsY</v>
      </c>
      <c r="D4191"/>
      <c r="E4191">
        <v>4058</v>
      </c>
      <c r="F4191">
        <v>48</v>
      </c>
      <c r="G4191"/>
      <c r="H4191">
        <v>100</v>
      </c>
      <c r="I4191" t="inlineStr">
        <is>
          <t>低脂零食</t>
        </is>
      </c>
      <c r="J4191" t="inlineStr">
        <is>
          <t>0.02</t>
        </is>
      </c>
      <c r="K4191"/>
      <c r="L4191" t="inlineStr">
        <is>
          <t>侯玥儿儿儿～的店</t>
        </is>
      </c>
      <c r="M4191">
        <v>31000</v>
      </c>
      <c r="N4191">
        <v>4.66</v>
      </c>
      <c r="O4191">
        <v>238000</v>
      </c>
      <c r="P4191" t="inlineStr">
        <is>
          <t>69885463eb0d9a00015c9fac</t>
        </is>
      </c>
      <c r="Q4191" t="inlineStr">
        <is>
          <t>🚫重复</t>
        </is>
      </c>
      <c r="R4191" t="inlineStr">
        <is>
          <t>15周</t>
        </is>
      </c>
      <c r="S4191" t="inlineStr">
        <is>
          <t>0.13</t>
        </is>
      </c>
      <c r="T4191" t="inlineStr">
        <is>
          <t>美食滋补</t>
        </is>
      </c>
      <c r="U4191" t="inlineStr">
        <is>
          <t>休闲零食</t>
        </is>
      </c>
      <c r="V4191" s="3">
        <v>46124.971342592595</v>
      </c>
      <c r="W4191" t="inlineStr">
        <is>
          <t>2026-Q2</t>
        </is>
      </c>
    </row>
    <row r="4192" ht="25.5" customHeight="1">
      <c r="A4192" t="inlineStr">
        <is>
          <t>低脂全麦恰巴塔面包健身代餐0蔗糖面包健康粗粮早餐三明治</t>
        </is>
      </c>
      <c r="B4192" t="inlineStr">
        <is>
          <t>__upload_recvgAET7xAzPt.jpg</t>
        </is>
      </c>
      <c r="C4192" s="2" t="str">
        <f>=HYPERLINK("https://xhslink.com/m/7q1mCRTwLTC", "https://xhslink.com/m/7q1mCRTwLTC")</f>
        <v>https://xhslink.com/m/7q1mCRTwLTC</v>
      </c>
      <c r="D4192"/>
      <c r="E4192">
        <v>29000</v>
      </c>
      <c r="F4192">
        <v>40.9</v>
      </c>
      <c r="G4192">
        <v>30.9</v>
      </c>
      <c r="H4192">
        <v>100</v>
      </c>
      <c r="I4192" t="inlineStr">
        <is>
          <t>低脂零食</t>
        </is>
      </c>
      <c r="J4192" t="inlineStr">
        <is>
          <t>0.00</t>
        </is>
      </c>
      <c r="K4192" t="inlineStr">
        <is>
          <t>🔥低粉爆款</t>
        </is>
      </c>
      <c r="L4192" t="inlineStr">
        <is>
          <t>Green轻食店的店</t>
        </is>
      </c>
      <c r="M4192">
        <v>682</v>
      </c>
      <c r="N4192">
        <v>4.47</v>
      </c>
      <c r="O4192">
        <v>33000</v>
      </c>
      <c r="P4192" t="inlineStr">
        <is>
          <t>683291830d7e3d0001425d1b</t>
        </is>
      </c>
      <c r="Q4192" t="inlineStr">
        <is>
          <t>🚫重复</t>
        </is>
      </c>
      <c r="R4192" t="inlineStr">
        <is>
          <t>15周</t>
        </is>
      </c>
      <c r="S4192" t="inlineStr">
        <is>
          <t>42.52</t>
        </is>
      </c>
      <c r="T4192" t="inlineStr">
        <is>
          <t>美食滋补</t>
        </is>
      </c>
      <c r="U4192" t="inlineStr">
        <is>
          <t>休闲零食</t>
        </is>
      </c>
      <c r="V4192" s="3">
        <v>46124.971342592595</v>
      </c>
      <c r="W4192" t="inlineStr">
        <is>
          <t>2026-Q2</t>
        </is>
      </c>
    </row>
    <row r="4193" ht="25.5" customHeight="1">
      <c r="A4193" t="inlineStr">
        <is>
          <t>田野有时苹果脆片零食非油炸酸甜酥脆低脂健康休闲零食30g</t>
        </is>
      </c>
      <c r="B4193" t="inlineStr">
        <is>
          <t>__upload_recvgAET7xabwM.jpg</t>
        </is>
      </c>
      <c r="C4193" s="2" t="str">
        <f>=HYPERLINK("https://xhslink.com/m/43gNiuXV1es", "https://xhslink.com/m/43gNiuXV1es")</f>
        <v>https://xhslink.com/m/43gNiuXV1es</v>
      </c>
      <c r="D4193"/>
      <c r="E4193">
        <v>79000</v>
      </c>
      <c r="F4193">
        <v>22.9</v>
      </c>
      <c r="G4193"/>
      <c r="H4193">
        <v>100</v>
      </c>
      <c r="I4193" t="inlineStr">
        <is>
          <t>低脂零食</t>
        </is>
      </c>
      <c r="J4193" t="inlineStr">
        <is>
          <t>0.00</t>
        </is>
      </c>
      <c r="K4193" t="inlineStr">
        <is>
          <t>🔥低粉爆款</t>
        </is>
      </c>
      <c r="L4193" t="inlineStr">
        <is>
          <t>田野有时的店</t>
        </is>
      </c>
      <c r="M4193">
        <v>2076</v>
      </c>
      <c r="N4193">
        <v>4.62</v>
      </c>
      <c r="O4193">
        <v>93000</v>
      </c>
      <c r="P4193" t="inlineStr">
        <is>
          <t>6892b284b6005400012d32c7</t>
        </is>
      </c>
      <c r="Q4193" t="inlineStr">
        <is>
          <t>🚫重复</t>
        </is>
      </c>
      <c r="R4193" t="inlineStr">
        <is>
          <t>15周</t>
        </is>
      </c>
      <c r="S4193" t="inlineStr">
        <is>
          <t>38.05</t>
        </is>
      </c>
      <c r="T4193" t="inlineStr">
        <is>
          <t>美食滋补</t>
        </is>
      </c>
      <c r="U4193" t="inlineStr">
        <is>
          <t>休闲零食</t>
        </is>
      </c>
      <c r="V4193" s="3">
        <v>46124.971342592595</v>
      </c>
      <c r="W4193" t="inlineStr">
        <is>
          <t>2026-Q2</t>
        </is>
      </c>
    </row>
    <row r="4194" ht="25.5" customHeight="1">
      <c r="A4194" t="inlineStr">
        <is>
          <t>咚吃 · 【新粉必入】3日轻卡餐9顿管理期自律轻食饱腹早中晚餐蛋白米营养</t>
        </is>
      </c>
      <c r="B4194" t="inlineStr">
        <is>
          <t>__upload_recvgAET7xJ8tx.jpg</t>
        </is>
      </c>
      <c r="C4194" s="2" t="str">
        <f>=HYPERLINK("https://xhslink.com/m/7IlixGfw6VU", "https://xhslink.com/m/7IlixGfw6VU")</f>
        <v>https://xhslink.com/m/7IlixGfw6VU</v>
      </c>
      <c r="D4194"/>
      <c r="E4194">
        <v>34000</v>
      </c>
      <c r="F4194">
        <v>249</v>
      </c>
      <c r="G4194">
        <v>169</v>
      </c>
      <c r="H4194">
        <v>100</v>
      </c>
      <c r="I4194" t="inlineStr">
        <is>
          <t>即食早餐</t>
        </is>
      </c>
      <c r="J4194" t="inlineStr">
        <is>
          <t>0.00</t>
        </is>
      </c>
      <c r="K4194"/>
      <c r="L4194" t="inlineStr">
        <is>
          <t>咚吃旗舰店</t>
        </is>
      </c>
      <c r="M4194">
        <v>50000</v>
      </c>
      <c r="N4194">
        <v>4.6</v>
      </c>
      <c r="O4194">
        <v>36000</v>
      </c>
      <c r="P4194" t="inlineStr">
        <is>
          <t>6459a863b3403f000127aa40</t>
        </is>
      </c>
      <c r="Q4194" t="inlineStr">
        <is>
          <t>🚫重复</t>
        </is>
      </c>
      <c r="R4194" t="inlineStr">
        <is>
          <t>15周</t>
        </is>
      </c>
      <c r="S4194" t="inlineStr">
        <is>
          <t>0.68</t>
        </is>
      </c>
      <c r="T4194" t="inlineStr">
        <is>
          <t>美食滋补</t>
        </is>
      </c>
      <c r="U4194" t="inlineStr">
        <is>
          <t>休闲零食</t>
        </is>
      </c>
      <c r="V4194" s="3">
        <v>46124.971342592595</v>
      </c>
      <c r="W4194" t="inlineStr">
        <is>
          <t>2026-Q2</t>
        </is>
      </c>
    </row>
    <row r="4195" ht="25.5" customHeight="1">
      <c r="A4195" t="inlineStr">
        <is>
          <t>【到手够吃7天】每日杂粮 八种粗粮南瓜山药紫薯开袋即食代餐</t>
        </is>
      </c>
      <c r="B4195" t="inlineStr">
        <is>
          <t>__upload_recvgAET7xk9G5.jpg</t>
        </is>
      </c>
      <c r="C4195" s="2" t="str">
        <f>=HYPERLINK("https://xhslink.com/m/4X65WXKqdiF", "https://xhslink.com/m/4X65WXKqdiF")</f>
        <v>https://xhslink.com/m/4X65WXKqdiF</v>
      </c>
      <c r="D4195"/>
      <c r="E4195">
        <v>6038</v>
      </c>
      <c r="F4195">
        <v>39.9</v>
      </c>
      <c r="G4195">
        <v>28.9</v>
      </c>
      <c r="H4195">
        <v>100</v>
      </c>
      <c r="I4195" t="inlineStr">
        <is>
          <t>即食早餐</t>
        </is>
      </c>
      <c r="J4195" t="inlineStr">
        <is>
          <t>0.02</t>
        </is>
      </c>
      <c r="K4195" t="inlineStr">
        <is>
          <t>🔥低粉爆款</t>
        </is>
      </c>
      <c r="L4195" t="inlineStr">
        <is>
          <t>扶花阁的店</t>
        </is>
      </c>
      <c r="M4195">
        <v>87</v>
      </c>
      <c r="N4195">
        <v>4.63</v>
      </c>
      <c r="O4195">
        <v>5934</v>
      </c>
      <c r="P4195" t="inlineStr">
        <is>
          <t>69b76c09bb76760015f4e18d</t>
        </is>
      </c>
      <c r="Q4195"/>
      <c r="R4195" t="inlineStr">
        <is>
          <t>15周</t>
        </is>
      </c>
      <c r="S4195" t="inlineStr">
        <is>
          <t>69.40</t>
        </is>
      </c>
      <c r="T4195" t="inlineStr">
        <is>
          <t>美食滋补</t>
        </is>
      </c>
      <c r="U4195" t="inlineStr">
        <is>
          <t>休闲零食</t>
        </is>
      </c>
      <c r="V4195" s="3">
        <v>46124.971342592595</v>
      </c>
      <c r="W4195" t="inlineStr">
        <is>
          <t>2026-Q2</t>
        </is>
      </c>
    </row>
    <row r="4196" ht="25.5" customHeight="1">
      <c r="A4196" t="inlineStr">
        <is>
          <t>米曰MIYUE · 三角饭团加热即食早餐代餐芝士泡菜黑松露和牛鳗鱼顺丰包邮</t>
        </is>
      </c>
      <c r="B4196" t="inlineStr">
        <is>
          <t>__upload_recvgAET7x6txu.jpg</t>
        </is>
      </c>
      <c r="C4196" s="2" t="str">
        <f>=HYPERLINK("https://xhslink.com/m/5xtyTowcCGs", "https://xhslink.com/m/5xtyTowcCGs")</f>
        <v>https://xhslink.com/m/5xtyTowcCGs</v>
      </c>
      <c r="D4196"/>
      <c r="E4196">
        <v>47000</v>
      </c>
      <c r="F4196">
        <v>140</v>
      </c>
      <c r="G4196">
        <v>126</v>
      </c>
      <c r="H4196">
        <v>100</v>
      </c>
      <c r="I4196" t="inlineStr">
        <is>
          <t>即食早餐</t>
        </is>
      </c>
      <c r="J4196" t="inlineStr">
        <is>
          <t>0.00</t>
        </is>
      </c>
      <c r="K4196" t="inlineStr">
        <is>
          <t>🔥低粉爆款</t>
        </is>
      </c>
      <c r="L4196" t="inlineStr">
        <is>
          <t>米曰MIYUE旗舰店</t>
        </is>
      </c>
      <c r="M4196">
        <v>6337</v>
      </c>
      <c r="N4196">
        <v>4.5</v>
      </c>
      <c r="O4196">
        <v>59000</v>
      </c>
      <c r="P4196" t="inlineStr">
        <is>
          <t>67f778e3e8f2430001ca82fe</t>
        </is>
      </c>
      <c r="Q4196"/>
      <c r="R4196" t="inlineStr">
        <is>
          <t>15周</t>
        </is>
      </c>
      <c r="S4196" t="inlineStr">
        <is>
          <t>7.42</t>
        </is>
      </c>
      <c r="T4196" t="inlineStr">
        <is>
          <t>美食滋补</t>
        </is>
      </c>
      <c r="U4196" t="inlineStr">
        <is>
          <t>休闲零食</t>
        </is>
      </c>
      <c r="V4196" s="3">
        <v>46124.971342592595</v>
      </c>
      <c r="W4196" t="inlineStr">
        <is>
          <t>2026-Q2</t>
        </is>
      </c>
    </row>
    <row r="4197" ht="25.5" customHeight="1">
      <c r="A4197" t="inlineStr">
        <is>
          <t>【21天软乎厚切吐司】80克*5/箱全麦面包代餐健康饱腹营养早餐</t>
        </is>
      </c>
      <c r="B4197" t="inlineStr">
        <is>
          <t>__upload_recvgAET7xoadx.jpg</t>
        </is>
      </c>
      <c r="C4197" s="2" t="str">
        <f>=HYPERLINK("https://xhslink.com/m/9gHJKXowcfM", "https://xhslink.com/m/9gHJKXowcfM")</f>
        <v>https://xhslink.com/m/9gHJKXowcfM</v>
      </c>
      <c r="D4197"/>
      <c r="E4197">
        <v>23000</v>
      </c>
      <c r="F4197">
        <v>14.9</v>
      </c>
      <c r="G4197">
        <v>9.9</v>
      </c>
      <c r="H4197">
        <v>100</v>
      </c>
      <c r="I4197" t="inlineStr">
        <is>
          <t>即食早餐</t>
        </is>
      </c>
      <c r="J4197" t="inlineStr">
        <is>
          <t>0.00</t>
        </is>
      </c>
      <c r="K4197" t="inlineStr">
        <is>
          <t>🔥低粉爆款</t>
        </is>
      </c>
      <c r="L4197" t="inlineStr">
        <is>
          <t>栗子芙零食的店</t>
        </is>
      </c>
      <c r="M4197">
        <v>695</v>
      </c>
      <c r="N4197">
        <v>3.75</v>
      </c>
      <c r="O4197">
        <v>25000</v>
      </c>
      <c r="P4197" t="inlineStr">
        <is>
          <t>68fc35a04a00000001acb3ca</t>
        </is>
      </c>
      <c r="Q4197"/>
      <c r="R4197" t="inlineStr">
        <is>
          <t>15周</t>
        </is>
      </c>
      <c r="S4197" t="inlineStr">
        <is>
          <t>33.09</t>
        </is>
      </c>
      <c r="T4197" t="inlineStr">
        <is>
          <t>美食滋补</t>
        </is>
      </c>
      <c r="U4197" t="inlineStr">
        <is>
          <t>休闲零食</t>
        </is>
      </c>
      <c r="V4197" s="3">
        <v>46124.971342592595</v>
      </c>
      <c r="W4197" t="inlineStr">
        <is>
          <t>2026-Q2</t>
        </is>
      </c>
    </row>
    <row r="4198" ht="25.5" customHeight="1">
      <c r="A4198" t="inlineStr">
        <is>
          <t>【不定时限量】坚果全麦吐司边角料边皮0蔗糖粗粮代餐宿舍早餐</t>
        </is>
      </c>
      <c r="B4198" t="inlineStr">
        <is>
          <t>__upload_recvgAET7xCBP0.jpg</t>
        </is>
      </c>
      <c r="C4198" s="2" t="str">
        <f>=HYPERLINK("https://xhslink.com/m/7YYfstilA96", "https://xhslink.com/m/7YYfstilA96")</f>
        <v>https://xhslink.com/m/7YYfstilA96</v>
      </c>
      <c r="D4198"/>
      <c r="E4198">
        <v>21000</v>
      </c>
      <c r="F4198">
        <v>21.9</v>
      </c>
      <c r="G4198">
        <v>11.9</v>
      </c>
      <c r="H4198">
        <v>100</v>
      </c>
      <c r="I4198" t="inlineStr">
        <is>
          <t>即食早餐</t>
        </is>
      </c>
      <c r="J4198" t="inlineStr">
        <is>
          <t>0.00</t>
        </is>
      </c>
      <c r="K4198" t="inlineStr">
        <is>
          <t>🔥低粉爆款</t>
        </is>
      </c>
      <c r="L4198" t="inlineStr">
        <is>
          <t>吐司掉地上了的店</t>
        </is>
      </c>
      <c r="M4198">
        <v>682</v>
      </c>
      <c r="N4198">
        <v>4.61</v>
      </c>
      <c r="O4198">
        <v>47000</v>
      </c>
      <c r="P4198" t="inlineStr">
        <is>
          <t>69b8b91dffa26d0001e0eef0</t>
        </is>
      </c>
      <c r="Q4198" t="inlineStr">
        <is>
          <t>🚫重复</t>
        </is>
      </c>
      <c r="R4198" t="inlineStr">
        <is>
          <t>15周</t>
        </is>
      </c>
      <c r="S4198" t="inlineStr">
        <is>
          <t>30.79</t>
        </is>
      </c>
      <c r="T4198" t="inlineStr">
        <is>
          <t>美食滋补</t>
        </is>
      </c>
      <c r="U4198" t="inlineStr">
        <is>
          <t>休闲零食</t>
        </is>
      </c>
      <c r="V4198" s="3">
        <v>46124.971342592595</v>
      </c>
      <c r="W4198" t="inlineStr">
        <is>
          <t>2026-Q2</t>
        </is>
      </c>
    </row>
    <row r="4199" ht="25.5" customHeight="1">
      <c r="A4199" t="inlineStr">
        <is>
          <t>东方甄选 · 厚切吐司面包多口味配料简单早餐即食三明治食材办公室解馋小零食</t>
        </is>
      </c>
      <c r="B4199" t="inlineStr">
        <is>
          <t>__upload_recvgAET7xy2SN.jpg</t>
        </is>
      </c>
      <c r="C4199" s="2" t="str">
        <f>=HYPERLINK("https://xhslink.com/m/3zkJEp6e2z", "https://xhslink.com/m/3zkJEp6e2z")</f>
        <v>https://xhslink.com/m/3zkJEp6e2z</v>
      </c>
      <c r="D4199"/>
      <c r="E4199">
        <v>26000</v>
      </c>
      <c r="F4199">
        <v>42.9</v>
      </c>
      <c r="G4199"/>
      <c r="H4199">
        <v>100</v>
      </c>
      <c r="I4199" t="inlineStr">
        <is>
          <t>即食早餐</t>
        </is>
      </c>
      <c r="J4199" t="inlineStr">
        <is>
          <t>0.00</t>
        </is>
      </c>
      <c r="K4199"/>
      <c r="L4199" t="inlineStr">
        <is>
          <t>东方甄选旗舰店</t>
        </is>
      </c>
      <c r="M4199">
        <v>991000</v>
      </c>
      <c r="N4199">
        <v>4.7</v>
      </c>
      <c r="O4199">
        <v>1761000</v>
      </c>
      <c r="P4199" t="inlineStr">
        <is>
          <t>69c5120646fe2a000147b921</t>
        </is>
      </c>
      <c r="Q4199" t="inlineStr">
        <is>
          <t>🚫重复</t>
        </is>
      </c>
      <c r="R4199" t="inlineStr">
        <is>
          <t>15周</t>
        </is>
      </c>
      <c r="S4199" t="inlineStr">
        <is>
          <t>0.03</t>
        </is>
      </c>
      <c r="T4199" t="inlineStr">
        <is>
          <t>美食滋补</t>
        </is>
      </c>
      <c r="U4199" t="inlineStr">
        <is>
          <t>休闲零食</t>
        </is>
      </c>
      <c r="V4199" s="3">
        <v>46124.971342592595</v>
      </c>
      <c r="W4199" t="inlineStr">
        <is>
          <t>2026-Q2</t>
        </is>
      </c>
    </row>
    <row r="4200" ht="25.5" customHeight="1">
      <c r="A4200" t="inlineStr">
        <is>
          <t>非油炸沙炒红薯条原味不加糖红薯干嘎嘣脆儿时味道小零食-偏硬</t>
        </is>
      </c>
      <c r="B4200" t="inlineStr">
        <is>
          <t>__upload_recvgAET7x1Aiq.jpg</t>
        </is>
      </c>
      <c r="C4200" s="2" t="str">
        <f>=HYPERLINK("https://xhslink.com/m/1gBT3ZNTmH1", "https://xhslink.com/m/1gBT3ZNTmH1")</f>
        <v>https://xhslink.com/m/1gBT3ZNTmH1</v>
      </c>
      <c r="D4200"/>
      <c r="E4200">
        <v>122000</v>
      </c>
      <c r="F4200">
        <v>21.9</v>
      </c>
      <c r="G4200">
        <v>18.9</v>
      </c>
      <c r="H4200">
        <v>100</v>
      </c>
      <c r="I4200" t="inlineStr">
        <is>
          <t>零食</t>
        </is>
      </c>
      <c r="J4200" t="inlineStr">
        <is>
          <t>0.00</t>
        </is>
      </c>
      <c r="K4200" t="inlineStr">
        <is>
          <t>🔥低粉爆款</t>
        </is>
      </c>
      <c r="L4200" t="inlineStr">
        <is>
          <t>小新糯叽叽的店</t>
        </is>
      </c>
      <c r="M4200">
        <v>29000</v>
      </c>
      <c r="N4200">
        <v>4.58</v>
      </c>
      <c r="O4200">
        <v>716000</v>
      </c>
      <c r="P4200" t="inlineStr">
        <is>
          <t>649bf37dc37b9f00015a619c</t>
        </is>
      </c>
      <c r="Q4200" t="inlineStr">
        <is>
          <t>🚫重复</t>
        </is>
      </c>
      <c r="R4200" t="inlineStr">
        <is>
          <t>15周</t>
        </is>
      </c>
      <c r="S4200" t="inlineStr">
        <is>
          <t>4.21</t>
        </is>
      </c>
      <c r="T4200" t="inlineStr">
        <is>
          <t>美食滋补</t>
        </is>
      </c>
      <c r="U4200" t="inlineStr">
        <is>
          <t>休闲零食</t>
        </is>
      </c>
      <c r="V4200" s="3">
        <v>46124.971342592595</v>
      </c>
      <c r="W4200" t="inlineStr">
        <is>
          <t>2026-Q2</t>
        </is>
      </c>
    </row>
    <row r="4201" ht="25.5" customHeight="1">
      <c r="A4201" t="inlineStr">
        <is>
          <t>暴肌独角兽 · 【董生活推荐】&lt;鸡胸肉小酥条&gt; 鸡肉干健康办公室解馋零食品代餐</t>
        </is>
      </c>
      <c r="B4201" t="inlineStr">
        <is>
          <t>__upload_recvgAET7xTJ45.jpg</t>
        </is>
      </c>
      <c r="C4201" s="2" t="str">
        <f>=HYPERLINK("https://xhslink.com/m/7w1VlFMu6sY", "https://xhslink.com/m/7w1VlFMu6sY")</f>
        <v>https://xhslink.com/m/7w1VlFMu6sY</v>
      </c>
      <c r="D4201"/>
      <c r="E4201">
        <v>62000</v>
      </c>
      <c r="F4201">
        <v>31.9</v>
      </c>
      <c r="G4201">
        <v>26.9</v>
      </c>
      <c r="H4201">
        <v>100</v>
      </c>
      <c r="I4201" t="inlineStr">
        <is>
          <t>零食</t>
        </is>
      </c>
      <c r="J4201" t="inlineStr">
        <is>
          <t>0.00</t>
        </is>
      </c>
      <c r="K4201"/>
      <c r="L4201" t="inlineStr">
        <is>
          <t>暴肌独角兽旗舰店</t>
        </is>
      </c>
      <c r="M4201">
        <v>52000</v>
      </c>
      <c r="N4201">
        <v>4.49</v>
      </c>
      <c r="O4201">
        <v>1138000</v>
      </c>
      <c r="P4201" t="inlineStr">
        <is>
          <t>666809095f1a0a00013adff5</t>
        </is>
      </c>
      <c r="Q4201" t="inlineStr">
        <is>
          <t>🚫重复</t>
        </is>
      </c>
      <c r="R4201" t="inlineStr">
        <is>
          <t>15周</t>
        </is>
      </c>
      <c r="S4201" t="inlineStr">
        <is>
          <t>1.19</t>
        </is>
      </c>
      <c r="T4201" t="inlineStr">
        <is>
          <t>美食滋补</t>
        </is>
      </c>
      <c r="U4201" t="inlineStr">
        <is>
          <t>休闲零食</t>
        </is>
      </c>
      <c r="V4201" s="3">
        <v>46124.971342592595</v>
      </c>
      <c r="W4201" t="inlineStr">
        <is>
          <t>2026-Q2</t>
        </is>
      </c>
    </row>
    <row r="4202" ht="25.5" customHeight="1">
      <c r="A4202" t="inlineStr">
        <is>
          <t>小石头 · 【9.99抢6包大鸭腿虎皮鸭翅氮气鸭翅根】组合零食鸭货即食熟食</t>
        </is>
      </c>
      <c r="B4202" t="inlineStr">
        <is>
          <t>__upload_recvgAET7xUqRu.jpg</t>
        </is>
      </c>
      <c r="C4202" s="2" t="str">
        <f>=HYPERLINK("https://xhslink.com/m/7v3CKFy56yF", "https://xhslink.com/m/7v3CKFy56yF")</f>
        <v>https://xhslink.com/m/7v3CKFy56yF</v>
      </c>
      <c r="D4202"/>
      <c r="E4202">
        <v>67000</v>
      </c>
      <c r="F4202">
        <v>9.99</v>
      </c>
      <c r="G4202"/>
      <c r="H4202">
        <v>100</v>
      </c>
      <c r="I4202" t="inlineStr">
        <is>
          <t>零食</t>
        </is>
      </c>
      <c r="J4202" t="inlineStr">
        <is>
          <t>0.00</t>
        </is>
      </c>
      <c r="K4202"/>
      <c r="L4202" t="inlineStr">
        <is>
          <t>小石头旗舰店</t>
        </is>
      </c>
      <c r="M4202">
        <v>36000</v>
      </c>
      <c r="N4202">
        <v>4.64</v>
      </c>
      <c r="O4202">
        <v>795000</v>
      </c>
      <c r="P4202" t="inlineStr">
        <is>
          <t>68677da94d48950001ec5e73</t>
        </is>
      </c>
      <c r="Q4202" t="inlineStr">
        <is>
          <t>🚫重复</t>
        </is>
      </c>
      <c r="R4202" t="inlineStr">
        <is>
          <t>15周</t>
        </is>
      </c>
      <c r="S4202" t="inlineStr">
        <is>
          <t>1.86</t>
        </is>
      </c>
      <c r="T4202" t="inlineStr">
        <is>
          <t>美食滋补</t>
        </is>
      </c>
      <c r="U4202" t="inlineStr">
        <is>
          <t>休闲零食</t>
        </is>
      </c>
      <c r="V4202" s="3">
        <v>46124.971342592595</v>
      </c>
      <c r="W4202" t="inlineStr">
        <is>
          <t>2026-Q2</t>
        </is>
      </c>
    </row>
    <row r="4203" ht="25.5" customHeight="1">
      <c r="A4203" t="inlineStr">
        <is>
          <t>适用苹果17promax女新款包相机键手机壳16星星小马15全包14精孔</t>
        </is>
      </c>
      <c r="B4203" t="inlineStr">
        <is>
          <t>__upload_recvgAET7xoNyf.jpg</t>
        </is>
      </c>
      <c r="C4203" s="2" t="str">
        <f>=HYPERLINK("https://xhslink.com/m/6PTNnyev2LR", "https://xhslink.com/m/6PTNnyev2LR")</f>
        <v>https://xhslink.com/m/6PTNnyev2LR</v>
      </c>
      <c r="D4203"/>
      <c r="E4203">
        <v>15000</v>
      </c>
      <c r="F4203">
        <v>49.8</v>
      </c>
      <c r="G4203">
        <v>45.8</v>
      </c>
      <c r="H4203">
        <v>100</v>
      </c>
      <c r="I4203" t="inlineStr">
        <is>
          <t>手机壳</t>
        </is>
      </c>
      <c r="J4203" t="inlineStr">
        <is>
          <t>0.01</t>
        </is>
      </c>
      <c r="K4203" t="inlineStr">
        <is>
          <t>🔥低粉爆款</t>
        </is>
      </c>
      <c r="L4203" t="inlineStr">
        <is>
          <t>NeoCase的店</t>
        </is>
      </c>
      <c r="M4203">
        <v>4072</v>
      </c>
      <c r="N4203">
        <v>4.49</v>
      </c>
      <c r="O4203">
        <v>91000</v>
      </c>
      <c r="P4203" t="inlineStr">
        <is>
          <t>6975f6f7621e6f000116d49c</t>
        </is>
      </c>
      <c r="Q4203"/>
      <c r="R4203" t="inlineStr">
        <is>
          <t>15周</t>
        </is>
      </c>
      <c r="S4203" t="inlineStr">
        <is>
          <t>3.68</t>
        </is>
      </c>
      <c r="T4203" t="inlineStr">
        <is>
          <t>数码家电</t>
        </is>
      </c>
      <c r="U4203" t="inlineStr">
        <is>
          <t>数码配件</t>
        </is>
      </c>
      <c r="V4203" s="3">
        <v>46124.971342592595</v>
      </c>
      <c r="W4203" t="inlineStr">
        <is>
          <t>2026-Q2</t>
        </is>
      </c>
    </row>
    <row r="4204" ht="25.5" customHeight="1">
      <c r="A4204" t="inlineStr">
        <is>
          <t>极简糖果色水晶玻璃全包软壳适用iPhone17ProMax苹果16pro手机壳</t>
        </is>
      </c>
      <c r="B4204" t="inlineStr">
        <is>
          <t>__upload_recvgAET7xqe2o.jpg</t>
        </is>
      </c>
      <c r="C4204" s="2" t="str">
        <f>=HYPERLINK("https://xhslink.com/m/2l4MthHy9Mv", "https://xhslink.com/m/2l4MthHy9Mv")</f>
        <v>https://xhslink.com/m/2l4MthHy9Mv</v>
      </c>
      <c r="D4204"/>
      <c r="E4204">
        <v>24000</v>
      </c>
      <c r="F4204">
        <v>36.9</v>
      </c>
      <c r="G4204">
        <v>28.9</v>
      </c>
      <c r="H4204">
        <v>100</v>
      </c>
      <c r="I4204" t="inlineStr">
        <is>
          <t>手机壳</t>
        </is>
      </c>
      <c r="J4204" t="inlineStr">
        <is>
          <t>0.00</t>
        </is>
      </c>
      <c r="K4204" t="inlineStr">
        <is>
          <t>🔥低粉爆款</t>
        </is>
      </c>
      <c r="L4204" t="inlineStr">
        <is>
          <t>壳多多家的店</t>
        </is>
      </c>
      <c r="M4204">
        <v>605</v>
      </c>
      <c r="N4204">
        <v>4.46</v>
      </c>
      <c r="O4204">
        <v>25000</v>
      </c>
      <c r="P4204" t="inlineStr">
        <is>
          <t>68f85daa4a0000000186a3e1</t>
        </is>
      </c>
      <c r="Q4204"/>
      <c r="R4204" t="inlineStr">
        <is>
          <t>15周</t>
        </is>
      </c>
      <c r="S4204" t="inlineStr">
        <is>
          <t>39.67</t>
        </is>
      </c>
      <c r="T4204" t="inlineStr">
        <is>
          <t>数码家电</t>
        </is>
      </c>
      <c r="U4204" t="inlineStr">
        <is>
          <t>数码配件</t>
        </is>
      </c>
      <c r="V4204" s="3">
        <v>46124.971342592595</v>
      </c>
      <c r="W4204" t="inlineStr">
        <is>
          <t>2026-Q2</t>
        </is>
      </c>
    </row>
    <row r="4205" ht="25.5" customHeight="1">
      <c r="A4205" t="inlineStr">
        <is>
          <t>Glittech · K1002无线蓝牙键盘鼠标适用苹果iPad华为小米平板电脑安卓手机</t>
        </is>
      </c>
      <c r="B4205" t="inlineStr">
        <is>
          <t>__upload_recvgAET7xkvO8.jpg</t>
        </is>
      </c>
      <c r="C4205" s="2" t="str">
        <f>=HYPERLINK("https://xhslink.com/m/150HDJbLjuj", "https://xhslink.com/m/150HDJbLjuj")</f>
        <v>https://xhslink.com/m/150HDJbLjuj</v>
      </c>
      <c r="D4205"/>
      <c r="E4205">
        <v>24000</v>
      </c>
      <c r="F4205">
        <v>17.9</v>
      </c>
      <c r="G4205"/>
      <c r="H4205">
        <v>100</v>
      </c>
      <c r="I4205" t="inlineStr">
        <is>
          <t>手机键盘</t>
        </is>
      </c>
      <c r="J4205" t="inlineStr">
        <is>
          <t>0.00</t>
        </is>
      </c>
      <c r="K4205" t="inlineStr">
        <is>
          <t>🔥低粉爆款</t>
        </is>
      </c>
      <c r="L4205" t="inlineStr">
        <is>
          <t>Glittech旗舰店</t>
        </is>
      </c>
      <c r="M4205">
        <v>2301</v>
      </c>
      <c r="N4205">
        <v>4.68</v>
      </c>
      <c r="O4205">
        <v>27000</v>
      </c>
      <c r="P4205" t="inlineStr">
        <is>
          <t>67d2d68cd9b117000122439b</t>
        </is>
      </c>
      <c r="Q4205"/>
      <c r="R4205" t="inlineStr">
        <is>
          <t>15周</t>
        </is>
      </c>
      <c r="S4205" t="inlineStr">
        <is>
          <t>10.43</t>
        </is>
      </c>
      <c r="T4205" t="inlineStr">
        <is>
          <t>数码家电</t>
        </is>
      </c>
      <c r="U4205" t="inlineStr">
        <is>
          <t>数码配件</t>
        </is>
      </c>
      <c r="V4205" s="3">
        <v>46124.971342592595</v>
      </c>
      <c r="W4205" t="inlineStr">
        <is>
          <t>2026-Q2</t>
        </is>
      </c>
    </row>
    <row r="4206" ht="25.5" customHeight="1">
      <c r="A4206" t="inlineStr">
        <is>
          <t>漫步者 · 原子豆AtomBuds Plus6.0升级蓝牙耳机半入耳通话降噪翻译2026新款</t>
        </is>
      </c>
      <c r="B4206" t="inlineStr">
        <is>
          <t>__upload_recvgAET7xQ95Y.jpg</t>
        </is>
      </c>
      <c r="C4206" s="2" t="str">
        <f>=HYPERLINK("https://xhslink.com/m/AkCDsXHvHiN", "https://xhslink.com/m/AkCDsXHvHiN")</f>
        <v>https://xhslink.com/m/AkCDsXHvHiN</v>
      </c>
      <c r="D4206"/>
      <c r="E4206">
        <v>35000</v>
      </c>
      <c r="F4206">
        <v>149</v>
      </c>
      <c r="G4206">
        <v>119</v>
      </c>
      <c r="H4206">
        <v>100</v>
      </c>
      <c r="I4206" t="inlineStr">
        <is>
          <t>AI硬件</t>
        </is>
      </c>
      <c r="J4206" t="inlineStr">
        <is>
          <t>0.00</t>
        </is>
      </c>
      <c r="K4206"/>
      <c r="L4206" t="inlineStr">
        <is>
          <t>EDIFIER漫步者旗舰店</t>
        </is>
      </c>
      <c r="M4206">
        <v>65000</v>
      </c>
      <c r="N4206">
        <v>4.7</v>
      </c>
      <c r="O4206">
        <v>150000</v>
      </c>
      <c r="P4206" t="inlineStr">
        <is>
          <t>69b7d1a61f384a0001a98c33</t>
        </is>
      </c>
      <c r="Q4206"/>
      <c r="R4206" t="inlineStr">
        <is>
          <t>15周</t>
        </is>
      </c>
      <c r="S4206" t="inlineStr">
        <is>
          <t>0.54</t>
        </is>
      </c>
      <c r="T4206" t="inlineStr">
        <is>
          <t>数码家电</t>
        </is>
      </c>
      <c r="U4206" t="inlineStr">
        <is>
          <t>数码配件</t>
        </is>
      </c>
      <c r="V4206" s="3">
        <v>46124.971342592595</v>
      </c>
      <c r="W4206" t="inlineStr">
        <is>
          <t>2026-Q2</t>
        </is>
      </c>
    </row>
    <row r="4207" ht="25.5" customHeight="1">
      <c r="A4207" t="inlineStr">
        <is>
          <t>2026旗舰版智能AI眼镜拍摄拍照识图录音通话音乐实时翻译</t>
        </is>
      </c>
      <c r="B4207" t="inlineStr">
        <is>
          <t>__upload_recvgAET7xMt7O.jpg</t>
        </is>
      </c>
      <c r="C4207" s="2" t="str">
        <f>=HYPERLINK("https://xhslink.com/m/67fLIu0BbZ9", "https://xhslink.com/m/67fLIu0BbZ9")</f>
        <v>https://xhslink.com/m/67fLIu0BbZ9</v>
      </c>
      <c r="D4207"/>
      <c r="E4207">
        <v>521</v>
      </c>
      <c r="F4207">
        <v>298</v>
      </c>
      <c r="G4207">
        <v>198</v>
      </c>
      <c r="H4207">
        <v>100</v>
      </c>
      <c r="I4207" t="inlineStr">
        <is>
          <t>AI硬件</t>
        </is>
      </c>
      <c r="J4207" t="inlineStr">
        <is>
          <t>0.19</t>
        </is>
      </c>
      <c r="K4207" t="inlineStr">
        <is>
          <t>🔥低粉爆款</t>
        </is>
      </c>
      <c r="L4207" t="inlineStr">
        <is>
          <t>华强北智能数码商城的店</t>
        </is>
      </c>
      <c r="M4207">
        <v>14</v>
      </c>
      <c r="N4207">
        <v>3.83</v>
      </c>
      <c r="O4207">
        <v>513</v>
      </c>
      <c r="P4207" t="inlineStr">
        <is>
          <t>69ccf999c8c733000131920a</t>
        </is>
      </c>
      <c r="Q4207"/>
      <c r="R4207" t="inlineStr">
        <is>
          <t>15周</t>
        </is>
      </c>
      <c r="S4207" t="inlineStr">
        <is>
          <t>37.21</t>
        </is>
      </c>
      <c r="T4207" t="inlineStr">
        <is>
          <t>数码家电</t>
        </is>
      </c>
      <c r="U4207" t="inlineStr">
        <is>
          <t>数码配件</t>
        </is>
      </c>
      <c r="V4207" s="3">
        <v>46124.971342592595</v>
      </c>
      <c r="W4207" t="inlineStr">
        <is>
          <t>2026-Q2</t>
        </is>
      </c>
    </row>
    <row r="4208" ht="25.5" customHeight="1">
      <c r="A4208" t="inlineStr">
        <is>
          <t>【前1000单特价】双面磁吸手机支架大全合金材质桌面支架赠磁吸环</t>
        </is>
      </c>
      <c r="B4208" t="inlineStr">
        <is>
          <t>__upload_recvgAET7xhcwA.jpg</t>
        </is>
      </c>
      <c r="C4208" s="2" t="str">
        <f>=HYPERLINK("https://xhslink.com/m/5tdzTE57MpP", "https://xhslink.com/m/5tdzTE57MpP")</f>
        <v>https://xhslink.com/m/5tdzTE57MpP</v>
      </c>
      <c r="D4208"/>
      <c r="E4208">
        <v>19000</v>
      </c>
      <c r="F4208">
        <v>32.9</v>
      </c>
      <c r="G4208">
        <v>31.9</v>
      </c>
      <c r="H4208">
        <v>100</v>
      </c>
      <c r="I4208" t="inlineStr">
        <is>
          <t>手机支架</t>
        </is>
      </c>
      <c r="J4208" t="inlineStr">
        <is>
          <t>0.01</t>
        </is>
      </c>
      <c r="K4208" t="inlineStr">
        <is>
          <t>🔥低粉爆款</t>
        </is>
      </c>
      <c r="L4208" t="inlineStr">
        <is>
          <t>Hi-Tech的店</t>
        </is>
      </c>
      <c r="M4208">
        <v>418</v>
      </c>
      <c r="N4208">
        <v>4.55</v>
      </c>
      <c r="O4208">
        <v>20000</v>
      </c>
      <c r="P4208" t="inlineStr">
        <is>
          <t>68cec0b739f90c00012567a6</t>
        </is>
      </c>
      <c r="Q4208" t="inlineStr">
        <is>
          <t>🚫重复</t>
        </is>
      </c>
      <c r="R4208" t="inlineStr">
        <is>
          <t>15周</t>
        </is>
      </c>
      <c r="S4208" t="inlineStr">
        <is>
          <t>45.45</t>
        </is>
      </c>
      <c r="T4208" t="inlineStr">
        <is>
          <t>数码家电</t>
        </is>
      </c>
      <c r="U4208" t="inlineStr">
        <is>
          <t>数码配件</t>
        </is>
      </c>
      <c r="V4208" s="3">
        <v>46124.971342592595</v>
      </c>
      <c r="W4208" t="inlineStr">
        <is>
          <t>2026-Q2</t>
        </is>
      </c>
    </row>
    <row r="4209" ht="25.5" customHeight="1">
      <c r="A4209" t="inlineStr">
        <is>
          <t>【加长款正肩短袖】全棉100%棉T恤女夏季合身百搭显瘦t恤设</t>
        </is>
      </c>
      <c r="B4209" t="inlineStr">
        <is>
          <t>__upload_recvgAET7xBbbv.jpg</t>
        </is>
      </c>
      <c r="C4209" s="2" t="str">
        <f>=HYPERLINK("https://xhslink.com/m/ATPpPOxO6o0", "https://xhslink.com/m/ATPpPOxO6o0")</f>
        <v>https://xhslink.com/m/ATPpPOxO6o0</v>
      </c>
      <c r="D4209"/>
      <c r="E4209">
        <v>9594</v>
      </c>
      <c r="F4209">
        <v>39.9</v>
      </c>
      <c r="G4209"/>
      <c r="H4209">
        <v>100</v>
      </c>
      <c r="I4209" t="inlineStr">
        <is>
          <t>T恤</t>
        </is>
      </c>
      <c r="J4209" t="inlineStr">
        <is>
          <t>0.01</t>
        </is>
      </c>
      <c r="K4209"/>
      <c r="L4209" t="inlineStr">
        <is>
          <t>ootxjsh的店</t>
        </is>
      </c>
      <c r="M4209">
        <v>7719</v>
      </c>
      <c r="N4209">
        <v>4.6</v>
      </c>
      <c r="O4209">
        <v>46000</v>
      </c>
      <c r="P4209" t="inlineStr">
        <is>
          <t>667bf1fee4a0010001d08bfe</t>
        </is>
      </c>
      <c r="Q4209" t="inlineStr">
        <is>
          <t>🚫重复</t>
        </is>
      </c>
      <c r="R4209" t="inlineStr">
        <is>
          <t>15周</t>
        </is>
      </c>
      <c r="S4209" t="inlineStr">
        <is>
          <t>1.24</t>
        </is>
      </c>
      <c r="T4209" t="inlineStr">
        <is>
          <t>服饰穿搭</t>
        </is>
      </c>
      <c r="U4209" t="inlineStr">
        <is>
          <t>女装</t>
        </is>
      </c>
      <c r="V4209" s="3">
        <v>46124.971342592595</v>
      </c>
      <c r="W4209" t="inlineStr">
        <is>
          <t>2026-Q2</t>
        </is>
      </c>
    </row>
    <row r="4210" ht="25.5" customHeight="1">
      <c r="A4210" t="inlineStr">
        <is>
          <t>【即将恢复39.9】正肩修身显瘦基础款纯棉T恤女百搭长袖打底衫</t>
        </is>
      </c>
      <c r="B4210" t="inlineStr">
        <is>
          <t>__upload_recvgAET7xvhvf.jpg</t>
        </is>
      </c>
      <c r="C4210" s="2" t="str">
        <f>=HYPERLINK("https://xhslink.com/m/AAMRV4XkkmC", "https://xhslink.com/m/AAMRV4XkkmC")</f>
        <v>https://xhslink.com/m/AAMRV4XkkmC</v>
      </c>
      <c r="D4210"/>
      <c r="E4210">
        <v>22000</v>
      </c>
      <c r="F4210">
        <v>49.9</v>
      </c>
      <c r="G4210">
        <v>29.9</v>
      </c>
      <c r="H4210">
        <v>100</v>
      </c>
      <c r="I4210" t="inlineStr">
        <is>
          <t>T恤</t>
        </is>
      </c>
      <c r="J4210" t="inlineStr">
        <is>
          <t>0.00</t>
        </is>
      </c>
      <c r="K4210" t="inlineStr">
        <is>
          <t>🔥低粉爆款</t>
        </is>
      </c>
      <c r="L4210" t="inlineStr">
        <is>
          <t>散步路过试衣间的店</t>
        </is>
      </c>
      <c r="M4210">
        <v>2357</v>
      </c>
      <c r="N4210">
        <v>4.71</v>
      </c>
      <c r="O4210">
        <v>49000</v>
      </c>
      <c r="P4210" t="inlineStr">
        <is>
          <t>68da2f1f3f37a90001f9b10c</t>
        </is>
      </c>
      <c r="Q4210" t="inlineStr">
        <is>
          <t>🚫重复</t>
        </is>
      </c>
      <c r="R4210" t="inlineStr">
        <is>
          <t>15周</t>
        </is>
      </c>
      <c r="S4210" t="inlineStr">
        <is>
          <t>9.33</t>
        </is>
      </c>
      <c r="T4210" t="inlineStr">
        <is>
          <t>服饰穿搭</t>
        </is>
      </c>
      <c r="U4210" t="inlineStr">
        <is>
          <t>女装</t>
        </is>
      </c>
      <c r="V4210" s="3">
        <v>46124.971342592595</v>
      </c>
      <c r="W4210" t="inlineStr">
        <is>
          <t>2026-Q2</t>
        </is>
      </c>
    </row>
    <row r="4211" ht="25.5" customHeight="1">
      <c r="A4211" t="inlineStr">
        <is>
          <t>欧货小衫正肩短袖t恤女2026夏季新款爆款纯棉半袖内搭打底衫ins</t>
        </is>
      </c>
      <c r="B4211" t="inlineStr">
        <is>
          <t>__upload_recvgAET7x8Vip.jpg</t>
        </is>
      </c>
      <c r="C4211" s="2" t="str">
        <f>=HYPERLINK("https://xhslink.com/m/2n7gWubIsB6", "https://xhslink.com/m/2n7gWubIsB6")</f>
        <v>https://xhslink.com/m/2n7gWubIsB6</v>
      </c>
      <c r="D4211"/>
      <c r="E4211">
        <v>8722</v>
      </c>
      <c r="F4211">
        <v>49.9</v>
      </c>
      <c r="G4211">
        <v>39.9</v>
      </c>
      <c r="H4211">
        <v>100</v>
      </c>
      <c r="I4211" t="inlineStr">
        <is>
          <t>T恤</t>
        </is>
      </c>
      <c r="J4211" t="inlineStr">
        <is>
          <t>0.01</t>
        </is>
      </c>
      <c r="K4211"/>
      <c r="L4211" t="inlineStr">
        <is>
          <t>XIAO桉家原创的店</t>
        </is>
      </c>
      <c r="M4211">
        <v>22000</v>
      </c>
      <c r="N4211">
        <v>4.64</v>
      </c>
      <c r="O4211">
        <v>173000</v>
      </c>
      <c r="P4211" t="inlineStr">
        <is>
          <t>69be75b2ca64b300017ba64d</t>
        </is>
      </c>
      <c r="Q4211" t="inlineStr">
        <is>
          <t>🚫重复</t>
        </is>
      </c>
      <c r="R4211" t="inlineStr">
        <is>
          <t>15周</t>
        </is>
      </c>
      <c r="S4211" t="inlineStr">
        <is>
          <t>0.40</t>
        </is>
      </c>
      <c r="T4211" t="inlineStr">
        <is>
          <t>服饰穿搭</t>
        </is>
      </c>
      <c r="U4211" t="inlineStr">
        <is>
          <t>女装</t>
        </is>
      </c>
      <c r="V4211" s="3">
        <v>46124.971342592595</v>
      </c>
      <c r="W4211" t="inlineStr">
        <is>
          <t>2026-Q2</t>
        </is>
      </c>
    </row>
    <row r="4212" ht="25.5" customHeight="1">
      <c r="A4212" t="inlineStr">
        <is>
          <t>ins博主纸片人长袖无锁边t恤女百搭打底衫 | 7621</t>
        </is>
      </c>
      <c r="B4212" t="inlineStr">
        <is>
          <t>__upload_recvgAET7xC9II.jpg</t>
        </is>
      </c>
      <c r="C4212" s="2" t="str">
        <f>=HYPERLINK("https://xhslink.com/m/1UKF8uI7GyZ", "https://xhslink.com/m/1UKF8uI7GyZ")</f>
        <v>https://xhslink.com/m/1UKF8uI7GyZ</v>
      </c>
      <c r="D4212"/>
      <c r="E4212">
        <v>15000</v>
      </c>
      <c r="F4212">
        <v>59</v>
      </c>
      <c r="G4212"/>
      <c r="H4212">
        <v>100</v>
      </c>
      <c r="I4212" t="inlineStr">
        <is>
          <t>T恤</t>
        </is>
      </c>
      <c r="J4212" t="inlineStr">
        <is>
          <t>0.01</t>
        </is>
      </c>
      <c r="K4212"/>
      <c r="L4212" t="inlineStr">
        <is>
          <t>一只圆目的店</t>
        </is>
      </c>
      <c r="M4212">
        <v>31000</v>
      </c>
      <c r="N4212">
        <v>4.6</v>
      </c>
      <c r="O4212">
        <v>234000</v>
      </c>
      <c r="P4212" t="inlineStr">
        <is>
          <t>669fcd48aebc470001f264e8</t>
        </is>
      </c>
      <c r="Q4212" t="inlineStr">
        <is>
          <t>🚫重复</t>
        </is>
      </c>
      <c r="R4212" t="inlineStr">
        <is>
          <t>15周</t>
        </is>
      </c>
      <c r="S4212" t="inlineStr">
        <is>
          <t>0.48</t>
        </is>
      </c>
      <c r="T4212" t="inlineStr">
        <is>
          <t>服饰穿搭</t>
        </is>
      </c>
      <c r="U4212" t="inlineStr">
        <is>
          <t>女装</t>
        </is>
      </c>
      <c r="V4212" s="3">
        <v>46124.971342592595</v>
      </c>
      <c r="W4212" t="inlineStr">
        <is>
          <t>2026-Q2</t>
        </is>
      </c>
    </row>
    <row r="4213" ht="25.5" customHeight="1">
      <c r="A4213" t="inlineStr">
        <is>
          <t>其他 · 2026夏季新款美式星星豹纹纯棉重磅宽松情侣短袖T恤印花上衣女</t>
        </is>
      </c>
      <c r="B4213" t="inlineStr">
        <is>
          <t>__upload_recvgAET7xelPJ.jpg</t>
        </is>
      </c>
      <c r="C4213" s="2" t="str">
        <f>=HYPERLINK("https://xhslink.com/m/5HiZu3mdNgx", "https://xhslink.com/m/5HiZu3mdNgx")</f>
        <v>https://xhslink.com/m/5HiZu3mdNgx</v>
      </c>
      <c r="D4213"/>
      <c r="E4213">
        <v>3687</v>
      </c>
      <c r="F4213">
        <v>35.9</v>
      </c>
      <c r="G4213">
        <v>26.7</v>
      </c>
      <c r="H4213">
        <v>100</v>
      </c>
      <c r="I4213" t="inlineStr">
        <is>
          <t>T恤</t>
        </is>
      </c>
      <c r="J4213" t="inlineStr">
        <is>
          <t>0.03</t>
        </is>
      </c>
      <c r="K4213" t="inlineStr">
        <is>
          <t>🔥低粉爆款</t>
        </is>
      </c>
      <c r="L4213" t="inlineStr">
        <is>
          <t>M'S美式线上商店的店</t>
        </is>
      </c>
      <c r="M4213">
        <v>1218</v>
      </c>
      <c r="N4213">
        <v>4.64</v>
      </c>
      <c r="O4213">
        <v>13000</v>
      </c>
      <c r="P4213" t="inlineStr">
        <is>
          <t>699bf92f28de7400157a5e9d</t>
        </is>
      </c>
      <c r="Q4213" t="inlineStr">
        <is>
          <t>🚫重复</t>
        </is>
      </c>
      <c r="R4213" t="inlineStr">
        <is>
          <t>15周</t>
        </is>
      </c>
      <c r="S4213" t="inlineStr">
        <is>
          <t>3.03</t>
        </is>
      </c>
      <c r="T4213" t="inlineStr">
        <is>
          <t>服饰穿搭</t>
        </is>
      </c>
      <c r="U4213" t="inlineStr">
        <is>
          <t>女装</t>
        </is>
      </c>
      <c r="V4213" s="3">
        <v>46124.971342592595</v>
      </c>
      <c r="W4213" t="inlineStr">
        <is>
          <t>2026-Q2</t>
        </is>
      </c>
    </row>
    <row r="4214" ht="25.5" customHeight="1">
      <c r="A4214" t="inlineStr">
        <is>
          <t>纯棉猫咪短袖原创简约风男女宽松显瘦T恤平价百搭夏季新款上衣潮</t>
        </is>
      </c>
      <c r="B4214" t="inlineStr">
        <is>
          <t>__upload_recvgAET7xMNHP.jpg</t>
        </is>
      </c>
      <c r="C4214" s="2" t="str">
        <f>=HYPERLINK("https://xhslink.com/m/J45R8hqtns", "https://xhslink.com/m/J45R8hqtns")</f>
        <v>https://xhslink.com/m/J45R8hqtns</v>
      </c>
      <c r="D4214"/>
      <c r="E4214">
        <v>11000</v>
      </c>
      <c r="F4214">
        <v>35.9</v>
      </c>
      <c r="G4214">
        <v>34.9</v>
      </c>
      <c r="H4214">
        <v>100</v>
      </c>
      <c r="I4214" t="inlineStr">
        <is>
          <t>T恤</t>
        </is>
      </c>
      <c r="J4214" t="inlineStr">
        <is>
          <t>0.01</t>
        </is>
      </c>
      <c r="K4214"/>
      <c r="L4214" t="inlineStr">
        <is>
          <t>HSYE原创工作室的店</t>
        </is>
      </c>
      <c r="M4214">
        <v>86000</v>
      </c>
      <c r="N4214">
        <v>4.69</v>
      </c>
      <c r="O4214">
        <v>468000</v>
      </c>
      <c r="P4214" t="inlineStr">
        <is>
          <t>662c5b4b9caea10001f117b8</t>
        </is>
      </c>
      <c r="Q4214" t="inlineStr">
        <is>
          <t>🚫重复</t>
        </is>
      </c>
      <c r="R4214" t="inlineStr">
        <is>
          <t>15周</t>
        </is>
      </c>
      <c r="S4214" t="inlineStr">
        <is>
          <t>0.13</t>
        </is>
      </c>
      <c r="T4214" t="inlineStr">
        <is>
          <t>服饰穿搭</t>
        </is>
      </c>
      <c r="U4214" t="inlineStr">
        <is>
          <t>女装</t>
        </is>
      </c>
      <c r="V4214" s="3">
        <v>46124.971342592595</v>
      </c>
      <c r="W4214" t="inlineStr">
        <is>
          <t>2026-Q2</t>
        </is>
      </c>
    </row>
    <row r="4215" ht="25.5" customHeight="1">
      <c r="A4215" t="inlineStr">
        <is>
          <t>夏季新款 正肩圆领短袖内搭白色修身T恤女收腰显瘦棉上衣百搭</t>
        </is>
      </c>
      <c r="B4215" t="inlineStr">
        <is>
          <t>__upload_recvgAET7xt8w2.jpg</t>
        </is>
      </c>
      <c r="C4215" s="2" t="str">
        <f>=HYPERLINK("https://xhslink.com/m/8yX46Fq5htW", "https://xhslink.com/m/8yX46Fq5htW")</f>
        <v>https://xhslink.com/m/8yX46Fq5htW</v>
      </c>
      <c r="D4215"/>
      <c r="E4215">
        <v>8769</v>
      </c>
      <c r="F4215">
        <v>69.9</v>
      </c>
      <c r="G4215"/>
      <c r="H4215">
        <v>100</v>
      </c>
      <c r="I4215" t="inlineStr">
        <is>
          <t>T恤</t>
        </is>
      </c>
      <c r="J4215" t="inlineStr">
        <is>
          <t>0.01</t>
        </is>
      </c>
      <c r="K4215"/>
      <c r="L4215" t="inlineStr">
        <is>
          <t>是酥酥糖耶～的店</t>
        </is>
      </c>
      <c r="M4215">
        <v>10000</v>
      </c>
      <c r="N4215">
        <v>4.61</v>
      </c>
      <c r="O4215">
        <v>165000</v>
      </c>
      <c r="P4215" t="inlineStr">
        <is>
          <t>67e00f15132df9000150944d</t>
        </is>
      </c>
      <c r="Q4215" t="inlineStr">
        <is>
          <t>🚫重复</t>
        </is>
      </c>
      <c r="R4215" t="inlineStr">
        <is>
          <t>15周</t>
        </is>
      </c>
      <c r="S4215" t="inlineStr">
        <is>
          <t>0.88</t>
        </is>
      </c>
      <c r="T4215" t="inlineStr">
        <is>
          <t>服饰穿搭</t>
        </is>
      </c>
      <c r="U4215" t="inlineStr">
        <is>
          <t>女装</t>
        </is>
      </c>
      <c r="V4215" s="3">
        <v>46124.971342592595</v>
      </c>
      <c r="W4215" t="inlineStr">
        <is>
          <t>2026-Q2</t>
        </is>
      </c>
    </row>
    <row r="4216" ht="25.5" customHeight="1">
      <c r="A4216" t="inlineStr">
        <is>
          <t>简约字母印花夏季2026新款正肩短袖T恤小清新学院风百搭上衣ins潮</t>
        </is>
      </c>
      <c r="B4216" t="inlineStr">
        <is>
          <t>__upload_recvgAET7xSn55.jpg</t>
        </is>
      </c>
      <c r="C4216" s="2" t="str">
        <f>=HYPERLINK("https://xhslink.com/m/AyAmA88tAPz", "https://xhslink.com/m/AyAmA88tAPz")</f>
        <v>https://xhslink.com/m/AyAmA88tAPz</v>
      </c>
      <c r="D4216"/>
      <c r="E4216">
        <v>2131</v>
      </c>
      <c r="F4216">
        <v>39.9</v>
      </c>
      <c r="G4216">
        <v>29.9</v>
      </c>
      <c r="H4216">
        <v>100</v>
      </c>
      <c r="I4216" t="inlineStr">
        <is>
          <t>T恤</t>
        </is>
      </c>
      <c r="J4216" t="inlineStr">
        <is>
          <t>0.05</t>
        </is>
      </c>
      <c r="K4216"/>
      <c r="L4216" t="inlineStr">
        <is>
          <t>葵秋潮牌的店</t>
        </is>
      </c>
      <c r="M4216">
        <v>54000</v>
      </c>
      <c r="N4216">
        <v>4.64</v>
      </c>
      <c r="O4216">
        <v>417000</v>
      </c>
      <c r="P4216" t="inlineStr">
        <is>
          <t>6855b5e4902834000196b7a6</t>
        </is>
      </c>
      <c r="Q4216" t="inlineStr">
        <is>
          <t>🚫重复</t>
        </is>
      </c>
      <c r="R4216" t="inlineStr">
        <is>
          <t>15周</t>
        </is>
      </c>
      <c r="S4216" t="inlineStr">
        <is>
          <t>0.04</t>
        </is>
      </c>
      <c r="T4216" t="inlineStr">
        <is>
          <t>服饰穿搭</t>
        </is>
      </c>
      <c r="U4216" t="inlineStr">
        <is>
          <t>女装</t>
        </is>
      </c>
      <c r="V4216" s="3">
        <v>46124.971342592595</v>
      </c>
      <c r="W4216" t="inlineStr">
        <is>
          <t>2026-Q2</t>
        </is>
      </c>
    </row>
    <row r="4217" ht="25.5" customHeight="1">
      <c r="A4217" t="inlineStr">
        <is>
          <t>夏季潮牌短袖可爱趣味小猫图案刺绣重工艺T恤男女情侣同款ins上衣</t>
        </is>
      </c>
      <c r="B4217" t="inlineStr">
        <is>
          <t>__upload_recvgAET7xWo1R.jpg</t>
        </is>
      </c>
      <c r="C4217" s="2" t="str">
        <f>=HYPERLINK("https://xhslink.com/m/1ggCXBlnqkq", "https://xhslink.com/m/1ggCXBlnqkq")</f>
        <v>https://xhslink.com/m/1ggCXBlnqkq</v>
      </c>
      <c r="D4217"/>
      <c r="E4217">
        <v>4476</v>
      </c>
      <c r="F4217">
        <v>79.9</v>
      </c>
      <c r="G4217">
        <v>49.9</v>
      </c>
      <c r="H4217">
        <v>100</v>
      </c>
      <c r="I4217" t="inlineStr">
        <is>
          <t>T恤</t>
        </is>
      </c>
      <c r="J4217" t="inlineStr">
        <is>
          <t>0.02</t>
        </is>
      </c>
      <c r="K4217"/>
      <c r="L4217" t="inlineStr">
        <is>
          <t>ToTonGZ线上商店的店</t>
        </is>
      </c>
      <c r="M4217">
        <v>56000</v>
      </c>
      <c r="N4217">
        <v>4.59</v>
      </c>
      <c r="O4217">
        <v>144000</v>
      </c>
      <c r="P4217" t="inlineStr">
        <is>
          <t>68275af78ee7ed00019302a5</t>
        </is>
      </c>
      <c r="Q4217"/>
      <c r="R4217" t="inlineStr">
        <is>
          <t>15周</t>
        </is>
      </c>
      <c r="S4217" t="inlineStr">
        <is>
          <t>0.08</t>
        </is>
      </c>
      <c r="T4217" t="inlineStr">
        <is>
          <t>服饰穿搭</t>
        </is>
      </c>
      <c r="U4217" t="inlineStr">
        <is>
          <t>女装</t>
        </is>
      </c>
      <c r="V4217" s="3">
        <v>46124.971342592595</v>
      </c>
      <c r="W4217" t="inlineStr">
        <is>
          <t>2026-Q2</t>
        </is>
      </c>
    </row>
    <row r="4218" ht="25.5" customHeight="1">
      <c r="A4218" t="inlineStr">
        <is>
          <t>wdv · 手绘英文印花白色简约正肩短袖T恤纯棉夏季百搭小个子通勤上衣ins</t>
        </is>
      </c>
      <c r="B4218" t="inlineStr">
        <is>
          <t>__upload_recvgAET7xAW2l.jpg</t>
        </is>
      </c>
      <c r="C4218" s="2" t="str">
        <f>=HYPERLINK("https://xhslink.com/m/4iQDW8tkArJ", "https://xhslink.com/m/4iQDW8tkArJ")</f>
        <v>https://xhslink.com/m/4iQDW8tkArJ</v>
      </c>
      <c r="D4218"/>
      <c r="E4218">
        <v>1177</v>
      </c>
      <c r="F4218">
        <v>39.9</v>
      </c>
      <c r="G4218">
        <v>35.9</v>
      </c>
      <c r="H4218">
        <v>100</v>
      </c>
      <c r="I4218" t="inlineStr">
        <is>
          <t>T恤</t>
        </is>
      </c>
      <c r="J4218" t="inlineStr">
        <is>
          <t>0.08</t>
        </is>
      </c>
      <c r="K4218"/>
      <c r="L4218" t="inlineStr">
        <is>
          <t>wdv服饰旗舰店</t>
        </is>
      </c>
      <c r="M4218">
        <v>2044</v>
      </c>
      <c r="N4218">
        <v>4.54</v>
      </c>
      <c r="O4218">
        <v>19000</v>
      </c>
      <c r="P4218" t="inlineStr">
        <is>
          <t>68b1576711843c0001d3ad2c</t>
        </is>
      </c>
      <c r="Q4218" t="inlineStr">
        <is>
          <t>🚫重复</t>
        </is>
      </c>
      <c r="R4218" t="inlineStr">
        <is>
          <t>15周</t>
        </is>
      </c>
      <c r="S4218" t="inlineStr">
        <is>
          <t>0.58</t>
        </is>
      </c>
      <c r="T4218" t="inlineStr">
        <is>
          <t>服饰穿搭</t>
        </is>
      </c>
      <c r="U4218" t="inlineStr">
        <is>
          <t>女装</t>
        </is>
      </c>
      <c r="V4218" s="3">
        <v>46124.971342592595</v>
      </c>
      <c r="W4218" t="inlineStr">
        <is>
          <t>2026-Q2</t>
        </is>
      </c>
    </row>
    <row r="4219" ht="25.5" customHeight="1">
      <c r="A4219" t="inlineStr">
        <is>
          <t>【店主挚爱】 U领棉质系列正肩掐腰修身显瘦新款短袖T恤</t>
        </is>
      </c>
      <c r="B4219" t="inlineStr">
        <is>
          <t>__upload_recvgAET7xPj2v.jpg</t>
        </is>
      </c>
      <c r="C4219" s="2" t="str">
        <f>=HYPERLINK("https://xhslink.com/m/5hgzOxGh5ln", "https://xhslink.com/m/5hgzOxGh5ln")</f>
        <v>https://xhslink.com/m/5hgzOxGh5ln</v>
      </c>
      <c r="D4219"/>
      <c r="E4219">
        <v>6322</v>
      </c>
      <c r="F4219">
        <v>125</v>
      </c>
      <c r="G4219">
        <v>69</v>
      </c>
      <c r="H4219">
        <v>100</v>
      </c>
      <c r="I4219" t="inlineStr">
        <is>
          <t>T恤</t>
        </is>
      </c>
      <c r="J4219" t="inlineStr">
        <is>
          <t>0.02</t>
        </is>
      </c>
      <c r="K4219"/>
      <c r="L4219" t="inlineStr">
        <is>
          <t>李子宸li的店</t>
        </is>
      </c>
      <c r="M4219">
        <v>3515</v>
      </c>
      <c r="N4219">
        <v>4.71</v>
      </c>
      <c r="O4219">
        <v>22000</v>
      </c>
      <c r="P4219" t="inlineStr">
        <is>
          <t>67ceb4924a59360001ae32bd</t>
        </is>
      </c>
      <c r="Q4219"/>
      <c r="R4219" t="inlineStr">
        <is>
          <t>15周</t>
        </is>
      </c>
      <c r="S4219" t="inlineStr">
        <is>
          <t>1.80</t>
        </is>
      </c>
      <c r="T4219" t="inlineStr">
        <is>
          <t>服饰穿搭</t>
        </is>
      </c>
      <c r="U4219" t="inlineStr">
        <is>
          <t>女装</t>
        </is>
      </c>
      <c r="V4219" s="3">
        <v>46124.971342592595</v>
      </c>
      <c r="W4219" t="inlineStr">
        <is>
          <t>2026-Q2</t>
        </is>
      </c>
    </row>
    <row r="4220" ht="25.5" customHeight="1">
      <c r="A4220" t="inlineStr">
        <is>
          <t>wdv · 原创设计感蓝色印花纯棉短袖宽松正肩T恤夏装百搭白色圆领上衣</t>
        </is>
      </c>
      <c r="B4220" t="inlineStr">
        <is>
          <t>__upload_recvgAET7xZNLl.jpg</t>
        </is>
      </c>
      <c r="C4220" s="2" t="str">
        <f>=HYPERLINK("https://xhslink.com/m/nefjukwE0a", "https://xhslink.com/m/nefjukwE0a")</f>
        <v>https://xhslink.com/m/nefjukwE0a</v>
      </c>
      <c r="D4220"/>
      <c r="E4220">
        <v>3257</v>
      </c>
      <c r="F4220">
        <v>39.9</v>
      </c>
      <c r="G4220">
        <v>35.9</v>
      </c>
      <c r="H4220">
        <v>100</v>
      </c>
      <c r="I4220" t="inlineStr">
        <is>
          <t>T恤</t>
        </is>
      </c>
      <c r="J4220" t="inlineStr">
        <is>
          <t>0.03</t>
        </is>
      </c>
      <c r="K4220"/>
      <c r="L4220" t="inlineStr">
        <is>
          <t>wdv服饰旗舰店</t>
        </is>
      </c>
      <c r="M4220">
        <v>2044</v>
      </c>
      <c r="N4220">
        <v>4.54</v>
      </c>
      <c r="O4220">
        <v>19000</v>
      </c>
      <c r="P4220" t="inlineStr">
        <is>
          <t>69a3f106f94fab000187914f</t>
        </is>
      </c>
      <c r="Q4220" t="inlineStr">
        <is>
          <t>🚫重复</t>
        </is>
      </c>
      <c r="R4220" t="inlineStr">
        <is>
          <t>15周</t>
        </is>
      </c>
      <c r="S4220" t="inlineStr">
        <is>
          <t>1.59</t>
        </is>
      </c>
      <c r="T4220" t="inlineStr">
        <is>
          <t>服饰穿搭</t>
        </is>
      </c>
      <c r="U4220" t="inlineStr">
        <is>
          <t>女装</t>
        </is>
      </c>
      <c r="V4220" s="3">
        <v>46124.971342592595</v>
      </c>
      <c r="W4220" t="inlineStr">
        <is>
          <t>2026-Q2</t>
        </is>
      </c>
    </row>
    <row r="4221" ht="25.5" customHeight="1">
      <c r="A4221" t="inlineStr">
        <is>
          <t>版型超好，巨巨巨显瘦！松弛感大V领短袖T恤女慵懒休闲上衣</t>
        </is>
      </c>
      <c r="B4221" t="inlineStr">
        <is>
          <t>__upload_recvgAET7xROJ8.jpg</t>
        </is>
      </c>
      <c r="C4221" s="2" t="str">
        <f>=HYPERLINK("https://xhslink.com/m/EyNu6uGSmG", "https://xhslink.com/m/EyNu6uGSmG")</f>
        <v>https://xhslink.com/m/EyNu6uGSmG</v>
      </c>
      <c r="D4221"/>
      <c r="E4221">
        <v>4537</v>
      </c>
      <c r="F4221">
        <v>39.9</v>
      </c>
      <c r="G4221"/>
      <c r="H4221">
        <v>100</v>
      </c>
      <c r="I4221" t="inlineStr">
        <is>
          <t>T恤</t>
        </is>
      </c>
      <c r="J4221" t="inlineStr">
        <is>
          <t>0.02</t>
        </is>
      </c>
      <c r="K4221" t="inlineStr">
        <is>
          <t>🔥低粉爆款</t>
        </is>
      </c>
      <c r="L4221" t="inlineStr">
        <is>
          <t>SeeCi-7的店</t>
        </is>
      </c>
      <c r="M4221">
        <v>1052</v>
      </c>
      <c r="N4221">
        <v>4.62</v>
      </c>
      <c r="O4221">
        <v>5533</v>
      </c>
      <c r="P4221" t="inlineStr">
        <is>
          <t>68c65d930201ec0001546c06</t>
        </is>
      </c>
      <c r="Q4221" t="inlineStr">
        <is>
          <t>🚫重复</t>
        </is>
      </c>
      <c r="R4221" t="inlineStr">
        <is>
          <t>15周</t>
        </is>
      </c>
      <c r="S4221" t="inlineStr">
        <is>
          <t>4.31</t>
        </is>
      </c>
      <c r="T4221" t="inlineStr">
        <is>
          <t>服饰穿搭</t>
        </is>
      </c>
      <c r="U4221" t="inlineStr">
        <is>
          <t>女装</t>
        </is>
      </c>
      <c r="V4221" s="3">
        <v>46124.971342592595</v>
      </c>
      <c r="W4221" t="inlineStr">
        <is>
          <t>2026-Q2</t>
        </is>
      </c>
    </row>
    <row r="4222" ht="25.5" customHeight="1">
      <c r="A4222" t="inlineStr">
        <is>
          <t>奶黄色V领短袖T恤女2026夏季新款褶皱收腰甜辣妹短款POLO领上衣女</t>
        </is>
      </c>
      <c r="B4222" t="inlineStr">
        <is>
          <t>__upload_recvgAET7x0aq3.jpg</t>
        </is>
      </c>
      <c r="C4222" s="2" t="str">
        <f>=HYPERLINK("https://xhslink.com/m/AOuHt7T92Ey", "https://xhslink.com/m/AOuHt7T92Ey")</f>
        <v>https://xhslink.com/m/AOuHt7T92Ey</v>
      </c>
      <c r="D4222"/>
      <c r="E4222">
        <v>4061</v>
      </c>
      <c r="F4222">
        <v>49.9</v>
      </c>
      <c r="G4222">
        <v>39.9</v>
      </c>
      <c r="H4222">
        <v>100</v>
      </c>
      <c r="I4222" t="inlineStr">
        <is>
          <t>T恤</t>
        </is>
      </c>
      <c r="J4222" t="inlineStr">
        <is>
          <t>0.02</t>
        </is>
      </c>
      <c r="K4222"/>
      <c r="L4222" t="inlineStr">
        <is>
          <t>XIAO桉家原创的店</t>
        </is>
      </c>
      <c r="M4222">
        <v>22000</v>
      </c>
      <c r="N4222">
        <v>4.64</v>
      </c>
      <c r="O4222">
        <v>173000</v>
      </c>
      <c r="P4222" t="inlineStr">
        <is>
          <t>69bbb831e6196b0001b4c3c9</t>
        </is>
      </c>
      <c r="Q4222" t="inlineStr">
        <is>
          <t>🚫重复</t>
        </is>
      </c>
      <c r="R4222" t="inlineStr">
        <is>
          <t>15周</t>
        </is>
      </c>
      <c r="S4222" t="inlineStr">
        <is>
          <t>0.18</t>
        </is>
      </c>
      <c r="T4222" t="inlineStr">
        <is>
          <t>服饰穿搭</t>
        </is>
      </c>
      <c r="U4222" t="inlineStr">
        <is>
          <t>女装</t>
        </is>
      </c>
      <c r="V4222" s="3">
        <v>46124.971342592595</v>
      </c>
      <c r="W4222" t="inlineStr">
        <is>
          <t>2026-Q2</t>
        </is>
      </c>
    </row>
    <row r="4223" ht="25.5" customHeight="1">
      <c r="A4223" t="inlineStr">
        <is>
          <t>美式高街设计感小众字母印花白灰色短袖T恤女夏季百搭宽松上衣服</t>
        </is>
      </c>
      <c r="B4223" t="inlineStr">
        <is>
          <t>__upload_recvgAET7xCMhF.jpg</t>
        </is>
      </c>
      <c r="C4223" s="2" t="str">
        <f>=HYPERLINK("https://xhslink.com/m/3NfyIjUvUm9", "https://xhslink.com/m/3NfyIjUvUm9")</f>
        <v>https://xhslink.com/m/3NfyIjUvUm9</v>
      </c>
      <c r="D4223"/>
      <c r="E4223">
        <v>3018</v>
      </c>
      <c r="F4223">
        <v>30.8</v>
      </c>
      <c r="G4223">
        <v>28.8</v>
      </c>
      <c r="H4223">
        <v>100</v>
      </c>
      <c r="I4223" t="inlineStr">
        <is>
          <t>T恤</t>
        </is>
      </c>
      <c r="J4223" t="inlineStr">
        <is>
          <t>0.03</t>
        </is>
      </c>
      <c r="K4223"/>
      <c r="L4223" t="inlineStr">
        <is>
          <t>XIAO詹原创工作室的店</t>
        </is>
      </c>
      <c r="M4223">
        <v>530000</v>
      </c>
      <c r="N4223">
        <v>4.58</v>
      </c>
      <c r="O4223">
        <v>1844000</v>
      </c>
      <c r="P4223" t="inlineStr">
        <is>
          <t>684968b5fab3990001c647ca</t>
        </is>
      </c>
      <c r="Q4223" t="inlineStr">
        <is>
          <t>🚫重复</t>
        </is>
      </c>
      <c r="R4223" t="inlineStr">
        <is>
          <t>15周</t>
        </is>
      </c>
      <c r="S4223" t="inlineStr">
        <is>
          <t>0.01</t>
        </is>
      </c>
      <c r="T4223" t="inlineStr">
        <is>
          <t>服饰穿搭</t>
        </is>
      </c>
      <c r="U4223" t="inlineStr">
        <is>
          <t>女装</t>
        </is>
      </c>
      <c r="V4223" s="3">
        <v>46124.971342592595</v>
      </c>
      <c r="W4223" t="inlineStr">
        <is>
          <t>2026-Q2</t>
        </is>
      </c>
    </row>
    <row r="4224" ht="25.5" customHeight="1">
      <c r="A4224" t="inlineStr">
        <is>
          <t>经典华夫格保持干爽透气运动长袖T恤卫衣休闲圆领打底衫秋冬男士</t>
        </is>
      </c>
      <c r="B4224" t="inlineStr">
        <is>
          <t>__upload_recvgAET7xWhcj.jpg</t>
        </is>
      </c>
      <c r="C4224" s="2" t="str">
        <f>=HYPERLINK("https://xhslink.com/m/4buytFpQSB3", "https://xhslink.com/m/4buytFpQSB3")</f>
        <v>https://xhslink.com/m/4buytFpQSB3</v>
      </c>
      <c r="D4224"/>
      <c r="E4224">
        <v>1842</v>
      </c>
      <c r="F4224">
        <v>49.9</v>
      </c>
      <c r="G4224"/>
      <c r="H4224">
        <v>100</v>
      </c>
      <c r="I4224" t="inlineStr">
        <is>
          <t>T恤</t>
        </is>
      </c>
      <c r="J4224" t="inlineStr">
        <is>
          <t>0.05</t>
        </is>
      </c>
      <c r="K4224"/>
      <c r="L4224" t="inlineStr">
        <is>
          <t>阿呜穿搭的店</t>
        </is>
      </c>
      <c r="M4224">
        <v>10000</v>
      </c>
      <c r="N4224">
        <v>4.49</v>
      </c>
      <c r="O4224">
        <v>43000</v>
      </c>
      <c r="P4224" t="inlineStr">
        <is>
          <t>69b28bd199f8fe000108e1b3</t>
        </is>
      </c>
      <c r="Q4224" t="inlineStr">
        <is>
          <t>🚫重复</t>
        </is>
      </c>
      <c r="R4224" t="inlineStr">
        <is>
          <t>15周</t>
        </is>
      </c>
      <c r="S4224" t="inlineStr">
        <is>
          <t>0.18</t>
        </is>
      </c>
      <c r="T4224" t="inlineStr">
        <is>
          <t>服饰穿搭</t>
        </is>
      </c>
      <c r="U4224" t="inlineStr">
        <is>
          <t>女装</t>
        </is>
      </c>
      <c r="V4224" s="3">
        <v>46124.971342592595</v>
      </c>
      <c r="W4224" t="inlineStr">
        <is>
          <t>2026-Q2</t>
        </is>
      </c>
    </row>
    <row r="4225" ht="25.5" customHeight="1">
      <c r="A4225" t="inlineStr">
        <is>
          <t>【上新特惠】简约百搭休闲显瘦短袖T恤（高品质版）</t>
        </is>
      </c>
      <c r="B4225" t="inlineStr">
        <is>
          <t>__upload_recvgAET7xhoIh.jpg</t>
        </is>
      </c>
      <c r="C4225" s="2" t="str">
        <f>=HYPERLINK("https://xhslink.com/m/1KVVjv2AP87", "https://xhslink.com/m/1KVVjv2AP87")</f>
        <v>https://xhslink.com/m/1KVVjv2AP87</v>
      </c>
      <c r="D4225"/>
      <c r="E4225">
        <v>1630</v>
      </c>
      <c r="F4225">
        <v>79</v>
      </c>
      <c r="G4225">
        <v>59</v>
      </c>
      <c r="H4225">
        <v>100</v>
      </c>
      <c r="I4225" t="inlineStr">
        <is>
          <t>T恤</t>
        </is>
      </c>
      <c r="J4225" t="inlineStr">
        <is>
          <t>0.06</t>
        </is>
      </c>
      <c r="K4225"/>
      <c r="L4225" t="inlineStr">
        <is>
          <t>好运丽姿的店</t>
        </is>
      </c>
      <c r="M4225">
        <v>5932</v>
      </c>
      <c r="N4225">
        <v>4.75</v>
      </c>
      <c r="O4225">
        <v>214000</v>
      </c>
      <c r="P4225" t="inlineStr">
        <is>
          <t>69809ef76d22e70001c79889</t>
        </is>
      </c>
      <c r="Q4225" t="inlineStr">
        <is>
          <t>🚫重复</t>
        </is>
      </c>
      <c r="R4225" t="inlineStr">
        <is>
          <t>15周</t>
        </is>
      </c>
      <c r="S4225" t="inlineStr">
        <is>
          <t>0.27</t>
        </is>
      </c>
      <c r="T4225" t="inlineStr">
        <is>
          <t>服饰穿搭</t>
        </is>
      </c>
      <c r="U4225" t="inlineStr">
        <is>
          <t>女装</t>
        </is>
      </c>
      <c r="V4225" s="3">
        <v>46124.971342592595</v>
      </c>
      <c r="W4225" t="inlineStr">
        <is>
          <t>2026-Q2</t>
        </is>
      </c>
    </row>
    <row r="4226" ht="25.5" customHeight="1">
      <c r="A4226" t="inlineStr">
        <is>
          <t>欧货女士白色纽扣短袖t恤女2026夏季新款设计感小众时尚宽松上衣</t>
        </is>
      </c>
      <c r="B4226" t="inlineStr">
        <is>
          <t>__upload_recvgAET7xfEss.jpg</t>
        </is>
      </c>
      <c r="C4226" s="2" t="str">
        <f>=HYPERLINK("https://xhslink.com/m/1DMR7DiFP4v", "https://xhslink.com/m/1DMR7DiFP4v")</f>
        <v>https://xhslink.com/m/1DMR7DiFP4v</v>
      </c>
      <c r="D4226"/>
      <c r="E4226">
        <v>1404</v>
      </c>
      <c r="F4226">
        <v>69.9</v>
      </c>
      <c r="G4226">
        <v>39.9</v>
      </c>
      <c r="H4226">
        <v>100</v>
      </c>
      <c r="I4226" t="inlineStr">
        <is>
          <t>T恤</t>
        </is>
      </c>
      <c r="J4226" t="inlineStr">
        <is>
          <t>0.07</t>
        </is>
      </c>
      <c r="K4226"/>
      <c r="L4226" t="inlineStr">
        <is>
          <t>若娴服装的店</t>
        </is>
      </c>
      <c r="M4226">
        <v>2226</v>
      </c>
      <c r="N4226">
        <v>4.59</v>
      </c>
      <c r="O4226">
        <v>41000</v>
      </c>
      <c r="P4226" t="inlineStr">
        <is>
          <t>699c72bec9f5da00014d17b1</t>
        </is>
      </c>
      <c r="Q4226" t="inlineStr">
        <is>
          <t>🚫重复</t>
        </is>
      </c>
      <c r="R4226" t="inlineStr">
        <is>
          <t>15周</t>
        </is>
      </c>
      <c r="S4226" t="inlineStr">
        <is>
          <t>0.63</t>
        </is>
      </c>
      <c r="T4226" t="inlineStr">
        <is>
          <t>服饰穿搭</t>
        </is>
      </c>
      <c r="U4226" t="inlineStr">
        <is>
          <t>女装</t>
        </is>
      </c>
      <c r="V4226" s="3">
        <v>46124.971342592595</v>
      </c>
      <c r="W4226" t="inlineStr">
        <is>
          <t>2026-Q2</t>
        </is>
      </c>
    </row>
    <row r="4227" ht="25.5" customHeight="1">
      <c r="A4227" t="inlineStr">
        <is>
          <t>Brandy Bm新款美式设计感褶皱t恤bm纯欲风修身短袖百搭上衣女潮</t>
        </is>
      </c>
      <c r="B4227" t="inlineStr">
        <is>
          <t>__upload_recvgAET7xgcg3.jpg</t>
        </is>
      </c>
      <c r="C4227" s="2" t="str">
        <f>=HYPERLINK("https://xhslink.com/m/5rlGwW2mHx4", "https://xhslink.com/m/5rlGwW2mHx4")</f>
        <v>https://xhslink.com/m/5rlGwW2mHx4</v>
      </c>
      <c r="D4227"/>
      <c r="E4227">
        <v>1746</v>
      </c>
      <c r="F4227">
        <v>59</v>
      </c>
      <c r="G4227"/>
      <c r="H4227">
        <v>100</v>
      </c>
      <c r="I4227" t="inlineStr">
        <is>
          <t>T恤</t>
        </is>
      </c>
      <c r="J4227" t="inlineStr">
        <is>
          <t>0.06</t>
        </is>
      </c>
      <c r="K4227"/>
      <c r="L4227" t="inlineStr">
        <is>
          <t>浅浅家的BM的店</t>
        </is>
      </c>
      <c r="M4227">
        <v>51000</v>
      </c>
      <c r="N4227">
        <v>4.69</v>
      </c>
      <c r="O4227">
        <v>175000</v>
      </c>
      <c r="P4227" t="inlineStr">
        <is>
          <t>6881b8c422713e0001f14ae9</t>
        </is>
      </c>
      <c r="Q4227" t="inlineStr">
        <is>
          <t>🚫重复</t>
        </is>
      </c>
      <c r="R4227" t="inlineStr">
        <is>
          <t>15周</t>
        </is>
      </c>
      <c r="S4227" t="inlineStr">
        <is>
          <t>0.03</t>
        </is>
      </c>
      <c r="T4227" t="inlineStr">
        <is>
          <t>服饰穿搭</t>
        </is>
      </c>
      <c r="U4227" t="inlineStr">
        <is>
          <t>女装</t>
        </is>
      </c>
      <c r="V4227" s="3">
        <v>46124.971342592595</v>
      </c>
      <c r="W4227" t="inlineStr">
        <is>
          <t>2026-Q2</t>
        </is>
      </c>
    </row>
    <row r="4228" ht="25.5" customHeight="1">
      <c r="A4228" t="inlineStr">
        <is>
          <t>pink amy · 曲线芭比短袖修身收腰显瘦u领甜辣上衣女夏辣妹正肩t恤</t>
        </is>
      </c>
      <c r="B4228" t="inlineStr">
        <is>
          <t>__upload_recvgAET7x7Clz.jpg</t>
        </is>
      </c>
      <c r="C4228" s="2" t="str">
        <f>=HYPERLINK("https://xhslink.com/m/1AHNKVkGWat", "https://xhslink.com/m/1AHNKVkGWat")</f>
        <v>https://xhslink.com/m/1AHNKVkGWat</v>
      </c>
      <c r="D4228"/>
      <c r="E4228">
        <v>960</v>
      </c>
      <c r="F4228">
        <v>69.9</v>
      </c>
      <c r="G4228">
        <v>61.51</v>
      </c>
      <c r="H4228">
        <v>100</v>
      </c>
      <c r="I4228" t="inlineStr">
        <is>
          <t>T恤</t>
        </is>
      </c>
      <c r="J4228" t="inlineStr">
        <is>
          <t>0.10</t>
        </is>
      </c>
      <c r="K4228"/>
      <c r="L4228" t="inlineStr">
        <is>
          <t>PINK AMY旗舰店</t>
        </is>
      </c>
      <c r="M4228">
        <v>33000</v>
      </c>
      <c r="N4228">
        <v>4.6</v>
      </c>
      <c r="O4228">
        <v>549000</v>
      </c>
      <c r="P4228" t="inlineStr">
        <is>
          <t>69897e033067f40001ea3b2b</t>
        </is>
      </c>
      <c r="Q4228" t="inlineStr">
        <is>
          <t>🚫重复</t>
        </is>
      </c>
      <c r="R4228" t="inlineStr">
        <is>
          <t>15周</t>
        </is>
      </c>
      <c r="S4228" t="inlineStr">
        <is>
          <t>0.03</t>
        </is>
      </c>
      <c r="T4228" t="inlineStr">
        <is>
          <t>服饰穿搭</t>
        </is>
      </c>
      <c r="U4228" t="inlineStr">
        <is>
          <t>女装</t>
        </is>
      </c>
      <c r="V4228" s="3">
        <v>46124.971342592595</v>
      </c>
      <c r="W4228" t="inlineStr">
        <is>
          <t>2026-Q2</t>
        </is>
      </c>
    </row>
    <row r="4229" ht="25.5" customHeight="1">
      <c r="A4229" t="inlineStr">
        <is>
          <t>Amin Studios【100%羊毛小飞袖】韩版百搭显瘦休闲短袖T恤四季女</t>
        </is>
      </c>
      <c r="B4229" t="inlineStr">
        <is>
          <t>__upload_recvgAET7xPfhR.jpg</t>
        </is>
      </c>
      <c r="C4229" s="2" t="str">
        <f>=HYPERLINK("https://xhslink.com/m/5l7aYOpdDTJ", "https://xhslink.com/m/5l7aYOpdDTJ")</f>
        <v>https://xhslink.com/m/5l7aYOpdDTJ</v>
      </c>
      <c r="D4229"/>
      <c r="E4229">
        <v>3093</v>
      </c>
      <c r="F4229">
        <v>169</v>
      </c>
      <c r="G4229">
        <v>149</v>
      </c>
      <c r="H4229">
        <v>100</v>
      </c>
      <c r="I4229" t="inlineStr">
        <is>
          <t>T恤</t>
        </is>
      </c>
      <c r="J4229" t="inlineStr">
        <is>
          <t>0.03</t>
        </is>
      </c>
      <c r="K4229"/>
      <c r="L4229" t="inlineStr">
        <is>
          <t>Amin Studios的店</t>
        </is>
      </c>
      <c r="M4229">
        <v>5480</v>
      </c>
      <c r="N4229">
        <v>4.47</v>
      </c>
      <c r="O4229">
        <v>27000</v>
      </c>
      <c r="P4229" t="inlineStr">
        <is>
          <t>69a457a6a594590001a18a7b</t>
        </is>
      </c>
      <c r="Q4229" t="inlineStr">
        <is>
          <t>🚫重复</t>
        </is>
      </c>
      <c r="R4229" t="inlineStr">
        <is>
          <t>15周</t>
        </is>
      </c>
      <c r="S4229" t="inlineStr">
        <is>
          <t>0.56</t>
        </is>
      </c>
      <c r="T4229" t="inlineStr">
        <is>
          <t>服饰穿搭</t>
        </is>
      </c>
      <c r="U4229" t="inlineStr">
        <is>
          <t>女装</t>
        </is>
      </c>
      <c r="V4229" s="3">
        <v>46124.971342592595</v>
      </c>
      <c r="W4229" t="inlineStr">
        <is>
          <t>2026-Q2</t>
        </is>
      </c>
    </row>
    <row r="4230" ht="25.5" customHeight="1">
      <c r="A4230" t="inlineStr">
        <is>
          <t>她奢 · 性价比天花板 口碑!B眼入系列 重工万针刺绣 弹力显瘦正肩短袖T恤</t>
        </is>
      </c>
      <c r="B4230" t="inlineStr">
        <is>
          <t>__upload_recvgAET7xsg5p.jpg</t>
        </is>
      </c>
      <c r="C4230" s="2" t="str">
        <f>=HYPERLINK("https://xhslink.com/m/JJ4tDuNNCN", "https://xhslink.com/m/JJ4tDuNNCN")</f>
        <v>https://xhslink.com/m/JJ4tDuNNCN</v>
      </c>
      <c r="D4230"/>
      <c r="E4230">
        <v>1035</v>
      </c>
      <c r="F4230">
        <v>59.99</v>
      </c>
      <c r="G4230"/>
      <c r="H4230">
        <v>100</v>
      </c>
      <c r="I4230" t="inlineStr">
        <is>
          <t>T恤</t>
        </is>
      </c>
      <c r="J4230" t="inlineStr">
        <is>
          <t>0.10</t>
        </is>
      </c>
      <c r="K4230"/>
      <c r="L4230" t="inlineStr">
        <is>
          <t>她奢的店</t>
        </is>
      </c>
      <c r="M4230">
        <v>533000</v>
      </c>
      <c r="N4230">
        <v>4.55</v>
      </c>
      <c r="O4230">
        <v>4381000</v>
      </c>
      <c r="P4230" t="inlineStr">
        <is>
          <t>69ba11e2c0b0790015acd472</t>
        </is>
      </c>
      <c r="Q4230" t="inlineStr">
        <is>
          <t>🚫重复</t>
        </is>
      </c>
      <c r="R4230" t="inlineStr">
        <is>
          <t>15周</t>
        </is>
      </c>
      <c r="S4230" t="inlineStr">
        <is>
          <t>0.00</t>
        </is>
      </c>
      <c r="T4230" t="inlineStr">
        <is>
          <t>服饰穿搭</t>
        </is>
      </c>
      <c r="U4230" t="inlineStr">
        <is>
          <t>女装</t>
        </is>
      </c>
      <c r="V4230" s="3">
        <v>46124.971342592595</v>
      </c>
      <c r="W4230" t="inlineStr">
        <is>
          <t>2026-Q2</t>
        </is>
      </c>
    </row>
    <row r="4231" ht="25.5" customHeight="1">
      <c r="A4231" t="inlineStr">
        <is>
          <t>【前1000单减30】美式正肩高街亨利领短袖t恤男女夏季短款上衣</t>
        </is>
      </c>
      <c r="B4231" t="inlineStr">
        <is>
          <t>__upload_recvgAET7x1lgW.jpg</t>
        </is>
      </c>
      <c r="C4231" s="2" t="str">
        <f>=HYPERLINK("https://xhslink.com/m/7Qo0A1hOaZR", "https://xhslink.com/m/7Qo0A1hOaZR")</f>
        <v>https://xhslink.com/m/7Qo0A1hOaZR</v>
      </c>
      <c r="D4231"/>
      <c r="E4231">
        <v>1024</v>
      </c>
      <c r="F4231">
        <v>86.9</v>
      </c>
      <c r="G4231">
        <v>56.9</v>
      </c>
      <c r="H4231">
        <v>100</v>
      </c>
      <c r="I4231" t="inlineStr">
        <is>
          <t>T恤</t>
        </is>
      </c>
      <c r="J4231" t="inlineStr">
        <is>
          <t>0.10</t>
        </is>
      </c>
      <c r="K4231"/>
      <c r="L4231" t="inlineStr">
        <is>
          <t>雪雪搭子户外的店</t>
        </is>
      </c>
      <c r="M4231">
        <v>2091</v>
      </c>
      <c r="N4231">
        <v>4.54</v>
      </c>
      <c r="O4231">
        <v>29000</v>
      </c>
      <c r="P4231" t="inlineStr">
        <is>
          <t>694b8d82110a7f0001bffd5f</t>
        </is>
      </c>
      <c r="Q4231" t="inlineStr">
        <is>
          <t>🚫重复</t>
        </is>
      </c>
      <c r="R4231" t="inlineStr">
        <is>
          <t>15周</t>
        </is>
      </c>
      <c r="S4231" t="inlineStr">
        <is>
          <t>0.49</t>
        </is>
      </c>
      <c r="T4231" t="inlineStr">
        <is>
          <t>服饰穿搭</t>
        </is>
      </c>
      <c r="U4231" t="inlineStr">
        <is>
          <t>女装</t>
        </is>
      </c>
      <c r="V4231" s="3">
        <v>46124.971342592595</v>
      </c>
      <c r="W4231" t="inlineStr">
        <is>
          <t>2026-Q2</t>
        </is>
      </c>
    </row>
    <row r="4232" ht="25.5" customHeight="1">
      <c r="A4232" t="inlineStr">
        <is>
          <t>LLF-正肩显瘦天丝羊毛圆领短袖T恤女基础百搭休闲上衣女2026</t>
        </is>
      </c>
      <c r="B4232" t="inlineStr">
        <is>
          <t>__upload_recvgAET7xtWis.jpg</t>
        </is>
      </c>
      <c r="C4232" s="2" t="str">
        <f>=HYPERLINK("https://xhslink.com/m/3Iv7KhonPU8", "https://xhslink.com/m/3Iv7KhonPU8")</f>
        <v>https://xhslink.com/m/3Iv7KhonPU8</v>
      </c>
      <c r="D4232"/>
      <c r="E4232">
        <v>2482</v>
      </c>
      <c r="F4232">
        <v>120</v>
      </c>
      <c r="G4232">
        <v>85</v>
      </c>
      <c r="H4232">
        <v>100</v>
      </c>
      <c r="I4232" t="inlineStr">
        <is>
          <t>T恤</t>
        </is>
      </c>
      <c r="J4232" t="inlineStr">
        <is>
          <t>0.04</t>
        </is>
      </c>
      <c r="K4232"/>
      <c r="L4232" t="inlineStr">
        <is>
          <t>LLFa的店</t>
        </is>
      </c>
      <c r="M4232">
        <v>3752</v>
      </c>
      <c r="N4232">
        <v>4.56</v>
      </c>
      <c r="O4232">
        <v>66000</v>
      </c>
      <c r="P4232" t="inlineStr">
        <is>
          <t>699dbb19d5afea00010e9ea0</t>
        </is>
      </c>
      <c r="Q4232" t="inlineStr">
        <is>
          <t>🚫重复</t>
        </is>
      </c>
      <c r="R4232" t="inlineStr">
        <is>
          <t>15周</t>
        </is>
      </c>
      <c r="S4232" t="inlineStr">
        <is>
          <t>0.66</t>
        </is>
      </c>
      <c r="T4232" t="inlineStr">
        <is>
          <t>服饰穿搭</t>
        </is>
      </c>
      <c r="U4232" t="inlineStr">
        <is>
          <t>女装</t>
        </is>
      </c>
      <c r="V4232" s="3">
        <v>46124.971342592595</v>
      </c>
      <c r="W4232" t="inlineStr">
        <is>
          <t>2026-Q2</t>
        </is>
      </c>
    </row>
    <row r="4233" ht="25.5" customHeight="1">
      <c r="A4233" t="inlineStr">
        <is>
          <t>「炒色番茄韩系T」韩系！复古做旧印花女士短袖T恤</t>
        </is>
      </c>
      <c r="B4233" t="inlineStr">
        <is>
          <t>__upload_recvgAET7x2vRW.jpg</t>
        </is>
      </c>
      <c r="C4233" s="2" t="str">
        <f>=HYPERLINK("https://xhslink.com/m/dYzIpeWxWk", "https://xhslink.com/m/dYzIpeWxWk")</f>
        <v>https://xhslink.com/m/dYzIpeWxWk</v>
      </c>
      <c r="D4233"/>
      <c r="E4233">
        <v>1186</v>
      </c>
      <c r="F4233">
        <v>59.9</v>
      </c>
      <c r="G4233">
        <v>39.9</v>
      </c>
      <c r="H4233">
        <v>100</v>
      </c>
      <c r="I4233" t="inlineStr">
        <is>
          <t>T恤</t>
        </is>
      </c>
      <c r="J4233" t="inlineStr">
        <is>
          <t>0.08</t>
        </is>
      </c>
      <c r="K4233" t="inlineStr">
        <is>
          <t>🔥低粉爆款</t>
        </is>
      </c>
      <c r="L4233" t="inlineStr">
        <is>
          <t>有有studio三号店的店</t>
        </is>
      </c>
      <c r="M4233">
        <v>162</v>
      </c>
      <c r="N4233">
        <v>4.7</v>
      </c>
      <c r="O4233">
        <v>99000</v>
      </c>
      <c r="P4233" t="inlineStr">
        <is>
          <t>69b901cbc13d0f0015b53909</t>
        </is>
      </c>
      <c r="Q4233" t="inlineStr">
        <is>
          <t>🚫重复</t>
        </is>
      </c>
      <c r="R4233" t="inlineStr">
        <is>
          <t>15周</t>
        </is>
      </c>
      <c r="S4233" t="inlineStr">
        <is>
          <t>7.32</t>
        </is>
      </c>
      <c r="T4233" t="inlineStr">
        <is>
          <t>服饰穿搭</t>
        </is>
      </c>
      <c r="U4233" t="inlineStr">
        <is>
          <t>女装</t>
        </is>
      </c>
      <c r="V4233" s="3">
        <v>46124.971342592595</v>
      </c>
      <c r="W4233" t="inlineStr">
        <is>
          <t>2026-Q2</t>
        </is>
      </c>
    </row>
    <row r="4234" ht="25.5" customHeight="1">
      <c r="A4234" t="inlineStr">
        <is>
          <t>纤莉秀 · 【大码专属正肩修容T】双领自选妈生腰线配享太庙瘦瘦短T恤QL0218</t>
        </is>
      </c>
      <c r="B4234" t="inlineStr">
        <is>
          <t>__upload_recvgAET7xdNtk.jpg</t>
        </is>
      </c>
      <c r="C4234" s="2" t="str">
        <f>=HYPERLINK("https://xhslink.com/m/8rWLiVhdWJA", "https://xhslink.com/m/8rWLiVhdWJA")</f>
        <v>https://xhslink.com/m/8rWLiVhdWJA</v>
      </c>
      <c r="D4234"/>
      <c r="E4234">
        <v>1354</v>
      </c>
      <c r="F4234">
        <v>129</v>
      </c>
      <c r="G4234">
        <v>96.75</v>
      </c>
      <c r="H4234">
        <v>100</v>
      </c>
      <c r="I4234" t="inlineStr">
        <is>
          <t>T恤</t>
        </is>
      </c>
      <c r="J4234" t="inlineStr">
        <is>
          <t>0.07</t>
        </is>
      </c>
      <c r="K4234"/>
      <c r="L4234" t="inlineStr">
        <is>
          <t>纤莉秀芷卉旗舰店</t>
        </is>
      </c>
      <c r="M4234">
        <v>334000</v>
      </c>
      <c r="N4234">
        <v>4.57</v>
      </c>
      <c r="O4234">
        <v>298000</v>
      </c>
      <c r="P4234" t="inlineStr">
        <is>
          <t>69a95782431c6600155c0aa5</t>
        </is>
      </c>
      <c r="Q4234"/>
      <c r="R4234" t="inlineStr">
        <is>
          <t>15周</t>
        </is>
      </c>
      <c r="S4234" t="inlineStr">
        <is>
          <t>0.00</t>
        </is>
      </c>
      <c r="T4234" t="inlineStr">
        <is>
          <t>美妆个护</t>
        </is>
      </c>
      <c r="U4234" t="inlineStr">
        <is>
          <t>护肤彩妆</t>
        </is>
      </c>
      <c r="V4234" s="3">
        <v>46124.971342592595</v>
      </c>
      <c r="W4234" t="inlineStr">
        <is>
          <t>2026-Q2</t>
        </is>
      </c>
    </row>
    <row r="4235" ht="25.5" customHeight="1">
      <c r="A4235" t="inlineStr">
        <is>
          <t>鹅蛋领T恤！夏季修身显瘦正肩短袖 勺领基础百搭T恤</t>
        </is>
      </c>
      <c r="B4235" t="inlineStr">
        <is>
          <t>__upload_recvgAET7x4e3j.jpg</t>
        </is>
      </c>
      <c r="C4235" s="2" t="str">
        <f>=HYPERLINK("https://xhslink.com/m/yOmFf6PI6k", "https://xhslink.com/m/yOmFf6PI6k")</f>
        <v>https://xhslink.com/m/yOmFf6PI6k</v>
      </c>
      <c r="D4235"/>
      <c r="E4235">
        <v>638</v>
      </c>
      <c r="F4235">
        <v>85</v>
      </c>
      <c r="G4235">
        <v>65</v>
      </c>
      <c r="H4235">
        <v>100</v>
      </c>
      <c r="I4235" t="inlineStr">
        <is>
          <t>T恤</t>
        </is>
      </c>
      <c r="J4235" t="inlineStr">
        <is>
          <t>0.16</t>
        </is>
      </c>
      <c r="K4235"/>
      <c r="L4235" t="inlineStr">
        <is>
          <t>你的小面包little bread的店</t>
        </is>
      </c>
      <c r="M4235">
        <v>29000</v>
      </c>
      <c r="N4235">
        <v>4.59</v>
      </c>
      <c r="O4235">
        <v>175000</v>
      </c>
      <c r="P4235" t="inlineStr">
        <is>
          <t>69b7be5d07995e00015c6f76</t>
        </is>
      </c>
      <c r="Q4235" t="inlineStr">
        <is>
          <t>🚫重复</t>
        </is>
      </c>
      <c r="R4235" t="inlineStr">
        <is>
          <t>15周</t>
        </is>
      </c>
      <c r="S4235" t="inlineStr">
        <is>
          <t>0.02</t>
        </is>
      </c>
      <c r="T4235" t="inlineStr">
        <is>
          <t>服饰穿搭</t>
        </is>
      </c>
      <c r="U4235" t="inlineStr">
        <is>
          <t>女装</t>
        </is>
      </c>
      <c r="V4235" s="3">
        <v>46124.971342592595</v>
      </c>
      <c r="W4235" t="inlineStr">
        <is>
          <t>2026-Q2</t>
        </is>
      </c>
    </row>
    <row r="4236" ht="25.5" customHeight="1">
      <c r="A4236" t="inlineStr">
        <is>
          <t>260克纯棉重磅 卡通小狗趣味宽松休闲短袖T恤情侣日常百搭纯棉夏</t>
        </is>
      </c>
      <c r="B4236" t="inlineStr">
        <is>
          <t>__upload_recvgAET7xUaet.jpg</t>
        </is>
      </c>
      <c r="C4236" s="2" t="str">
        <f>=HYPERLINK("https://xhslink.com/m/61tk7crmxfW", "https://xhslink.com/m/61tk7crmxfW")</f>
        <v>https://xhslink.com/m/61tk7crmxfW</v>
      </c>
      <c r="D4236"/>
      <c r="E4236">
        <v>409</v>
      </c>
      <c r="F4236">
        <v>59</v>
      </c>
      <c r="G4236">
        <v>39</v>
      </c>
      <c r="H4236">
        <v>100</v>
      </c>
      <c r="I4236" t="inlineStr">
        <is>
          <t>T恤</t>
        </is>
      </c>
      <c r="J4236" t="inlineStr">
        <is>
          <t>0.24</t>
        </is>
      </c>
      <c r="K4236"/>
      <c r="L4236" t="inlineStr">
        <is>
          <t>ddamian 线上商店的店</t>
        </is>
      </c>
      <c r="M4236">
        <v>42000</v>
      </c>
      <c r="N4236">
        <v>4.58</v>
      </c>
      <c r="O4236">
        <v>96000</v>
      </c>
      <c r="P4236" t="inlineStr">
        <is>
          <t>69bf6930d6abc6000190f378</t>
        </is>
      </c>
      <c r="Q4236"/>
      <c r="R4236" t="inlineStr">
        <is>
          <t>15周</t>
        </is>
      </c>
      <c r="S4236" t="inlineStr">
        <is>
          <t>0.01</t>
        </is>
      </c>
      <c r="T4236" t="inlineStr">
        <is>
          <t>服饰穿搭</t>
        </is>
      </c>
      <c r="U4236" t="inlineStr">
        <is>
          <t>女装</t>
        </is>
      </c>
      <c r="V4236" s="3">
        <v>46124.971342592595</v>
      </c>
      <c r="W4236" t="inlineStr">
        <is>
          <t>2026-Q2</t>
        </is>
      </c>
    </row>
    <row r="4237" ht="25.5" customHeight="1">
      <c r="A4237" t="inlineStr">
        <is>
          <t>着悦 · 女款汉麻棉针织T恤半袖，软凉透气</t>
        </is>
      </c>
      <c r="B4237" t="inlineStr">
        <is>
          <t>__upload_recvgAET7xgCNp.jpg</t>
        </is>
      </c>
      <c r="C4237" s="2" t="str">
        <f>=HYPERLINK("https://xhslink.com/m/6OyqJCaGA3b", "https://xhslink.com/m/6OyqJCaGA3b")</f>
        <v>https://xhslink.com/m/6OyqJCaGA3b</v>
      </c>
      <c r="D4237"/>
      <c r="E4237">
        <v>735</v>
      </c>
      <c r="F4237">
        <v>129.9</v>
      </c>
      <c r="G4237"/>
      <c r="H4237">
        <v>100</v>
      </c>
      <c r="I4237" t="inlineStr">
        <is>
          <t>T恤</t>
        </is>
      </c>
      <c r="J4237" t="inlineStr">
        <is>
          <t>0.14</t>
        </is>
      </c>
      <c r="K4237"/>
      <c r="L4237" t="inlineStr">
        <is>
          <t>着悦旗舰店</t>
        </is>
      </c>
      <c r="M4237">
        <v>38000</v>
      </c>
      <c r="N4237">
        <v>4.68</v>
      </c>
      <c r="O4237">
        <v>211000</v>
      </c>
      <c r="P4237" t="inlineStr">
        <is>
          <t>69c280699c14650001e8b707</t>
        </is>
      </c>
      <c r="Q4237" t="inlineStr">
        <is>
          <t>🚫重复</t>
        </is>
      </c>
      <c r="R4237" t="inlineStr">
        <is>
          <t>15周</t>
        </is>
      </c>
      <c r="S4237" t="inlineStr">
        <is>
          <t>0.02</t>
        </is>
      </c>
      <c r="T4237" t="inlineStr">
        <is>
          <t>服饰穿搭</t>
        </is>
      </c>
      <c r="U4237" t="inlineStr">
        <is>
          <t>女装</t>
        </is>
      </c>
      <c r="V4237" s="3">
        <v>46124.971342592595</v>
      </c>
      <c r="W4237" t="inlineStr">
        <is>
          <t>2026-Q2</t>
        </is>
      </c>
    </row>
    <row r="4238" ht="25.5" customHeight="1">
      <c r="A4238" t="inlineStr">
        <is>
          <t>探索松弛夏日斜肩多穿法显瘦薄透条纹长袖T恤女洋气百搭针织上衣</t>
        </is>
      </c>
      <c r="B4238" t="inlineStr">
        <is>
          <t>__upload_recvgAET7xnB5e.jpg</t>
        </is>
      </c>
      <c r="C4238" s="2" t="str">
        <f>=HYPERLINK("https://xhslink.com/m/5fePQioLkcN", "https://xhslink.com/m/5fePQioLkcN")</f>
        <v>https://xhslink.com/m/5fePQioLkcN</v>
      </c>
      <c r="D4238"/>
      <c r="E4238">
        <v>1348</v>
      </c>
      <c r="F4238">
        <v>89</v>
      </c>
      <c r="G4238"/>
      <c r="H4238">
        <v>100</v>
      </c>
      <c r="I4238" t="inlineStr">
        <is>
          <t>T恤</t>
        </is>
      </c>
      <c r="J4238" t="inlineStr">
        <is>
          <t>0.07</t>
        </is>
      </c>
      <c r="K4238"/>
      <c r="L4238" t="inlineStr">
        <is>
          <t>简色服装的店</t>
        </is>
      </c>
      <c r="M4238">
        <v>1395</v>
      </c>
      <c r="N4238">
        <v>4.43</v>
      </c>
      <c r="O4238">
        <v>25000</v>
      </c>
      <c r="P4238" t="inlineStr">
        <is>
          <t>68a89d9316e5830001b95452</t>
        </is>
      </c>
      <c r="Q4238"/>
      <c r="R4238" t="inlineStr">
        <is>
          <t>15周</t>
        </is>
      </c>
      <c r="S4238" t="inlineStr">
        <is>
          <t>0.97</t>
        </is>
      </c>
      <c r="T4238" t="inlineStr">
        <is>
          <t>服饰穿搭</t>
        </is>
      </c>
      <c r="U4238" t="inlineStr">
        <is>
          <t>女装</t>
        </is>
      </c>
      <c r="V4238" s="3">
        <v>46124.971342592595</v>
      </c>
      <c r="W4238" t="inlineStr">
        <is>
          <t>2026-Q2</t>
        </is>
      </c>
    </row>
    <row r="4239" ht="25.5" customHeight="1">
      <c r="A4239" t="inlineStr">
        <is>
          <t>JOMODE 『强力推荐！强捻棉回归！』经典正肩U领短袖T恤女夏上衣</t>
        </is>
      </c>
      <c r="B4239" t="inlineStr">
        <is>
          <t>__upload_recvgAET7x7Bz8.jpg</t>
        </is>
      </c>
      <c r="C4239" s="2" t="str">
        <f>=HYPERLINK("https://xhslink.com/m/9ZOHCfouWGJ", "https://xhslink.com/m/9ZOHCfouWGJ")</f>
        <v>https://xhslink.com/m/9ZOHCfouWGJ</v>
      </c>
      <c r="D4239"/>
      <c r="E4239">
        <v>2559</v>
      </c>
      <c r="F4239">
        <v>270</v>
      </c>
      <c r="G4239">
        <v>229.5</v>
      </c>
      <c r="H4239">
        <v>100</v>
      </c>
      <c r="I4239" t="inlineStr">
        <is>
          <t>T恤</t>
        </is>
      </c>
      <c r="J4239" t="inlineStr">
        <is>
          <t>0.04</t>
        </is>
      </c>
      <c r="K4239"/>
      <c r="L4239" t="inlineStr">
        <is>
          <t>JOMODE现场的店</t>
        </is>
      </c>
      <c r="M4239">
        <v>15000</v>
      </c>
      <c r="N4239">
        <v>4.59</v>
      </c>
      <c r="O4239">
        <v>62000</v>
      </c>
      <c r="P4239" t="inlineStr">
        <is>
          <t>69bd159511535800153c6993</t>
        </is>
      </c>
      <c r="Q4239"/>
      <c r="R4239" t="inlineStr">
        <is>
          <t>15周</t>
        </is>
      </c>
      <c r="S4239" t="inlineStr">
        <is>
          <t>0.17</t>
        </is>
      </c>
      <c r="T4239" t="inlineStr">
        <is>
          <t>服饰穿搭</t>
        </is>
      </c>
      <c r="U4239" t="inlineStr">
        <is>
          <t>女装</t>
        </is>
      </c>
      <c r="V4239" s="3">
        <v>46124.971342592595</v>
      </c>
      <c r="W4239" t="inlineStr">
        <is>
          <t>2026-Q2</t>
        </is>
      </c>
    </row>
    <row r="4240" ht="25.5" customHeight="1">
      <c r="A4240" t="inlineStr">
        <is>
          <t>白色/灰色蝴蝶结印花短袖T恤6023-001-0322-7989</t>
        </is>
      </c>
      <c r="B4240" t="inlineStr">
        <is>
          <t>__upload_recvgAET7xDbOv.jpg</t>
        </is>
      </c>
      <c r="C4240" s="2" t="str">
        <f>=HYPERLINK("https://xhslink.com/m/zMEKpQzn0j", "https://xhslink.com/m/zMEKpQzn0j")</f>
        <v>https://xhslink.com/m/zMEKpQzn0j</v>
      </c>
      <c r="D4240"/>
      <c r="E4240">
        <v>416</v>
      </c>
      <c r="F4240">
        <v>54</v>
      </c>
      <c r="G4240"/>
      <c r="H4240">
        <v>100</v>
      </c>
      <c r="I4240" t="inlineStr">
        <is>
          <t>T恤</t>
        </is>
      </c>
      <c r="J4240" t="inlineStr">
        <is>
          <t>0.24</t>
        </is>
      </c>
      <c r="K4240"/>
      <c r="L4240" t="inlineStr">
        <is>
          <t>奈奈美2号的店</t>
        </is>
      </c>
      <c r="M4240">
        <v>3659</v>
      </c>
      <c r="N4240">
        <v>4.48</v>
      </c>
      <c r="O4240">
        <v>9532</v>
      </c>
      <c r="P4240" t="inlineStr">
        <is>
          <t>69bfeeab040ad4001568683d</t>
        </is>
      </c>
      <c r="Q4240"/>
      <c r="R4240" t="inlineStr">
        <is>
          <t>15周</t>
        </is>
      </c>
      <c r="S4240" t="inlineStr">
        <is>
          <t>0.11</t>
        </is>
      </c>
      <c r="T4240" t="inlineStr">
        <is>
          <t>服饰穿搭</t>
        </is>
      </c>
      <c r="U4240" t="inlineStr">
        <is>
          <t>女装</t>
        </is>
      </c>
      <c r="V4240" s="3">
        <v>46124.971342592595</v>
      </c>
      <c r="W4240" t="inlineStr">
        <is>
          <t>2026-Q2</t>
        </is>
      </c>
    </row>
    <row r="4241" ht="25.5" customHeight="1">
      <c r="A4241" t="inlineStr">
        <is>
          <t>罗小曼 · 【孔雪儿同款】四色卧蚕盘新手日常通勤眼妆下至提亮眼影综合盘</t>
        </is>
      </c>
      <c r="B4241" t="inlineStr">
        <is>
          <t>__upload_recvgAET7xD9p0.jpg</t>
        </is>
      </c>
      <c r="C4241" s="2" t="str">
        <f>=HYPERLINK("https://xhslink.com/m/9bZSjrrrQoL", "https://xhslink.com/m/9bZSjrrrQoL")</f>
        <v>https://xhslink.com/m/9bZSjrrrQoL</v>
      </c>
      <c r="D4241"/>
      <c r="E4241">
        <v>40000</v>
      </c>
      <c r="F4241">
        <v>39</v>
      </c>
      <c r="G4241"/>
      <c r="H4241">
        <v>100</v>
      </c>
      <c r="I4241" t="inlineStr">
        <is>
          <t>美妆</t>
        </is>
      </c>
      <c r="J4241" t="inlineStr">
        <is>
          <t>0.00</t>
        </is>
      </c>
      <c r="K4241"/>
      <c r="L4241" t="inlineStr">
        <is>
          <t>ROMANTIC BEAUTY罗小曼旗舰店</t>
        </is>
      </c>
      <c r="M4241">
        <v>54000</v>
      </c>
      <c r="N4241">
        <v>4.64</v>
      </c>
      <c r="O4241">
        <v>145000</v>
      </c>
      <c r="P4241" t="inlineStr">
        <is>
          <t>6880453f071cdc0001ad94c9</t>
        </is>
      </c>
      <c r="Q4241"/>
      <c r="R4241" t="inlineStr">
        <is>
          <t>15周</t>
        </is>
      </c>
      <c r="S4241" t="inlineStr">
        <is>
          <t>0.74</t>
        </is>
      </c>
      <c r="T4241" t="inlineStr">
        <is>
          <t>美妆个护</t>
        </is>
      </c>
      <c r="U4241" t="inlineStr">
        <is>
          <t>护肤彩妆</t>
        </is>
      </c>
      <c r="V4241" s="3">
        <v>46124.971342592595</v>
      </c>
      <c r="W4241" t="inlineStr">
        <is>
          <t>2026-Q2</t>
        </is>
      </c>
    </row>
    <row r="4242" ht="25.5" customHeight="1">
      <c r="A4242" t="inlineStr">
        <is>
          <t>CZEL绔姿 · 眼影盘正品灰粉色渐变腮红盘一体平价日常淡妆哑光大地色</t>
        </is>
      </c>
      <c r="B4242" t="inlineStr">
        <is>
          <t>__upload_recvgAET7xD7Yc.jpg</t>
        </is>
      </c>
      <c r="C4242" s="2" t="str">
        <f>=HYPERLINK("https://xhslink.com/m/9mcpISTKr34", "https://xhslink.com/m/9mcpISTKr34")</f>
        <v>https://xhslink.com/m/9mcpISTKr34</v>
      </c>
      <c r="D4242"/>
      <c r="E4242">
        <v>85000</v>
      </c>
      <c r="F4242">
        <v>39.9</v>
      </c>
      <c r="G4242"/>
      <c r="H4242">
        <v>100</v>
      </c>
      <c r="I4242" t="inlineStr">
        <is>
          <t>美妆</t>
        </is>
      </c>
      <c r="J4242" t="inlineStr">
        <is>
          <t>0.00</t>
        </is>
      </c>
      <c r="K4242" t="inlineStr">
        <is>
          <t>🔥低粉爆款</t>
        </is>
      </c>
      <c r="L4242" t="inlineStr">
        <is>
          <t>czel绔姿旗舰店</t>
        </is>
      </c>
      <c r="M4242">
        <v>18000</v>
      </c>
      <c r="N4242">
        <v>4.68</v>
      </c>
      <c r="O4242">
        <v>153000</v>
      </c>
      <c r="P4242" t="inlineStr">
        <is>
          <t>64b40ad2e20a850001bc947a</t>
        </is>
      </c>
      <c r="Q4242"/>
      <c r="R4242" t="inlineStr">
        <is>
          <t>15周</t>
        </is>
      </c>
      <c r="S4242" t="inlineStr">
        <is>
          <t>4.72</t>
        </is>
      </c>
      <c r="T4242" t="inlineStr">
        <is>
          <t>美妆个护</t>
        </is>
      </c>
      <c r="U4242" t="inlineStr">
        <is>
          <t>护肤彩妆</t>
        </is>
      </c>
      <c r="V4242" s="3">
        <v>46124.971342592595</v>
      </c>
      <c r="W4242" t="inlineStr">
        <is>
          <t>2026-Q2</t>
        </is>
      </c>
    </row>
    <row r="4243" ht="25.5" customHeight="1">
      <c r="A4243" t="inlineStr">
        <is>
          <t>UCANBE · 15色眼影盘珠光哑光便携系多巴胺彩妆平价显白国货网红爆款马卡龙</t>
        </is>
      </c>
      <c r="B4243" t="inlineStr">
        <is>
          <t>__upload_recvgAET7xK1oc.jpg</t>
        </is>
      </c>
      <c r="C4243" s="2" t="str">
        <f>=HYPERLINK("https://xhslink.com/m/2SK1Nq1sEt9", "https://xhslink.com/m/2SK1Nq1sEt9")</f>
        <v>https://xhslink.com/m/2SK1Nq1sEt9</v>
      </c>
      <c r="D4243"/>
      <c r="E4243">
        <v>17000</v>
      </c>
      <c r="F4243">
        <v>63</v>
      </c>
      <c r="G4243">
        <v>38</v>
      </c>
      <c r="H4243">
        <v>100</v>
      </c>
      <c r="I4243" t="inlineStr">
        <is>
          <t>美妆</t>
        </is>
      </c>
      <c r="J4243" t="inlineStr">
        <is>
          <t>0.01</t>
        </is>
      </c>
      <c r="K4243"/>
      <c r="L4243" t="inlineStr">
        <is>
          <t>UCANBE彩妆旗舰店</t>
        </is>
      </c>
      <c r="M4243">
        <v>13000</v>
      </c>
      <c r="N4243">
        <v>4.63</v>
      </c>
      <c r="O4243">
        <v>24000</v>
      </c>
      <c r="P4243" t="inlineStr">
        <is>
          <t>66baf39e8bde8c0001a277be</t>
        </is>
      </c>
      <c r="Q4243"/>
      <c r="R4243" t="inlineStr">
        <is>
          <t>15周</t>
        </is>
      </c>
      <c r="S4243" t="inlineStr">
        <is>
          <t>1.31</t>
        </is>
      </c>
      <c r="T4243" t="inlineStr">
        <is>
          <t>美妆个护</t>
        </is>
      </c>
      <c r="U4243" t="inlineStr">
        <is>
          <t>护肤彩妆</t>
        </is>
      </c>
      <c r="V4243" s="3">
        <v>46124.971342592595</v>
      </c>
      <c r="W4243" t="inlineStr">
        <is>
          <t>2026-Q2</t>
        </is>
      </c>
    </row>
    <row r="4244" ht="25.5" customHeight="1">
      <c r="A4244" t="inlineStr">
        <is>
          <t>Girlcult构奇 · 情话口红 哑光浓郁不拔干</t>
        </is>
      </c>
      <c r="B4244" t="inlineStr">
        <is>
          <t>__upload_recvgAET7x56uD.jpg</t>
        </is>
      </c>
      <c r="C4244" s="2" t="str">
        <f>=HYPERLINK("https://xhslink.com/m/7idKDSHbQsN", "https://xhslink.com/m/7idKDSHbQsN")</f>
        <v>https://xhslink.com/m/7idKDSHbQsN</v>
      </c>
      <c r="D4244"/>
      <c r="E4244">
        <v>51000</v>
      </c>
      <c r="F4244">
        <v>99</v>
      </c>
      <c r="G4244">
        <v>79</v>
      </c>
      <c r="H4244">
        <v>100</v>
      </c>
      <c r="I4244" t="inlineStr">
        <is>
          <t>美妆</t>
        </is>
      </c>
      <c r="J4244" t="inlineStr">
        <is>
          <t>0.00</t>
        </is>
      </c>
      <c r="K4244"/>
      <c r="L4244" t="inlineStr">
        <is>
          <t>Girlcult构奇旗舰店</t>
        </is>
      </c>
      <c r="M4244">
        <v>193000</v>
      </c>
      <c r="N4244">
        <v>4.77</v>
      </c>
      <c r="O4244">
        <v>821000</v>
      </c>
      <c r="P4244" t="inlineStr">
        <is>
          <t>67dfbc1d1101af0001a4a948</t>
        </is>
      </c>
      <c r="Q4244" t="inlineStr">
        <is>
          <t>🚫重复</t>
        </is>
      </c>
      <c r="R4244" t="inlineStr">
        <is>
          <t>15周</t>
        </is>
      </c>
      <c r="S4244" t="inlineStr">
        <is>
          <t>0.26</t>
        </is>
      </c>
      <c r="T4244" t="inlineStr">
        <is>
          <t>美妆个护</t>
        </is>
      </c>
      <c r="U4244" t="inlineStr">
        <is>
          <t>护肤彩妆</t>
        </is>
      </c>
      <c r="V4244" s="3">
        <v>46124.971342592595</v>
      </c>
      <c r="W4244" t="inlineStr">
        <is>
          <t>2026-Q2</t>
        </is>
      </c>
    </row>
    <row r="4245" ht="25.5" customHeight="1">
      <c r="A4245" t="inlineStr">
        <is>
          <t>毛吉吉 · 【官方直售】新品粉棕丹宁 黑丹宁粉扑上妆清透服帖</t>
        </is>
      </c>
      <c r="B4245" t="inlineStr">
        <is>
          <t>__upload_recvgAET7xdPys.jpg</t>
        </is>
      </c>
      <c r="C4245" s="2" t="str">
        <f>=HYPERLINK("https://xhslink.com/m/6Ty3khPyNhp", "https://xhslink.com/m/6Ty3khPyNhp")</f>
        <v>https://xhslink.com/m/6Ty3khPyNhp</v>
      </c>
      <c r="D4245"/>
      <c r="E4245">
        <v>22000</v>
      </c>
      <c r="F4245">
        <v>35</v>
      </c>
      <c r="G4245"/>
      <c r="H4245">
        <v>100</v>
      </c>
      <c r="I4245" t="inlineStr">
        <is>
          <t>美妆</t>
        </is>
      </c>
      <c r="J4245" t="inlineStr">
        <is>
          <t>0.00</t>
        </is>
      </c>
      <c r="K4245"/>
      <c r="L4245" t="inlineStr">
        <is>
          <t>Momos Workshop毛吉吉旗舰店</t>
        </is>
      </c>
      <c r="M4245">
        <v>47000</v>
      </c>
      <c r="N4245">
        <v>4.7</v>
      </c>
      <c r="O4245">
        <v>314000</v>
      </c>
      <c r="P4245" t="inlineStr">
        <is>
          <t>663df846f93e9a000159a319</t>
        </is>
      </c>
      <c r="Q4245" t="inlineStr">
        <is>
          <t>🚫重复</t>
        </is>
      </c>
      <c r="R4245" t="inlineStr">
        <is>
          <t>15周</t>
        </is>
      </c>
      <c r="S4245" t="inlineStr">
        <is>
          <t>0.47</t>
        </is>
      </c>
      <c r="T4245" t="inlineStr">
        <is>
          <t>美妆个护</t>
        </is>
      </c>
      <c r="U4245" t="inlineStr">
        <is>
          <t>护肤彩妆</t>
        </is>
      </c>
      <c r="V4245" s="3">
        <v>46124.971342592595</v>
      </c>
      <c r="W4245" t="inlineStr">
        <is>
          <t>2026-Q2</t>
        </is>
      </c>
    </row>
    <row r="4246" ht="25.5" customHeight="1">
      <c r="A4246" t="inlineStr">
        <is>
          <t>荔树拖鞋粉扑化妆师专用亲水性聚氨酯无痕定妆湿用</t>
        </is>
      </c>
      <c r="B4246" t="inlineStr">
        <is>
          <t>__upload_recvgAET7xF6n4.jpg</t>
        </is>
      </c>
      <c r="C4246" s="2" t="str">
        <f>=HYPERLINK("https://xhslink.com/m/7KrkYNGdYK1", "https://xhslink.com/m/7KrkYNGdYK1")</f>
        <v>https://xhslink.com/m/7KrkYNGdYK1</v>
      </c>
      <c r="D4246"/>
      <c r="E4246">
        <v>2887</v>
      </c>
      <c r="F4246">
        <v>29.9</v>
      </c>
      <c r="G4246">
        <v>19.9</v>
      </c>
      <c r="H4246">
        <v>100</v>
      </c>
      <c r="I4246" t="inlineStr">
        <is>
          <t>美妆</t>
        </is>
      </c>
      <c r="J4246" t="inlineStr">
        <is>
          <t>0.03</t>
        </is>
      </c>
      <c r="K4246" t="inlineStr">
        <is>
          <t>🔥低粉爆款</t>
        </is>
      </c>
      <c r="L4246" t="inlineStr">
        <is>
          <t>小公主的店</t>
        </is>
      </c>
      <c r="M4246">
        <v>241</v>
      </c>
      <c r="N4246">
        <v>4.51</v>
      </c>
      <c r="O4246">
        <v>3914</v>
      </c>
      <c r="P4246" t="inlineStr">
        <is>
          <t>69967f47d5afea0001041133</t>
        </is>
      </c>
      <c r="Q4246"/>
      <c r="R4246" t="inlineStr">
        <is>
          <t>15周</t>
        </is>
      </c>
      <c r="S4246" t="inlineStr">
        <is>
          <t>11.98</t>
        </is>
      </c>
      <c r="T4246" t="inlineStr">
        <is>
          <t>美妆个护</t>
        </is>
      </c>
      <c r="U4246" t="inlineStr">
        <is>
          <t>护肤彩妆</t>
        </is>
      </c>
      <c r="V4246" s="3">
        <v>46124.971342592595</v>
      </c>
      <c r="W4246" t="inlineStr">
        <is>
          <t>2026-Q2</t>
        </is>
      </c>
    </row>
    <row r="4247" ht="25.5" customHeight="1">
      <c r="A4247" t="inlineStr">
        <is>
          <t>尔木萄AMORTALS · 花园2.0系列粉饼扑短绒释粉均匀底妆定妆服帖细腻柔焦百搭新手党</t>
        </is>
      </c>
      <c r="B4247" t="inlineStr">
        <is>
          <t>__upload_recvgAET7x6vN7.jpg</t>
        </is>
      </c>
      <c r="C4247" s="2" t="str">
        <f>=HYPERLINK("https://xhslink.com/m/3AvEKKaBTRS", "https://xhslink.com/m/3AvEKKaBTRS")</f>
        <v>https://xhslink.com/m/3AvEKKaBTRS</v>
      </c>
      <c r="D4247"/>
      <c r="E4247">
        <v>3104</v>
      </c>
      <c r="F4247">
        <v>29.9</v>
      </c>
      <c r="G4247">
        <v>19.9</v>
      </c>
      <c r="H4247">
        <v>100</v>
      </c>
      <c r="I4247" t="inlineStr">
        <is>
          <t>美妆</t>
        </is>
      </c>
      <c r="J4247" t="inlineStr">
        <is>
          <t>0.03</t>
        </is>
      </c>
      <c r="K4247"/>
      <c r="L4247" t="inlineStr">
        <is>
          <t>AMORTALS尔木萄旗舰店</t>
        </is>
      </c>
      <c r="M4247">
        <v>388000</v>
      </c>
      <c r="N4247">
        <v>4.71</v>
      </c>
      <c r="O4247">
        <v>1938000</v>
      </c>
      <c r="P4247" t="inlineStr">
        <is>
          <t>696f187cd69f530001793560</t>
        </is>
      </c>
      <c r="Q4247" t="inlineStr">
        <is>
          <t>🚫重复</t>
        </is>
      </c>
      <c r="R4247" t="inlineStr">
        <is>
          <t>15周</t>
        </is>
      </c>
      <c r="S4247" t="inlineStr">
        <is>
          <t>0.01</t>
        </is>
      </c>
      <c r="T4247" t="inlineStr">
        <is>
          <t>美妆个护</t>
        </is>
      </c>
      <c r="U4247" t="inlineStr">
        <is>
          <t>护肤彩妆</t>
        </is>
      </c>
      <c r="V4247" s="3">
        <v>46124.971342592595</v>
      </c>
      <c r="W4247" t="inlineStr">
        <is>
          <t>2026-Q2</t>
        </is>
      </c>
    </row>
    <row r="4248" ht="25.5" customHeight="1">
      <c r="A4248" t="inlineStr">
        <is>
          <t>爱物极物 · 金砖刮刀粉扑上妆无瑕底妆韩式清透服帖释粉均匀新手干湿两用</t>
        </is>
      </c>
      <c r="B4248" t="inlineStr">
        <is>
          <t>__upload_recvgAET7xsv6M.jpg</t>
        </is>
      </c>
      <c r="C4248" s="2" t="str">
        <f>=HYPERLINK("https://xhslink.com/m/4FHYPrWmdS", "https://xhslink.com/m/4FHYPrWmdS")</f>
        <v>https://xhslink.com/m/4FHYPrWmdS</v>
      </c>
      <c r="D4248"/>
      <c r="E4248">
        <v>71000</v>
      </c>
      <c r="F4248">
        <v>22</v>
      </c>
      <c r="G4248"/>
      <c r="H4248">
        <v>100</v>
      </c>
      <c r="I4248" t="inlineStr">
        <is>
          <t>美妆</t>
        </is>
      </c>
      <c r="J4248" t="inlineStr">
        <is>
          <t>0.00</t>
        </is>
      </c>
      <c r="K4248"/>
      <c r="L4248" t="inlineStr">
        <is>
          <t>爱物极物旗舰店</t>
        </is>
      </c>
      <c r="M4248">
        <v>56000</v>
      </c>
      <c r="N4248">
        <v>4.82</v>
      </c>
      <c r="O4248">
        <v>2156000</v>
      </c>
      <c r="P4248" t="inlineStr">
        <is>
          <t>67e111bb388ba60001105e9b</t>
        </is>
      </c>
      <c r="Q4248" t="inlineStr">
        <is>
          <t>🚫重复</t>
        </is>
      </c>
      <c r="R4248" t="inlineStr">
        <is>
          <t>15周</t>
        </is>
      </c>
      <c r="S4248" t="inlineStr">
        <is>
          <t>1.27</t>
        </is>
      </c>
      <c r="T4248" t="inlineStr">
        <is>
          <t>美妆个护</t>
        </is>
      </c>
      <c r="U4248" t="inlineStr">
        <is>
          <t>护肤彩妆</t>
        </is>
      </c>
      <c r="V4248" s="3">
        <v>46124.971342592595</v>
      </c>
      <c r="W4248" t="inlineStr">
        <is>
          <t>2026-Q2</t>
        </is>
      </c>
    </row>
    <row r="4249" ht="25.5" customHeight="1">
      <c r="A4249" t="inlineStr">
        <is>
          <t>丝绒1000片拼图礼物治愈系解压益智玩具高颜值男女孩礼物</t>
        </is>
      </c>
      <c r="B4249" t="inlineStr">
        <is>
          <t>__upload_recvgAET7xN8p0.jpg</t>
        </is>
      </c>
      <c r="C4249" s="2" t="str">
        <f>=HYPERLINK("https://xhslink.com/m/OF8swj6KHX", "https://xhslink.com/m/OF8swj6KHX")</f>
        <v>https://xhslink.com/m/OF8swj6KHX</v>
      </c>
      <c r="D4249"/>
      <c r="E4249">
        <v>1369</v>
      </c>
      <c r="F4249">
        <v>29.9</v>
      </c>
      <c r="G4249"/>
      <c r="H4249">
        <v>100</v>
      </c>
      <c r="I4249" t="inlineStr">
        <is>
          <t>积木拼图</t>
        </is>
      </c>
      <c r="J4249" t="inlineStr">
        <is>
          <t>0.07</t>
        </is>
      </c>
      <c r="K4249"/>
      <c r="L4249" t="inlineStr">
        <is>
          <t>Yeah！小颗粒的店</t>
        </is>
      </c>
      <c r="M4249">
        <v>48000</v>
      </c>
      <c r="N4249">
        <v>4.58</v>
      </c>
      <c r="O4249">
        <v>58000</v>
      </c>
      <c r="P4249" t="inlineStr">
        <is>
          <t>696349231bb69f0001fe5942</t>
        </is>
      </c>
      <c r="Q4249"/>
      <c r="R4249" t="inlineStr">
        <is>
          <t>15周</t>
        </is>
      </c>
      <c r="S4249" t="inlineStr">
        <is>
          <t>0.03</t>
        </is>
      </c>
      <c r="T4249" t="inlineStr">
        <is>
          <t>母婴亲子</t>
        </is>
      </c>
      <c r="U4249" t="inlineStr">
        <is>
          <t>玩具早教</t>
        </is>
      </c>
      <c r="V4249" s="3">
        <v>46124.971342592595</v>
      </c>
      <c r="W4249" t="inlineStr">
        <is>
          <t>2026-Q2</t>
        </is>
      </c>
    </row>
    <row r="4250" ht="25.5" customHeight="1">
      <c r="A4250" t="inlineStr">
        <is>
          <t>【冲 10w 限时优惠】 爆炸球扭扭乐高品质专注力解压 adhd</t>
        </is>
      </c>
      <c r="B4250" t="inlineStr">
        <is>
          <t>__upload_recvgAET7xYhOt.jpg</t>
        </is>
      </c>
      <c r="C4250" s="2" t="str">
        <f>=HYPERLINK("https://xhslink.com/m/5Z4v1AUDSj6", "https://xhslink.com/m/5Z4v1AUDSj6")</f>
        <v>https://xhslink.com/m/5Z4v1AUDSj6</v>
      </c>
      <c r="D4250"/>
      <c r="E4250">
        <v>100000</v>
      </c>
      <c r="F4250">
        <v>59.9</v>
      </c>
      <c r="G4250">
        <v>27.9</v>
      </c>
      <c r="H4250">
        <v>100</v>
      </c>
      <c r="I4250" t="inlineStr">
        <is>
          <t>解压玩具</t>
        </is>
      </c>
      <c r="J4250" t="inlineStr">
        <is>
          <t>0.00</t>
        </is>
      </c>
      <c r="K4250" t="inlineStr">
        <is>
          <t>🔥低粉爆款</t>
        </is>
      </c>
      <c r="L4250" t="inlineStr">
        <is>
          <t>爆炸球的店</t>
        </is>
      </c>
      <c r="M4250">
        <v>3878</v>
      </c>
      <c r="N4250">
        <v>4.45</v>
      </c>
      <c r="O4250">
        <v>127000</v>
      </c>
      <c r="P4250" t="inlineStr">
        <is>
          <t>694939e16a3f3f0001436813</t>
        </is>
      </c>
      <c r="Q4250"/>
      <c r="R4250" t="inlineStr">
        <is>
          <t>15周</t>
        </is>
      </c>
      <c r="S4250" t="inlineStr">
        <is>
          <t>25.79</t>
        </is>
      </c>
      <c r="T4250" t="inlineStr">
        <is>
          <t>运动潮玩</t>
        </is>
      </c>
      <c r="U4250" t="inlineStr">
        <is>
          <t>潮玩手办</t>
        </is>
      </c>
      <c r="V4250" s="3">
        <v>46124.971342592595</v>
      </c>
      <c r="W4250" t="inlineStr">
        <is>
          <t>2026-Q2</t>
        </is>
      </c>
    </row>
    <row r="4251" ht="25.5" customHeight="1">
      <c r="A4251" t="inlineStr">
        <is>
          <t>【6.8包邮】瑕疵体验组合慢回弹 有瑕疵无售后介意勿拍</t>
        </is>
      </c>
      <c r="B4251" t="inlineStr">
        <is>
          <t>__upload_recvgAET7xGFtm.jpg</t>
        </is>
      </c>
      <c r="C4251" s="2" t="str">
        <f>=HYPERLINK("https://xhslink.com/m/Aq4wxWH9Vur", "https://xhslink.com/m/Aq4wxWH9Vur")</f>
        <v>https://xhslink.com/m/Aq4wxWH9Vur</v>
      </c>
      <c r="D4251"/>
      <c r="E4251">
        <v>8178</v>
      </c>
      <c r="F4251">
        <v>6.8</v>
      </c>
      <c r="G4251"/>
      <c r="H4251">
        <v>100</v>
      </c>
      <c r="I4251" t="inlineStr">
        <is>
          <t>解压玩具</t>
        </is>
      </c>
      <c r="J4251" t="inlineStr">
        <is>
          <t>0.01</t>
        </is>
      </c>
      <c r="K4251"/>
      <c r="L4251" t="inlineStr">
        <is>
          <t>x_x.小熊squishy.慢回弹的店</t>
        </is>
      </c>
      <c r="M4251">
        <v>13000</v>
      </c>
      <c r="N4251">
        <v>4.36</v>
      </c>
      <c r="O4251">
        <v>57000</v>
      </c>
      <c r="P4251" t="inlineStr">
        <is>
          <t>6921334918096d00018120fe</t>
        </is>
      </c>
      <c r="Q4251"/>
      <c r="R4251" t="inlineStr">
        <is>
          <t>15周</t>
        </is>
      </c>
      <c r="S4251" t="inlineStr">
        <is>
          <t>0.63</t>
        </is>
      </c>
      <c r="T4251" t="inlineStr">
        <is>
          <t>母婴亲子</t>
        </is>
      </c>
      <c r="U4251" t="inlineStr">
        <is>
          <t>玩具早教</t>
        </is>
      </c>
      <c r="V4251" s="3">
        <v>46124.971342592595</v>
      </c>
      <c r="W4251" t="inlineStr">
        <is>
          <t>2026-Q2</t>
        </is>
      </c>
    </row>
    <row r="4252" ht="25.5" customHeight="1">
      <c r="A4252" t="inlineStr">
        <is>
          <t>士多啤梨温变RAORAOLE捏捏乐专注力训练ADHD陪读玩具解压考研好物</t>
        </is>
      </c>
      <c r="B4252" t="inlineStr">
        <is>
          <t>__upload_recvgAET7xx6Rs.jpg</t>
        </is>
      </c>
      <c r="C4252" s="2" t="str">
        <f>=HYPERLINK("https://xhslink.com/m/4PkgYrUqE07", "https://xhslink.com/m/4PkgYrUqE07")</f>
        <v>https://xhslink.com/m/4PkgYrUqE07</v>
      </c>
      <c r="D4252"/>
      <c r="E4252">
        <v>985</v>
      </c>
      <c r="F4252">
        <v>22.68</v>
      </c>
      <c r="G4252">
        <v>12.68</v>
      </c>
      <c r="H4252">
        <v>100</v>
      </c>
      <c r="I4252" t="inlineStr">
        <is>
          <t>解压玩具</t>
        </is>
      </c>
      <c r="J4252" t="inlineStr">
        <is>
          <t>0.10</t>
        </is>
      </c>
      <c r="K4252"/>
      <c r="L4252" t="inlineStr">
        <is>
          <t>士多啤梨大帝STRAWBERREGENT的店</t>
        </is>
      </c>
      <c r="M4252">
        <v>676</v>
      </c>
      <c r="N4252">
        <v>4.52</v>
      </c>
      <c r="O4252">
        <v>5669</v>
      </c>
      <c r="P4252" t="inlineStr">
        <is>
          <t>6960732ac3604d00153a4a80</t>
        </is>
      </c>
      <c r="Q4252"/>
      <c r="R4252" t="inlineStr">
        <is>
          <t>15周</t>
        </is>
      </c>
      <c r="S4252" t="inlineStr">
        <is>
          <t>1.46</t>
        </is>
      </c>
      <c r="T4252" t="inlineStr">
        <is>
          <t>母婴亲子</t>
        </is>
      </c>
      <c r="U4252" t="inlineStr">
        <is>
          <t>玩具早教</t>
        </is>
      </c>
      <c r="V4252" s="3">
        <v>46124.971342592595</v>
      </c>
      <c r="W4252" t="inlineStr">
        <is>
          <t>2026-Q2</t>
        </is>
      </c>
    </row>
    <row r="4253" ht="25.5" customHeight="1">
      <c r="A4253" t="inlineStr">
        <is>
          <t>【笔记同款】正版老头液态玻璃泥不粘手不变干金属光泽透明弹跳泥</t>
        </is>
      </c>
      <c r="B4253" t="inlineStr">
        <is>
          <t>__upload_recvgAET7xeqRD.jpg</t>
        </is>
      </c>
      <c r="C4253" s="2" t="str">
        <f>=HYPERLINK("https://xhslink.com/m/Vx5FlKPkqD", "https://xhslink.com/m/Vx5FlKPkqD")</f>
        <v>https://xhslink.com/m/Vx5FlKPkqD</v>
      </c>
      <c r="D4253"/>
      <c r="E4253">
        <v>10000</v>
      </c>
      <c r="F4253">
        <v>15.8</v>
      </c>
      <c r="G4253">
        <v>15</v>
      </c>
      <c r="H4253">
        <v>100</v>
      </c>
      <c r="I4253" t="inlineStr">
        <is>
          <t>解压玩具</t>
        </is>
      </c>
      <c r="J4253" t="inlineStr">
        <is>
          <t>0.01</t>
        </is>
      </c>
      <c r="K4253"/>
      <c r="L4253" t="inlineStr">
        <is>
          <t>阳光小熊的店</t>
        </is>
      </c>
      <c r="M4253">
        <v>4975</v>
      </c>
      <c r="N4253">
        <v>4.41</v>
      </c>
      <c r="O4253">
        <v>16000</v>
      </c>
      <c r="P4253" t="inlineStr">
        <is>
          <t>66e44fb9878677000123ebe3</t>
        </is>
      </c>
      <c r="Q4253"/>
      <c r="R4253" t="inlineStr">
        <is>
          <t>15周</t>
        </is>
      </c>
      <c r="S4253" t="inlineStr">
        <is>
          <t>2.01</t>
        </is>
      </c>
      <c r="T4253" t="inlineStr">
        <is>
          <t>运动潮玩</t>
        </is>
      </c>
      <c r="U4253" t="inlineStr">
        <is>
          <t>图书文创</t>
        </is>
      </c>
      <c r="V4253" s="3">
        <v>46124.971342592595</v>
      </c>
      <c r="W4253" t="inlineStr">
        <is>
          <t>2026-Q2</t>
        </is>
      </c>
    </row>
    <row r="4254" ht="25.5" customHeight="1">
      <c r="A4254" t="inlineStr">
        <is>
          <t>初格正版浮雕叠叠乐解压玩具创意DIY浮雕叠叠乐减压立体贴纸送闺</t>
        </is>
      </c>
      <c r="B4254" t="inlineStr">
        <is>
          <t>__upload_recvgAET7xzxFx.jpg</t>
        </is>
      </c>
      <c r="C4254" s="2" t="str">
        <f>=HYPERLINK("https://xhslink.com/m/A37UlQFxkjT", "https://xhslink.com/m/A37UlQFxkjT")</f>
        <v>https://xhslink.com/m/A37UlQFxkjT</v>
      </c>
      <c r="D4254"/>
      <c r="E4254">
        <v>3571</v>
      </c>
      <c r="F4254">
        <v>36.9</v>
      </c>
      <c r="G4254"/>
      <c r="H4254">
        <v>100</v>
      </c>
      <c r="I4254" t="inlineStr">
        <is>
          <t>解压玩具</t>
        </is>
      </c>
      <c r="J4254" t="inlineStr">
        <is>
          <t>0.03</t>
        </is>
      </c>
      <c r="K4254"/>
      <c r="L4254" t="inlineStr">
        <is>
          <t>初格贴纸的店</t>
        </is>
      </c>
      <c r="M4254">
        <v>37000</v>
      </c>
      <c r="N4254">
        <v>4.61</v>
      </c>
      <c r="O4254">
        <v>3737</v>
      </c>
      <c r="P4254" t="inlineStr">
        <is>
          <t>694ca2ae110a7f0001dc4531</t>
        </is>
      </c>
      <c r="Q4254"/>
      <c r="R4254" t="inlineStr">
        <is>
          <t>15周</t>
        </is>
      </c>
      <c r="S4254" t="inlineStr">
        <is>
          <t>0.10</t>
        </is>
      </c>
      <c r="T4254" t="inlineStr">
        <is>
          <t>母婴亲子</t>
        </is>
      </c>
      <c r="U4254" t="inlineStr">
        <is>
          <t>玩具早教</t>
        </is>
      </c>
      <c r="V4254" s="3">
        <v>46124.971342592595</v>
      </c>
      <c r="W4254" t="inlineStr">
        <is>
          <t>2026-Q2</t>
        </is>
      </c>
    </row>
    <row r="4255" ht="25.5" customHeight="1">
      <c r="A4255" t="inlineStr">
        <is>
          <t>【解压小方】入门级指尖·adhd解压玩具</t>
        </is>
      </c>
      <c r="B4255" t="inlineStr">
        <is>
          <t>__upload_recvgAET7xqZIV.jpg</t>
        </is>
      </c>
      <c r="C4255" s="2" t="str">
        <f>=HYPERLINK("https://xhslink.com/m/1pEkCELeRpR", "https://xhslink.com/m/1pEkCELeRpR")</f>
        <v>https://xhslink.com/m/1pEkCELeRpR</v>
      </c>
      <c r="D4255"/>
      <c r="E4255">
        <v>4805</v>
      </c>
      <c r="F4255">
        <v>28.9</v>
      </c>
      <c r="G4255">
        <v>26.9</v>
      </c>
      <c r="H4255">
        <v>100</v>
      </c>
      <c r="I4255" t="inlineStr">
        <is>
          <t>解压玩具</t>
        </is>
      </c>
      <c r="J4255" t="inlineStr">
        <is>
          <t>0.02</t>
        </is>
      </c>
      <c r="K4255"/>
      <c r="L4255" t="inlineStr">
        <is>
          <t>Bubble Pear的店</t>
        </is>
      </c>
      <c r="M4255">
        <v>21000</v>
      </c>
      <c r="N4255">
        <v>4.44</v>
      </c>
      <c r="O4255">
        <v>16000</v>
      </c>
      <c r="P4255" t="inlineStr">
        <is>
          <t>699be2f106f9da000186ea15</t>
        </is>
      </c>
      <c r="Q4255"/>
      <c r="R4255" t="inlineStr">
        <is>
          <t>15周</t>
        </is>
      </c>
      <c r="S4255" t="inlineStr">
        <is>
          <t>0.23</t>
        </is>
      </c>
      <c r="T4255" t="inlineStr">
        <is>
          <t>母婴亲子</t>
        </is>
      </c>
      <c r="U4255" t="inlineStr">
        <is>
          <t>玩具早教</t>
        </is>
      </c>
      <c r="V4255" s="3">
        <v>46124.971342592595</v>
      </c>
      <c r="W4255" t="inlineStr">
        <is>
          <t>2026-Q2</t>
        </is>
      </c>
    </row>
    <row r="4256" ht="25.5" customHeight="1">
      <c r="A4256" t="inlineStr">
        <is>
          <t>Tangle · 艺术家系列扭扭乐ADHD专注力手指训练神器解压小玩具专注力寒假</t>
        </is>
      </c>
      <c r="B4256" t="inlineStr">
        <is>
          <t>__upload_recvgAET7xWsod.jpg</t>
        </is>
      </c>
      <c r="C4256" s="2" t="str">
        <f>=HYPERLINK("https://xhslink.com/m/Re9kOQ73TR", "https://xhslink.com/m/Re9kOQ73TR")</f>
        <v>https://xhslink.com/m/Re9kOQ73TR</v>
      </c>
      <c r="D4256"/>
      <c r="E4256">
        <v>4979</v>
      </c>
      <c r="F4256">
        <v>60</v>
      </c>
      <c r="G4256"/>
      <c r="H4256">
        <v>100</v>
      </c>
      <c r="I4256" t="inlineStr">
        <is>
          <t>解压玩具</t>
        </is>
      </c>
      <c r="J4256" t="inlineStr">
        <is>
          <t>0.02</t>
        </is>
      </c>
      <c r="K4256"/>
      <c r="L4256" t="inlineStr">
        <is>
          <t>Tangle旗舰店</t>
        </is>
      </c>
      <c r="M4256">
        <v>87000</v>
      </c>
      <c r="N4256">
        <v>4.53</v>
      </c>
      <c r="O4256">
        <v>156000</v>
      </c>
      <c r="P4256" t="inlineStr">
        <is>
          <t>6961f8ae9d8afd0001c929b1</t>
        </is>
      </c>
      <c r="Q4256" t="inlineStr">
        <is>
          <t>🚫重复</t>
        </is>
      </c>
      <c r="R4256" t="inlineStr">
        <is>
          <t>15周</t>
        </is>
      </c>
      <c r="S4256" t="inlineStr">
        <is>
          <t>0.06</t>
        </is>
      </c>
      <c r="T4256" t="inlineStr">
        <is>
          <t>母婴亲子</t>
        </is>
      </c>
      <c r="U4256" t="inlineStr">
        <is>
          <t>玩具早教</t>
        </is>
      </c>
      <c r="V4256" s="3">
        <v>46124.971342592595</v>
      </c>
      <c r="W4256" t="inlineStr">
        <is>
          <t>2026-Q2</t>
        </is>
      </c>
    </row>
    <row r="4257" ht="25.5" customHeight="1">
      <c r="A4257" t="inlineStr">
        <is>
          <t>哭娃挂件 可包挂、车挂、钥匙扣（改娃默认微瑕）</t>
        </is>
      </c>
      <c r="B4257" t="inlineStr">
        <is>
          <t>__upload_recvgAET7xwimY.jpg</t>
        </is>
      </c>
      <c r="C4257" s="2" t="str">
        <f>=HYPERLINK("https://xhslink.com/m/8WY5eEE5Cec", "https://xhslink.com/m/8WY5eEE5Cec")</f>
        <v>https://xhslink.com/m/8WY5eEE5Cec</v>
      </c>
      <c r="D4257"/>
      <c r="E4257">
        <v>3525</v>
      </c>
      <c r="F4257">
        <v>67.8</v>
      </c>
      <c r="G4257">
        <v>39.8</v>
      </c>
      <c r="H4257">
        <v>100</v>
      </c>
      <c r="I4257" t="inlineStr">
        <is>
          <t>包挂仔公仔</t>
        </is>
      </c>
      <c r="J4257" t="inlineStr">
        <is>
          <t>0.03</t>
        </is>
      </c>
      <c r="K4257" t="inlineStr">
        <is>
          <t>🔥低粉爆款</t>
        </is>
      </c>
      <c r="L4257" t="inlineStr">
        <is>
          <t>Good好物商店的店</t>
        </is>
      </c>
      <c r="M4257">
        <v>124</v>
      </c>
      <c r="N4257">
        <v>4.52</v>
      </c>
      <c r="O4257">
        <v>6703</v>
      </c>
      <c r="P4257" t="inlineStr">
        <is>
          <t>68eb9281ce94ee0001499ed4</t>
        </is>
      </c>
      <c r="Q4257"/>
      <c r="R4257" t="inlineStr">
        <is>
          <t>15周</t>
        </is>
      </c>
      <c r="S4257" t="inlineStr">
        <is>
          <t>28.43</t>
        </is>
      </c>
      <c r="T4257" t="inlineStr">
        <is>
          <t>服饰穿搭</t>
        </is>
      </c>
      <c r="U4257" t="inlineStr">
        <is>
          <t>配饰</t>
        </is>
      </c>
      <c r="V4257" s="3">
        <v>46124.971342592595</v>
      </c>
      <c r="W4257" t="inlineStr">
        <is>
          <t>2026-Q2</t>
        </is>
      </c>
    </row>
    <row r="4258" ht="25.5" customHeight="1">
      <c r="A4258" t="inlineStr">
        <is>
          <t>Mtime · 【沈梦辰同款】小马宝莉皮质毛绒公仔挂件潮玩挂饰可爱女生生日礼</t>
        </is>
      </c>
      <c r="B4258" t="inlineStr">
        <is>
          <t>__upload_recvgAET7x1Krn.jpg</t>
        </is>
      </c>
      <c r="C4258" s="2" t="str">
        <f>=HYPERLINK("https://xhslink.com/m/61KsRLACrt", "https://xhslink.com/m/61KsRLACrt")</f>
        <v>https://xhslink.com/m/61KsRLACrt</v>
      </c>
      <c r="D4258"/>
      <c r="E4258">
        <v>510</v>
      </c>
      <c r="F4258">
        <v>39.9</v>
      </c>
      <c r="G4258">
        <v>38.9</v>
      </c>
      <c r="H4258">
        <v>100</v>
      </c>
      <c r="I4258" t="inlineStr">
        <is>
          <t>包挂仔公仔</t>
        </is>
      </c>
      <c r="J4258" t="inlineStr">
        <is>
          <t>0.20</t>
        </is>
      </c>
      <c r="K4258"/>
      <c r="L4258" t="inlineStr">
        <is>
          <t>时光网Mtime专卖店</t>
        </is>
      </c>
      <c r="M4258">
        <v>11000</v>
      </c>
      <c r="N4258">
        <v>4.64</v>
      </c>
      <c r="O4258">
        <v>21000</v>
      </c>
      <c r="P4258" t="inlineStr">
        <is>
          <t>698599d778d8d5000123351f</t>
        </is>
      </c>
      <c r="Q4258"/>
      <c r="R4258" t="inlineStr">
        <is>
          <t>15周</t>
        </is>
      </c>
      <c r="S4258" t="inlineStr">
        <is>
          <t>0.05</t>
        </is>
      </c>
      <c r="T4258" t="inlineStr">
        <is>
          <t>服饰穿搭</t>
        </is>
      </c>
      <c r="U4258" t="inlineStr">
        <is>
          <t>配饰</t>
        </is>
      </c>
      <c r="V4258" s="3">
        <v>46124.971342592595</v>
      </c>
      <c r="W4258" t="inlineStr">
        <is>
          <t>2026-Q2</t>
        </is>
      </c>
    </row>
    <row r="4259" ht="25.5" customHeight="1">
      <c r="A4259" t="inlineStr">
        <is>
          <t>【宅女同款kitty】黑皮长腿kitty包包挂件毛绒公仔钥匙扣挂饰</t>
        </is>
      </c>
      <c r="B4259" t="inlineStr">
        <is>
          <t>__upload_recvgAET7xp3Lz.jpg</t>
        </is>
      </c>
      <c r="C4259" s="2" t="str">
        <f>=HYPERLINK("https://xhslink.com/m/6dpRpWhb7OS", "https://xhslink.com/m/6dpRpWhb7OS")</f>
        <v>https://xhslink.com/m/6dpRpWhb7OS</v>
      </c>
      <c r="D4259"/>
      <c r="E4259">
        <v>13000</v>
      </c>
      <c r="F4259">
        <v>42.9</v>
      </c>
      <c r="G4259">
        <v>39.9</v>
      </c>
      <c r="H4259">
        <v>100</v>
      </c>
      <c r="I4259" t="inlineStr">
        <is>
          <t>包挂仔公仔</t>
        </is>
      </c>
      <c r="J4259" t="inlineStr">
        <is>
          <t>0.01</t>
        </is>
      </c>
      <c r="K4259" t="inlineStr">
        <is>
          <t>🔥低粉爆款</t>
        </is>
      </c>
      <c r="L4259" t="inlineStr">
        <is>
          <t>趣兜兜Kitty的店</t>
        </is>
      </c>
      <c r="M4259">
        <v>3330</v>
      </c>
      <c r="N4259">
        <v>4.74</v>
      </c>
      <c r="O4259">
        <v>18000</v>
      </c>
      <c r="P4259" t="inlineStr">
        <is>
          <t>67fbb9791899f10001ee43a3</t>
        </is>
      </c>
      <c r="Q4259" t="inlineStr">
        <is>
          <t>🚫重复</t>
        </is>
      </c>
      <c r="R4259" t="inlineStr">
        <is>
          <t>15周</t>
        </is>
      </c>
      <c r="S4259" t="inlineStr">
        <is>
          <t>3.90</t>
        </is>
      </c>
      <c r="T4259" t="inlineStr">
        <is>
          <t>服饰穿搭</t>
        </is>
      </c>
      <c r="U4259" t="inlineStr">
        <is>
          <t>鞋靴箱包</t>
        </is>
      </c>
      <c r="V4259" s="3">
        <v>46124.971342592595</v>
      </c>
      <c r="W4259" t="inlineStr">
        <is>
          <t>2026-Q2</t>
        </is>
      </c>
    </row>
    <row r="4260" ht="25.5" customHeight="1">
      <c r="A4260" t="inlineStr">
        <is>
          <t>插画海报小夜灯卧室客厅沙发角落书桌氛围感2025新款今年流行灯</t>
        </is>
      </c>
      <c r="B4260" t="inlineStr">
        <is>
          <t>recvgGy5hQ3YJM.jpg</t>
        </is>
      </c>
      <c r="C4260" s="2" t="str">
        <f>=HYPERLINK("https://xhslink.com/m/5mVQG6TXBpU", "https://xhslink.com/m/5mVQG6TXBpU")</f>
        <v>https://xhslink.com/m/5mVQG6TXBpU</v>
      </c>
      <c r="D4260"/>
      <c r="E4260">
        <v>3686</v>
      </c>
      <c r="F4260">
        <v>45.9</v>
      </c>
      <c r="G4260">
        <v>41.9</v>
      </c>
      <c r="H4260">
        <v>100</v>
      </c>
      <c r="I4260" t="inlineStr">
        <is>
          <t>地毯</t>
        </is>
      </c>
      <c r="J4260" t="inlineStr">
        <is>
          <t>0.03</t>
        </is>
      </c>
      <c r="K4260"/>
      <c r="L4260" t="inlineStr">
        <is>
          <t>原画in room的店</t>
        </is>
      </c>
      <c r="M4260">
        <v>1545</v>
      </c>
      <c r="N4260">
        <v>4.72</v>
      </c>
      <c r="O4260">
        <v>3940</v>
      </c>
      <c r="P4260" t="inlineStr">
        <is>
          <t>68bc5de95e5b2f000123a3c1</t>
        </is>
      </c>
      <c r="Q4260" t="inlineStr">
        <is>
          <t>🚫重复</t>
        </is>
      </c>
      <c r="R4260" t="inlineStr">
        <is>
          <t>16周</t>
        </is>
      </c>
      <c r="S4260" t="inlineStr">
        <is>
          <t>2.39</t>
        </is>
      </c>
      <c r="T4260" t="inlineStr">
        <is>
          <t>家居生活</t>
        </is>
      </c>
      <c r="U4260" t="inlineStr">
        <is>
          <t>家具家装</t>
        </is>
      </c>
      <c r="V4260" s="3">
        <v>46125.978738425925</v>
      </c>
      <c r="W4260" t="inlineStr">
        <is>
          <t>2026-Q2</t>
        </is>
      </c>
    </row>
    <row r="4261" ht="25.5" customHeight="1">
      <c r="A4261" t="inlineStr">
        <is>
          <t>实木收纳柜抽屉式收纳盒办公桌面整理收纳实木置物架139</t>
        </is>
      </c>
      <c r="B4261" t="inlineStr">
        <is>
          <t>recvgGy5hQcZPo.jpg</t>
        </is>
      </c>
      <c r="C4261" s="2" t="str">
        <f>=HYPERLINK("https://xhslink.com/m/404AzUa8B1a", "https://xhslink.com/m/404AzUa8B1a")</f>
        <v>https://xhslink.com/m/404AzUa8B1a</v>
      </c>
      <c r="D4261"/>
      <c r="E4261">
        <v>739</v>
      </c>
      <c r="F4261">
        <v>29.9</v>
      </c>
      <c r="G4261"/>
      <c r="H4261">
        <v>100</v>
      </c>
      <c r="I4261" t="inlineStr">
        <is>
          <t>收纳</t>
        </is>
      </c>
      <c r="J4261" t="inlineStr">
        <is>
          <t>0.14</t>
        </is>
      </c>
      <c r="K4261"/>
      <c r="L4261" t="inlineStr">
        <is>
          <t>复古杂货的外贸仓的店</t>
        </is>
      </c>
      <c r="M4261">
        <v>571</v>
      </c>
      <c r="N4261">
        <v>4.54</v>
      </c>
      <c r="O4261">
        <v>1453</v>
      </c>
      <c r="P4261" t="inlineStr">
        <is>
          <t>69bb8582d6abc6000142fb29</t>
        </is>
      </c>
      <c r="Q4261"/>
      <c r="R4261" t="inlineStr">
        <is>
          <t>16周</t>
        </is>
      </c>
      <c r="S4261" t="inlineStr">
        <is>
          <t>1.29</t>
        </is>
      </c>
      <c r="T4261" t="inlineStr">
        <is>
          <t>家居生活</t>
        </is>
      </c>
      <c r="U4261" t="inlineStr">
        <is>
          <t>家居日用</t>
        </is>
      </c>
      <c r="V4261" s="3">
        <v>46125.978738425925</v>
      </c>
      <c r="W4261" t="inlineStr">
        <is>
          <t>2026-Q2</t>
        </is>
      </c>
    </row>
    <row r="4262" ht="25.5" customHeight="1">
      <c r="A4262" t="inlineStr">
        <is>
          <t>Excelamb · 保湿补水冰沙霜春夏季修护面霜清爽水润不粘腻晒后舒缓学生党可用</t>
        </is>
      </c>
      <c r="B4262" t="inlineStr">
        <is>
          <t>recvgGy5hQ8EbS.jpg</t>
        </is>
      </c>
      <c r="C4262" s="2" t="str">
        <f>=HYPERLINK("https://xhslink.com/m/5DnWEtjIUaI", "https://xhslink.com/m/5DnWEtjIUaI")</f>
        <v>https://xhslink.com/m/5DnWEtjIUaI</v>
      </c>
      <c r="D4262"/>
      <c r="E4262">
        <v>992</v>
      </c>
      <c r="F4262">
        <v>59.8</v>
      </c>
      <c r="G4262">
        <v>29.9</v>
      </c>
      <c r="H4262">
        <v>100</v>
      </c>
      <c r="I4262" t="inlineStr">
        <is>
          <t>儿童洗护</t>
        </is>
      </c>
      <c r="J4262" t="inlineStr">
        <is>
          <t>0.10</t>
        </is>
      </c>
      <c r="K4262"/>
      <c r="L4262" t="inlineStr">
        <is>
          <t>B’IEUA的店</t>
        </is>
      </c>
      <c r="M4262">
        <v>14000</v>
      </c>
      <c r="N4262">
        <v>4.25</v>
      </c>
      <c r="O4262">
        <v>56000</v>
      </c>
      <c r="P4262" t="inlineStr">
        <is>
          <t>688ac61a02d7b00001f728b9</t>
        </is>
      </c>
      <c r="Q4262" t="inlineStr">
        <is>
          <t>🚫重复</t>
        </is>
      </c>
      <c r="R4262" t="inlineStr">
        <is>
          <t>16周</t>
        </is>
      </c>
      <c r="S4262" t="inlineStr">
        <is>
          <t>0.07</t>
        </is>
      </c>
      <c r="T4262" t="inlineStr">
        <is>
          <t>美妆个护</t>
        </is>
      </c>
      <c r="U4262" t="inlineStr">
        <is>
          <t>护肤彩妆</t>
        </is>
      </c>
      <c r="V4262" s="3">
        <v>46125.978738425925</v>
      </c>
      <c r="W4262" t="inlineStr">
        <is>
          <t>2026-Q2</t>
        </is>
      </c>
    </row>
    <row r="4263" ht="25.5" customHeight="1">
      <c r="A4263" t="inlineStr">
        <is>
          <t>特价香水百合花种球大球带芽耐寒四季盆栽好养易活室内外阳台花卉</t>
        </is>
      </c>
      <c r="B4263" t="inlineStr">
        <is>
          <t>recvgGy5hQ1Wzr.jpg</t>
        </is>
      </c>
      <c r="C4263" s="2" t="str">
        <f>=HYPERLINK("https://xhslink.com/m/3X9KvD5QMo1", "https://xhslink.com/m/3X9KvD5QMo1")</f>
        <v>https://xhslink.com/m/3X9KvD5QMo1</v>
      </c>
      <c r="D4263"/>
      <c r="E4263">
        <v>8047</v>
      </c>
      <c r="F4263">
        <v>9.9</v>
      </c>
      <c r="G4263"/>
      <c r="H4263">
        <v>100</v>
      </c>
      <c r="I4263" t="inlineStr">
        <is>
          <t>绿植</t>
        </is>
      </c>
      <c r="J4263" t="inlineStr">
        <is>
          <t>0.01</t>
        </is>
      </c>
      <c r="K4263" t="inlineStr">
        <is>
          <t>🔥低粉爆款</t>
        </is>
      </c>
      <c r="L4263" t="inlineStr">
        <is>
          <t>姗姗家花卉种球的店</t>
        </is>
      </c>
      <c r="M4263">
        <v>985</v>
      </c>
      <c r="N4263">
        <v>4.14</v>
      </c>
      <c r="O4263">
        <v>8544</v>
      </c>
      <c r="P4263" t="inlineStr">
        <is>
          <t>69b2adf0e95b340001ffc003</t>
        </is>
      </c>
      <c r="Q4263" t="inlineStr">
        <is>
          <t>🚫重复</t>
        </is>
      </c>
      <c r="R4263" t="inlineStr">
        <is>
          <t>16周</t>
        </is>
      </c>
      <c r="S4263" t="inlineStr">
        <is>
          <t>8.17</t>
        </is>
      </c>
      <c r="T4263" t="inlineStr">
        <is>
          <t>家居生活</t>
        </is>
      </c>
      <c r="U4263" t="inlineStr">
        <is>
          <t>家具家装</t>
        </is>
      </c>
      <c r="V4263" s="3">
        <v>46125.978738425925</v>
      </c>
      <c r="W4263" t="inlineStr">
        <is>
          <t>2026-Q2</t>
        </is>
      </c>
    </row>
    <row r="4264" ht="25.5" customHeight="1">
      <c r="A4264" t="inlineStr">
        <is>
          <t>阳台种菜盆家庭多肉植物专用绿萝月季塑料花盆托盘组合园艺盆景盆</t>
        </is>
      </c>
      <c r="B4264" t="inlineStr">
        <is>
          <t>recvgGy5hQp4Er.jpg</t>
        </is>
      </c>
      <c r="C4264" s="2" t="str">
        <f>=HYPERLINK("https://xhslink.com/m/5dROgNiq0n1", "https://xhslink.com/m/5dROgNiq0n1")</f>
        <v>https://xhslink.com/m/5dROgNiq0n1</v>
      </c>
      <c r="D4264"/>
      <c r="E4264">
        <v>18000</v>
      </c>
      <c r="F4264">
        <v>3.94</v>
      </c>
      <c r="G4264">
        <v>2.94</v>
      </c>
      <c r="H4264">
        <v>100</v>
      </c>
      <c r="I4264" t="inlineStr">
        <is>
          <t>绿植</t>
        </is>
      </c>
      <c r="J4264" t="inlineStr">
        <is>
          <t>0.01</t>
        </is>
      </c>
      <c r="K4264" t="inlineStr">
        <is>
          <t>🔥低粉爆款</t>
        </is>
      </c>
      <c r="L4264" t="inlineStr">
        <is>
          <t>90后大学生的店</t>
        </is>
      </c>
      <c r="M4264">
        <v>2178</v>
      </c>
      <c r="N4264">
        <v>4.76</v>
      </c>
      <c r="O4264">
        <v>30000</v>
      </c>
      <c r="P4264" t="inlineStr">
        <is>
          <t>68c2c799c2780300019e8658</t>
        </is>
      </c>
      <c r="Q4264" t="inlineStr">
        <is>
          <t>🚫重复</t>
        </is>
      </c>
      <c r="R4264" t="inlineStr">
        <is>
          <t>16周</t>
        </is>
      </c>
      <c r="S4264" t="inlineStr">
        <is>
          <t>8.26</t>
        </is>
      </c>
      <c r="T4264" t="inlineStr">
        <is>
          <t>家居生活</t>
        </is>
      </c>
      <c r="U4264" t="inlineStr">
        <is>
          <t>家具家装</t>
        </is>
      </c>
      <c r="V4264" s="3">
        <v>46125.978738425925</v>
      </c>
      <c r="W4264" t="inlineStr">
        <is>
          <t>2026-Q2</t>
        </is>
      </c>
    </row>
    <row r="4265" ht="25.5" customHeight="1">
      <c r="A4265" t="inlineStr">
        <is>
          <t>【升级款泡沫喷壶】手动打压打泡沫浇花两用自带量杯双喷嘴带量杯</t>
        </is>
      </c>
      <c r="B4265" t="inlineStr">
        <is>
          <t>recvgGy5hQ9crz.jpg</t>
        </is>
      </c>
      <c r="C4265" s="2" t="str">
        <f>=HYPERLINK("https://xhslink.com/m/28RPrOUxGdS", "https://xhslink.com/m/28RPrOUxGdS")</f>
        <v>https://xhslink.com/m/28RPrOUxGdS</v>
      </c>
      <c r="D4265"/>
      <c r="E4265">
        <v>11000</v>
      </c>
      <c r="F4265">
        <v>29.8</v>
      </c>
      <c r="G4265"/>
      <c r="H4265">
        <v>100</v>
      </c>
      <c r="I4265" t="inlineStr">
        <is>
          <t>喷壶</t>
        </is>
      </c>
      <c r="J4265" t="inlineStr">
        <is>
          <t>0.01</t>
        </is>
      </c>
      <c r="K4265"/>
      <c r="L4265" t="inlineStr">
        <is>
          <t>简白家的店</t>
        </is>
      </c>
      <c r="M4265">
        <v>31000</v>
      </c>
      <c r="N4265">
        <v>4.28</v>
      </c>
      <c r="O4265">
        <v>23000</v>
      </c>
      <c r="P4265" t="inlineStr">
        <is>
          <t>67e594950f9d60000108d1f3</t>
        </is>
      </c>
      <c r="Q4265" t="inlineStr">
        <is>
          <t>🚫重复</t>
        </is>
      </c>
      <c r="R4265" t="inlineStr">
        <is>
          <t>16周</t>
        </is>
      </c>
      <c r="S4265" t="inlineStr">
        <is>
          <t>0.35</t>
        </is>
      </c>
      <c r="T4265" t="inlineStr">
        <is>
          <t>家居生活</t>
        </is>
      </c>
      <c r="U4265" t="inlineStr">
        <is>
          <t>厨房餐饮</t>
        </is>
      </c>
      <c r="V4265" s="3">
        <v>46125.978738425925</v>
      </c>
      <c r="W4265" t="inlineStr">
        <is>
          <t>2026-Q2</t>
        </is>
      </c>
    </row>
    <row r="4266" ht="25.5" customHeight="1">
      <c r="A4266" t="inlineStr">
        <is>
          <t>自然引力-铁饭碗仙人掌植物组合盆栽创意毕业礼物好养绿植小礼品</t>
        </is>
      </c>
      <c r="B4266" t="inlineStr">
        <is>
          <t>recvgGy5hQ09md.jpg</t>
        </is>
      </c>
      <c r="C4266" s="2" t="str">
        <f>=HYPERLINK("https://xhslink.com/m/2DKnuOLOFA8", "https://xhslink.com/m/2DKnuOLOFA8")</f>
        <v>https://xhslink.com/m/2DKnuOLOFA8</v>
      </c>
      <c r="D4266"/>
      <c r="E4266">
        <v>9116</v>
      </c>
      <c r="F4266">
        <v>102.8</v>
      </c>
      <c r="G4266">
        <v>60.8</v>
      </c>
      <c r="H4266">
        <v>100</v>
      </c>
      <c r="I4266" t="inlineStr">
        <is>
          <t>绿植</t>
        </is>
      </c>
      <c r="J4266" t="inlineStr">
        <is>
          <t>0.01</t>
        </is>
      </c>
      <c r="K4266"/>
      <c r="L4266" t="inlineStr">
        <is>
          <t>自然引力NATURALGRAVITY的店</t>
        </is>
      </c>
      <c r="M4266">
        <v>112000</v>
      </c>
      <c r="N4266">
        <v>4.63</v>
      </c>
      <c r="O4266">
        <v>150000</v>
      </c>
      <c r="P4266" t="inlineStr">
        <is>
          <t>6885e5f6eab7930001044180</t>
        </is>
      </c>
      <c r="Q4266" t="inlineStr">
        <is>
          <t>🚫重复</t>
        </is>
      </c>
      <c r="R4266" t="inlineStr">
        <is>
          <t>16周</t>
        </is>
      </c>
      <c r="S4266" t="inlineStr">
        <is>
          <t>0.08</t>
        </is>
      </c>
      <c r="T4266" t="inlineStr">
        <is>
          <t>家居生活</t>
        </is>
      </c>
      <c r="U4266" t="inlineStr">
        <is>
          <t>家具家装</t>
        </is>
      </c>
      <c r="V4266" s="3">
        <v>46125.978738425925</v>
      </c>
      <c r="W4266" t="inlineStr">
        <is>
          <t>2026-Q2</t>
        </is>
      </c>
    </row>
    <row r="4267" ht="25.5" customHeight="1">
      <c r="A4267" t="inlineStr">
        <is>
          <t>OTHER · 仿剑麻地毯日式客厅茶几地毯飘窗毯拍照猫抓毯门口大面积地毯</t>
        </is>
      </c>
      <c r="B4267" t="inlineStr">
        <is>
          <t>recvgGy5hQ4E59.jpg</t>
        </is>
      </c>
      <c r="C4267" s="2" t="str">
        <f>=HYPERLINK("https://xhslink.com/m/5eyzRrE7cBi", "https://xhslink.com/m/5eyzRrE7cBi")</f>
        <v>https://xhslink.com/m/5eyzRrE7cBi</v>
      </c>
      <c r="D4267"/>
      <c r="E4267">
        <v>9841</v>
      </c>
      <c r="F4267">
        <v>11.65</v>
      </c>
      <c r="G4267">
        <v>9.91</v>
      </c>
      <c r="H4267">
        <v>100</v>
      </c>
      <c r="I4267" t="inlineStr">
        <is>
          <t>地毯</t>
        </is>
      </c>
      <c r="J4267" t="inlineStr">
        <is>
          <t>0.01</t>
        </is>
      </c>
      <c r="K4267" t="inlineStr">
        <is>
          <t>🔥低粉爆款</t>
        </is>
      </c>
      <c r="L4267" t="inlineStr">
        <is>
          <t>春光小住的店</t>
        </is>
      </c>
      <c r="M4267">
        <v>2894</v>
      </c>
      <c r="N4267">
        <v>4.47</v>
      </c>
      <c r="O4267">
        <v>69000</v>
      </c>
      <c r="P4267" t="inlineStr">
        <is>
          <t>68105b1b605b3a0001875ced</t>
        </is>
      </c>
      <c r="Q4267"/>
      <c r="R4267" t="inlineStr">
        <is>
          <t>16周</t>
        </is>
      </c>
      <c r="S4267" t="inlineStr">
        <is>
          <t>3.40</t>
        </is>
      </c>
      <c r="T4267" t="inlineStr">
        <is>
          <t>家居生活</t>
        </is>
      </c>
      <c r="U4267" t="inlineStr">
        <is>
          <t>家居日用</t>
        </is>
      </c>
      <c r="V4267" s="3">
        <v>46125.978738425925</v>
      </c>
      <c r="W4267" t="inlineStr">
        <is>
          <t>2026-Q2</t>
        </is>
      </c>
    </row>
    <row r="4268" ht="25.5" customHeight="1">
      <c r="A4268" t="inlineStr">
        <is>
          <t>超大号抗风晴雨伞，木质手柄，加强伞骨，适用于高端车型专用</t>
        </is>
      </c>
      <c r="B4268" t="inlineStr">
        <is>
          <t>recvgGy5hQzD9R.jpg</t>
        </is>
      </c>
      <c r="C4268" s="2" t="str">
        <f>=HYPERLINK("https://xhslink.com/m/4cQVjL9k3Y7", "https://xhslink.com/m/4cQVjL9k3Y7")</f>
        <v>https://xhslink.com/m/4cQVjL9k3Y7</v>
      </c>
      <c r="D4268"/>
      <c r="E4268">
        <v>20000</v>
      </c>
      <c r="F4268">
        <v>158</v>
      </c>
      <c r="G4268">
        <v>156</v>
      </c>
      <c r="H4268">
        <v>100</v>
      </c>
      <c r="I4268" t="inlineStr">
        <is>
          <t>伞</t>
        </is>
      </c>
      <c r="J4268" t="inlineStr">
        <is>
          <t>0.01</t>
        </is>
      </c>
      <c r="K4268"/>
      <c r="L4268" t="inlineStr">
        <is>
          <t>Sunlightt的店</t>
        </is>
      </c>
      <c r="M4268">
        <v>9688</v>
      </c>
      <c r="N4268">
        <v>4.69</v>
      </c>
      <c r="O4268">
        <v>76000</v>
      </c>
      <c r="P4268" t="inlineStr">
        <is>
          <t>66489f3f54f4dc0001c81b80</t>
        </is>
      </c>
      <c r="Q4268"/>
      <c r="R4268" t="inlineStr">
        <is>
          <t>16周</t>
        </is>
      </c>
      <c r="S4268" t="inlineStr">
        <is>
          <t>2.06</t>
        </is>
      </c>
      <c r="T4268" t="inlineStr">
        <is>
          <t>家居生活</t>
        </is>
      </c>
      <c r="U4268" t="inlineStr">
        <is>
          <t>家居日用</t>
        </is>
      </c>
      <c r="V4268" s="3">
        <v>46125.978738425925</v>
      </c>
      <c r="W4268" t="inlineStr">
        <is>
          <t>2026-Q2</t>
        </is>
      </c>
    </row>
    <row r="4269" ht="25.5" customHeight="1">
      <c r="A4269" t="inlineStr">
        <is>
          <t>（最后500名恢复原价)超轻胶囊伞UPF50+八骨五折晴雨两用黑胶遮</t>
        </is>
      </c>
      <c r="B4269" t="inlineStr">
        <is>
          <t>recvgGy5hQ7eOn.jpg</t>
        </is>
      </c>
      <c r="C4269" s="2" t="str">
        <f>=HYPERLINK("https://xhslink.com/m/JEhXt5nAFY", "https://xhslink.com/m/JEhXt5nAFY")</f>
        <v>https://xhslink.com/m/JEhXt5nAFY</v>
      </c>
      <c r="D4269"/>
      <c r="E4269">
        <v>15000</v>
      </c>
      <c r="F4269">
        <v>26.5</v>
      </c>
      <c r="G4269">
        <v>19.5</v>
      </c>
      <c r="H4269">
        <v>100</v>
      </c>
      <c r="I4269" t="inlineStr">
        <is>
          <t>伞</t>
        </is>
      </c>
      <c r="J4269" t="inlineStr">
        <is>
          <t>0.01</t>
        </is>
      </c>
      <c r="K4269" t="inlineStr">
        <is>
          <t>🔥低粉爆款</t>
        </is>
      </c>
      <c r="L4269" t="inlineStr">
        <is>
          <t>夏天的宝藏的店</t>
        </is>
      </c>
      <c r="M4269">
        <v>588</v>
      </c>
      <c r="N4269">
        <v>4.38</v>
      </c>
      <c r="O4269">
        <v>17000</v>
      </c>
      <c r="P4269" t="inlineStr">
        <is>
          <t>67f3493e2dd3d10001cbc003</t>
        </is>
      </c>
      <c r="Q4269" t="inlineStr">
        <is>
          <t>🚫重复</t>
        </is>
      </c>
      <c r="R4269" t="inlineStr">
        <is>
          <t>16周</t>
        </is>
      </c>
      <c r="S4269" t="inlineStr">
        <is>
          <t>25.51</t>
        </is>
      </c>
      <c r="T4269" t="inlineStr">
        <is>
          <t>家居生活</t>
        </is>
      </c>
      <c r="U4269" t="inlineStr">
        <is>
          <t>家居日用</t>
        </is>
      </c>
      <c r="V4269" s="3">
        <v>46125.978738425925</v>
      </c>
      <c r="W4269" t="inlineStr">
        <is>
          <t>2026-Q2</t>
        </is>
      </c>
    </row>
    <row r="4270" ht="25.5" customHeight="1">
      <c r="A4270" t="inlineStr">
        <is>
          <t>圆角节节收太阳伞女防紫外线遮阳伞折叠全自动雨伞学生晴雨两用</t>
        </is>
      </c>
      <c r="B4270" t="inlineStr">
        <is>
          <t>recvgGy5hQQa4v.jpg</t>
        </is>
      </c>
      <c r="C4270" s="2" t="str">
        <f>=HYPERLINK("https://xhslink.com/m/841IKGc5364", "https://xhslink.com/m/841IKGc5364")</f>
        <v>https://xhslink.com/m/841IKGc5364</v>
      </c>
      <c r="D4270"/>
      <c r="E4270">
        <v>19000</v>
      </c>
      <c r="F4270">
        <v>36.8</v>
      </c>
      <c r="G4270"/>
      <c r="H4270">
        <v>100</v>
      </c>
      <c r="I4270" t="inlineStr">
        <is>
          <t>伞</t>
        </is>
      </c>
      <c r="J4270" t="inlineStr">
        <is>
          <t>0.01</t>
        </is>
      </c>
      <c r="K4270" t="inlineStr">
        <is>
          <t>🔥低粉爆款</t>
        </is>
      </c>
      <c r="L4270" t="inlineStr">
        <is>
          <t>GoodKi的店</t>
        </is>
      </c>
      <c r="M4270">
        <v>2555</v>
      </c>
      <c r="N4270">
        <v>4.46</v>
      </c>
      <c r="O4270">
        <v>28000</v>
      </c>
      <c r="P4270" t="inlineStr">
        <is>
          <t>6900a6fbf5d048000167c94f</t>
        </is>
      </c>
      <c r="Q4270" t="inlineStr">
        <is>
          <t>🚫重复</t>
        </is>
      </c>
      <c r="R4270" t="inlineStr">
        <is>
          <t>16周</t>
        </is>
      </c>
      <c r="S4270" t="inlineStr">
        <is>
          <t>7.44</t>
        </is>
      </c>
      <c r="T4270" t="inlineStr">
        <is>
          <t>家居生活</t>
        </is>
      </c>
      <c r="U4270" t="inlineStr">
        <is>
          <t>家居日用</t>
        </is>
      </c>
      <c r="V4270" s="3">
        <v>46125.978738425925</v>
      </c>
      <c r="W4270" t="inlineStr">
        <is>
          <t>2026-Q2</t>
        </is>
      </c>
    </row>
    <row r="4271" ht="25.5" customHeight="1">
      <c r="A4271" t="inlineStr">
        <is>
          <t>挂衣架落地卧室衣帽架简易小型室内家用床边置物架晾衣架挂衣服架</t>
        </is>
      </c>
      <c r="B4271" t="inlineStr">
        <is>
          <t>recvgGy5hQuwJh.jpg</t>
        </is>
      </c>
      <c r="C4271" s="2" t="str">
        <f>=HYPERLINK("https://xhslink.com/m/2BEersaHyq5", "https://xhslink.com/m/2BEersaHyq5")</f>
        <v>https://xhslink.com/m/2BEersaHyq5</v>
      </c>
      <c r="D4271"/>
      <c r="E4271">
        <v>14000</v>
      </c>
      <c r="F4271">
        <v>71.7</v>
      </c>
      <c r="G4271">
        <v>32.99</v>
      </c>
      <c r="H4271">
        <v>100</v>
      </c>
      <c r="I4271" t="inlineStr">
        <is>
          <t>卧室收纳</t>
        </is>
      </c>
      <c r="J4271" t="inlineStr">
        <is>
          <t>0.01</t>
        </is>
      </c>
      <c r="K4271" t="inlineStr">
        <is>
          <t>🔥低粉爆款</t>
        </is>
      </c>
      <c r="L4271" t="inlineStr">
        <is>
          <t>木木南日用的店</t>
        </is>
      </c>
      <c r="M4271">
        <v>131</v>
      </c>
      <c r="N4271">
        <v>4.48</v>
      </c>
      <c r="O4271">
        <v>28000</v>
      </c>
      <c r="P4271" t="inlineStr">
        <is>
          <t>691d15e16d08080015791ba4</t>
        </is>
      </c>
      <c r="Q4271" t="inlineStr">
        <is>
          <t>🚫重复</t>
        </is>
      </c>
      <c r="R4271" t="inlineStr">
        <is>
          <t>16周</t>
        </is>
      </c>
      <c r="S4271" t="inlineStr">
        <is>
          <t>106.87</t>
        </is>
      </c>
      <c r="T4271" t="inlineStr">
        <is>
          <t>家居生活</t>
        </is>
      </c>
      <c r="U4271" t="inlineStr">
        <is>
          <t>家居日用</t>
        </is>
      </c>
      <c r="V4271" s="3">
        <v>46125.978738425925</v>
      </c>
      <c r="W4271" t="inlineStr">
        <is>
          <t>2026-Q2</t>
        </is>
      </c>
    </row>
    <row r="4272" ht="25.5" customHeight="1">
      <c r="A4272" t="inlineStr">
        <is>
          <t>PUPU•韩式ins风泼墨陶瓷碗酸奶碗早餐杯高颜值好看家用麦片盘子</t>
        </is>
      </c>
      <c r="B4272" t="inlineStr">
        <is>
          <t>recvgGy5hQ1zdQ.jpg</t>
        </is>
      </c>
      <c r="C4272" s="2" t="str">
        <f>=HYPERLINK("https://xhslink.com/m/7Djw4QcjFVI", "https://xhslink.com/m/7Djw4QcjFVI")</f>
        <v>https://xhslink.com/m/7Djw4QcjFVI</v>
      </c>
      <c r="D4272"/>
      <c r="E4272">
        <v>8533</v>
      </c>
      <c r="F4272">
        <v>23.99</v>
      </c>
      <c r="G4272">
        <v>8.99</v>
      </c>
      <c r="H4272">
        <v>100</v>
      </c>
      <c r="I4272" t="inlineStr">
        <is>
          <t>陶瓷碗</t>
        </is>
      </c>
      <c r="J4272" t="inlineStr">
        <is>
          <t>0.01</t>
        </is>
      </c>
      <c r="K4272"/>
      <c r="L4272" t="inlineStr">
        <is>
          <t>Pupu Mimi*的店</t>
        </is>
      </c>
      <c r="M4272">
        <v>7555</v>
      </c>
      <c r="N4272">
        <v>4.62</v>
      </c>
      <c r="O4272">
        <v>87000</v>
      </c>
      <c r="P4272" t="inlineStr">
        <is>
          <t>6821b25815cfd20001229b1e</t>
        </is>
      </c>
      <c r="Q4272" t="inlineStr">
        <is>
          <t>🚫重复</t>
        </is>
      </c>
      <c r="R4272" t="inlineStr">
        <is>
          <t>16周</t>
        </is>
      </c>
      <c r="S4272" t="inlineStr">
        <is>
          <t>1.13</t>
        </is>
      </c>
      <c r="T4272" t="inlineStr">
        <is>
          <t>家居生活</t>
        </is>
      </c>
      <c r="U4272" t="inlineStr">
        <is>
          <t>厨房餐饮</t>
        </is>
      </c>
      <c r="V4272" s="3">
        <v>46125.978738425925</v>
      </c>
      <c r="W4272" t="inlineStr">
        <is>
          <t>2026-Q2</t>
        </is>
      </c>
    </row>
    <row r="4273" ht="25.5" customHeight="1">
      <c r="A4273" t="inlineStr">
        <is>
          <t>清新ins风可爱雪花陶瓷碗勺釉下彩高颜值餐具冰碗甜品碗超好看</t>
        </is>
      </c>
      <c r="B4273" t="inlineStr">
        <is>
          <t>recvgGy5hQ3GBF.jpg</t>
        </is>
      </c>
      <c r="C4273" s="2" t="str">
        <f>=HYPERLINK("https://xhslink.com/m/1TenqRXxiFq", "https://xhslink.com/m/1TenqRXxiFq")</f>
        <v>https://xhslink.com/m/1TenqRXxiFq</v>
      </c>
      <c r="D4273"/>
      <c r="E4273">
        <v>33000</v>
      </c>
      <c r="F4273">
        <v>18.8</v>
      </c>
      <c r="G4273">
        <v>8.8</v>
      </c>
      <c r="H4273">
        <v>100</v>
      </c>
      <c r="I4273" t="inlineStr">
        <is>
          <t>陶瓷碗</t>
        </is>
      </c>
      <c r="J4273" t="inlineStr">
        <is>
          <t>0.00</t>
        </is>
      </c>
      <c r="K4273" t="inlineStr">
        <is>
          <t>🔥低粉爆款</t>
        </is>
      </c>
      <c r="L4273" t="inlineStr">
        <is>
          <t>sweet元气日记的店</t>
        </is>
      </c>
      <c r="M4273">
        <v>1736</v>
      </c>
      <c r="N4273">
        <v>4.5</v>
      </c>
      <c r="O4273">
        <v>35000</v>
      </c>
      <c r="P4273" t="inlineStr">
        <is>
          <t>68403f38d0af0a0001795ca5</t>
        </is>
      </c>
      <c r="Q4273" t="inlineStr">
        <is>
          <t>🚫重复</t>
        </is>
      </c>
      <c r="R4273" t="inlineStr">
        <is>
          <t>16周</t>
        </is>
      </c>
      <c r="S4273" t="inlineStr">
        <is>
          <t>19.01</t>
        </is>
      </c>
      <c r="T4273" t="inlineStr">
        <is>
          <t>家居生活</t>
        </is>
      </c>
      <c r="U4273" t="inlineStr">
        <is>
          <t>厨房餐饮</t>
        </is>
      </c>
      <c r="V4273" s="3">
        <v>46125.978738425925</v>
      </c>
      <c r="W4273" t="inlineStr">
        <is>
          <t>2026-Q2</t>
        </is>
      </c>
    </row>
    <row r="4274" ht="25.5" customHeight="1">
      <c r="A4274" t="inlineStr">
        <is>
          <t>海派甜心釉下彩苹果碗陶瓷碗具餐盘套装</t>
        </is>
      </c>
      <c r="B4274" t="inlineStr">
        <is>
          <t>recvgGy5hQm4CP.jpg</t>
        </is>
      </c>
      <c r="C4274" s="2" t="str">
        <f>=HYPERLINK("https://xhslink.com/m/8Si9EYlkzvC", "https://xhslink.com/m/8Si9EYlkzvC")</f>
        <v>https://xhslink.com/m/8Si9EYlkzvC</v>
      </c>
      <c r="D4274"/>
      <c r="E4274">
        <v>13000</v>
      </c>
      <c r="F4274">
        <v>12.9</v>
      </c>
      <c r="G4274"/>
      <c r="H4274">
        <v>100</v>
      </c>
      <c r="I4274" t="inlineStr">
        <is>
          <t>陶瓷碗</t>
        </is>
      </c>
      <c r="J4274" t="inlineStr">
        <is>
          <t>0.01</t>
        </is>
      </c>
      <c r="K4274" t="inlineStr">
        <is>
          <t>🔥低粉爆款</t>
        </is>
      </c>
      <c r="L4274" t="inlineStr">
        <is>
          <t>I77 HOME（乾誉）的店</t>
        </is>
      </c>
      <c r="M4274">
        <v>834</v>
      </c>
      <c r="N4274">
        <v>4.48</v>
      </c>
      <c r="O4274">
        <v>16000</v>
      </c>
      <c r="P4274" t="inlineStr">
        <is>
          <t>684bcf6c802c620001f9b08e</t>
        </is>
      </c>
      <c r="Q4274" t="inlineStr">
        <is>
          <t>🚫重复</t>
        </is>
      </c>
      <c r="R4274" t="inlineStr">
        <is>
          <t>16周</t>
        </is>
      </c>
      <c r="S4274" t="inlineStr">
        <is>
          <t>15.59</t>
        </is>
      </c>
      <c r="T4274" t="inlineStr">
        <is>
          <t>家居生活</t>
        </is>
      </c>
      <c r="U4274" t="inlineStr">
        <is>
          <t>厨房餐饮</t>
        </is>
      </c>
      <c r="V4274" s="3">
        <v>46125.978738425925</v>
      </c>
      <c r="W4274" t="inlineStr">
        <is>
          <t>2026-Q2</t>
        </is>
      </c>
    </row>
    <row r="4275" ht="25.5" customHeight="1">
      <c r="A4275" t="inlineStr">
        <is>
          <t>PUPU•韩式ins风泼墨陶瓷碗酸奶碗早餐杯高颜值好看家用麦片盘子</t>
        </is>
      </c>
      <c r="B4275" t="inlineStr">
        <is>
          <t>recvgGy5hQQN50.jpg</t>
        </is>
      </c>
      <c r="C4275" s="2" t="str">
        <f>=HYPERLINK("https://xhslink.com/m/7663dJDAqzG", "https://xhslink.com/m/7663dJDAqzG")</f>
        <v>https://xhslink.com/m/7663dJDAqzG</v>
      </c>
      <c r="D4275"/>
      <c r="E4275">
        <v>8534</v>
      </c>
      <c r="F4275">
        <v>22.99</v>
      </c>
      <c r="G4275">
        <v>7.99</v>
      </c>
      <c r="H4275">
        <v>100</v>
      </c>
      <c r="I4275" t="inlineStr">
        <is>
          <t>陶瓷餐具</t>
        </is>
      </c>
      <c r="J4275" t="inlineStr">
        <is>
          <t>0.01</t>
        </is>
      </c>
      <c r="K4275"/>
      <c r="L4275" t="inlineStr">
        <is>
          <t>Pupu Mimi*的店</t>
        </is>
      </c>
      <c r="M4275">
        <v>7555</v>
      </c>
      <c r="N4275">
        <v>4.62</v>
      </c>
      <c r="O4275">
        <v>87000</v>
      </c>
      <c r="P4275" t="inlineStr">
        <is>
          <t>68eb45367d3b3f0001194c71</t>
        </is>
      </c>
      <c r="Q4275" t="inlineStr">
        <is>
          <t>🚫重复</t>
        </is>
      </c>
      <c r="R4275" t="inlineStr">
        <is>
          <t>16周</t>
        </is>
      </c>
      <c r="S4275" t="inlineStr">
        <is>
          <t>1.13</t>
        </is>
      </c>
      <c r="T4275" t="inlineStr">
        <is>
          <t>家居生活</t>
        </is>
      </c>
      <c r="U4275" t="inlineStr">
        <is>
          <t>厨房餐饮</t>
        </is>
      </c>
      <c r="V4275" s="3">
        <v>46125.978738425925</v>
      </c>
      <c r="W4275" t="inlineStr">
        <is>
          <t>2026-Q2</t>
        </is>
      </c>
    </row>
    <row r="4276" ht="25.5" customHeight="1">
      <c r="A4276" t="inlineStr">
        <is>
          <t>餐具盲盒陶瓷碗盘杯碟泡面碗随机福袋超值餐盘家用盘子饭碗</t>
        </is>
      </c>
      <c r="B4276" t="inlineStr">
        <is>
          <t>recvgGy5hQ2QNW.jpg</t>
        </is>
      </c>
      <c r="C4276" s="2" t="str">
        <f>=HYPERLINK("https://xhslink.com/m/1sJBqOCPqPH", "https://xhslink.com/m/1sJBqOCPqPH")</f>
        <v>https://xhslink.com/m/1sJBqOCPqPH</v>
      </c>
      <c r="D4276"/>
      <c r="E4276">
        <v>36000</v>
      </c>
      <c r="F4276">
        <v>9.9</v>
      </c>
      <c r="G4276"/>
      <c r="H4276">
        <v>100</v>
      </c>
      <c r="I4276" t="inlineStr">
        <is>
          <t>陶瓷餐具</t>
        </is>
      </c>
      <c r="J4276" t="inlineStr">
        <is>
          <t>0.00</t>
        </is>
      </c>
      <c r="K4276" t="inlineStr">
        <is>
          <t>🔥低粉爆款</t>
        </is>
      </c>
      <c r="L4276" t="inlineStr">
        <is>
          <t>瓷家铺子的店</t>
        </is>
      </c>
      <c r="M4276">
        <v>6764</v>
      </c>
      <c r="N4276">
        <v>4.38</v>
      </c>
      <c r="O4276">
        <v>38000</v>
      </c>
      <c r="P4276" t="inlineStr">
        <is>
          <t>690222025c4f1900014bf652</t>
        </is>
      </c>
      <c r="Q4276" t="inlineStr">
        <is>
          <t>🚫重复</t>
        </is>
      </c>
      <c r="R4276" t="inlineStr">
        <is>
          <t>16周</t>
        </is>
      </c>
      <c r="S4276" t="inlineStr">
        <is>
          <t>5.32</t>
        </is>
      </c>
      <c r="T4276" t="inlineStr">
        <is>
          <t>家居生活</t>
        </is>
      </c>
      <c r="U4276" t="inlineStr">
        <is>
          <t>厨房餐饮</t>
        </is>
      </c>
      <c r="V4276" s="3">
        <v>46125.978738425925</v>
      </c>
      <c r="W4276" t="inlineStr">
        <is>
          <t>2026-Q2</t>
        </is>
      </c>
    </row>
    <row r="4277" ht="25.5" customHeight="1">
      <c r="A4277" t="inlineStr">
        <is>
          <t>双层草莓卡包便携可爱证件包收纳包口红小包包</t>
        </is>
      </c>
      <c r="B4277" t="inlineStr">
        <is>
          <t>recvgGy5hQzXEe.jpg</t>
        </is>
      </c>
      <c r="C4277" s="2" t="str">
        <f>=HYPERLINK("https://xhslink.com/m/6fnxRlkIOks", "https://xhslink.com/m/6fnxRlkIOks")</f>
        <v>https://xhslink.com/m/6fnxRlkIOks</v>
      </c>
      <c r="D4277"/>
      <c r="E4277">
        <v>2615</v>
      </c>
      <c r="F4277">
        <v>21.99</v>
      </c>
      <c r="G4277">
        <v>9.99</v>
      </c>
      <c r="H4277">
        <v>100</v>
      </c>
      <c r="I4277" t="inlineStr">
        <is>
          <t>证件收纳包</t>
        </is>
      </c>
      <c r="J4277" t="inlineStr">
        <is>
          <t>0.04</t>
        </is>
      </c>
      <c r="K4277"/>
      <c r="L4277" t="inlineStr">
        <is>
          <t>幸运狗狗的店</t>
        </is>
      </c>
      <c r="M4277">
        <v>216000</v>
      </c>
      <c r="N4277">
        <v>4.28</v>
      </c>
      <c r="O4277">
        <v>500000</v>
      </c>
      <c r="P4277" t="inlineStr">
        <is>
          <t>69baaf30a20c2100012fb860</t>
        </is>
      </c>
      <c r="Q4277" t="inlineStr">
        <is>
          <t>🚫重复</t>
        </is>
      </c>
      <c r="R4277" t="inlineStr">
        <is>
          <t>16周</t>
        </is>
      </c>
      <c r="S4277" t="inlineStr">
        <is>
          <t>0.01</t>
        </is>
      </c>
      <c r="T4277" t="inlineStr">
        <is>
          <t>家居生活</t>
        </is>
      </c>
      <c r="U4277" t="inlineStr">
        <is>
          <t>家居日用</t>
        </is>
      </c>
      <c r="V4277" s="3">
        <v>46125.978738425925</v>
      </c>
      <c r="W4277" t="inlineStr">
        <is>
          <t>2026-Q2</t>
        </is>
      </c>
    </row>
    <row r="4278" ht="25.5" customHeight="1">
      <c r="A4278" t="inlineStr">
        <is>
          <t>倒立的猫 · 【纸风琴卡包】水洗牛皮纸证件卡包12卡位拉链卡包复古零钱包卡包</t>
        </is>
      </c>
      <c r="B4278" t="inlineStr">
        <is>
          <t>recvgGy5hQwOgU.jpg</t>
        </is>
      </c>
      <c r="C4278" s="2" t="str">
        <f>=HYPERLINK("https://xhslink.com/m/5g2Lxgdmzuh", "https://xhslink.com/m/5g2Lxgdmzuh")</f>
        <v>https://xhslink.com/m/5g2Lxgdmzuh</v>
      </c>
      <c r="D4278"/>
      <c r="E4278">
        <v>972</v>
      </c>
      <c r="F4278">
        <v>89</v>
      </c>
      <c r="G4278">
        <v>57</v>
      </c>
      <c r="H4278">
        <v>100</v>
      </c>
      <c r="I4278" t="inlineStr">
        <is>
          <t>证件收纳包</t>
        </is>
      </c>
      <c r="J4278" t="inlineStr">
        <is>
          <t>0.10</t>
        </is>
      </c>
      <c r="K4278"/>
      <c r="L4278" t="inlineStr">
        <is>
          <t>倒立的猫的店</t>
        </is>
      </c>
      <c r="M4278">
        <v>13000</v>
      </c>
      <c r="N4278">
        <v>4.74</v>
      </c>
      <c r="O4278">
        <v>24000</v>
      </c>
      <c r="P4278" t="inlineStr">
        <is>
          <t>693e723f7159580001eb09e7</t>
        </is>
      </c>
      <c r="Q4278" t="inlineStr">
        <is>
          <t>🚫重复</t>
        </is>
      </c>
      <c r="R4278" t="inlineStr">
        <is>
          <t>16周</t>
        </is>
      </c>
      <c r="S4278" t="inlineStr">
        <is>
          <t>0.07</t>
        </is>
      </c>
      <c r="T4278" t="inlineStr">
        <is>
          <t>家居生活</t>
        </is>
      </c>
      <c r="U4278" t="inlineStr">
        <is>
          <t>家居日用</t>
        </is>
      </c>
      <c r="V4278" s="3">
        <v>46125.978738425925</v>
      </c>
      <c r="W4278" t="inlineStr">
        <is>
          <t>2026-Q2</t>
        </is>
      </c>
    </row>
    <row r="4279" ht="25.5" customHeight="1">
      <c r="A4279" t="inlineStr">
        <is>
          <t>【注意：3天内发货】蛋糕造型积木摆件零件包！零件</t>
        </is>
      </c>
      <c r="B4279" t="inlineStr">
        <is>
          <t>recvgGy5hQhbfI.jpg</t>
        </is>
      </c>
      <c r="C4279" s="2" t="str">
        <f>=HYPERLINK("https://xhslink.com/m/111FlPpCwUq", "https://xhslink.com/m/111FlPpCwUq")</f>
        <v>https://xhslink.com/m/111FlPpCwUq</v>
      </c>
      <c r="D4279"/>
      <c r="E4279">
        <v>3208</v>
      </c>
      <c r="F4279">
        <v>45</v>
      </c>
      <c r="G4279"/>
      <c r="H4279">
        <v>100</v>
      </c>
      <c r="I4279" t="inlineStr">
        <is>
          <t>积木拼图</t>
        </is>
      </c>
      <c r="J4279" t="inlineStr">
        <is>
          <t>0.03</t>
        </is>
      </c>
      <c r="K4279" t="inlineStr">
        <is>
          <t>🔥低粉爆款</t>
        </is>
      </c>
      <c r="L4279" t="inlineStr">
        <is>
          <t>鞋猫的店的店</t>
        </is>
      </c>
      <c r="M4279">
        <v>765</v>
      </c>
      <c r="N4279">
        <v>4.61</v>
      </c>
      <c r="O4279">
        <v>3202</v>
      </c>
      <c r="P4279" t="inlineStr">
        <is>
          <t>69ca22d45dab9a00017d3e95</t>
        </is>
      </c>
      <c r="Q4279"/>
      <c r="R4279" t="inlineStr">
        <is>
          <t>16周</t>
        </is>
      </c>
      <c r="S4279" t="inlineStr">
        <is>
          <t>4.19</t>
        </is>
      </c>
      <c r="T4279" t="inlineStr">
        <is>
          <t>母婴亲子</t>
        </is>
      </c>
      <c r="U4279" t="inlineStr">
        <is>
          <t>玩具早教</t>
        </is>
      </c>
      <c r="V4279" s="3">
        <v>46125.978738425925</v>
      </c>
      <c r="W4279" t="inlineStr">
        <is>
          <t>2026-Q2</t>
        </is>
      </c>
    </row>
    <row r="4280" ht="25.5" customHeight="1">
      <c r="A4280" t="inlineStr">
        <is>
          <t>2.6mmG色系棕色补充包融合豆221全色1000粒袋装mard同款同色</t>
        </is>
      </c>
      <c r="B4280" t="inlineStr">
        <is>
          <t>recvgGy5hQnUc5.jpg</t>
        </is>
      </c>
      <c r="C4280" s="2" t="str">
        <f>=HYPERLINK("https://xhslink.com/m/2kOwujySbe3", "https://xhslink.com/m/2kOwujySbe3")</f>
        <v>https://xhslink.com/m/2kOwujySbe3</v>
      </c>
      <c r="D4280"/>
      <c r="E4280">
        <v>4086</v>
      </c>
      <c r="F4280">
        <v>0.79</v>
      </c>
      <c r="G4280"/>
      <c r="H4280">
        <v>100</v>
      </c>
      <c r="I4280" t="inlineStr">
        <is>
          <t>积木拼图</t>
        </is>
      </c>
      <c r="J4280" t="inlineStr">
        <is>
          <t>0.02</t>
        </is>
      </c>
      <c r="K4280"/>
      <c r="L4280" t="inlineStr">
        <is>
          <t>拼豆上头事务所的店</t>
        </is>
      </c>
      <c r="M4280">
        <v>8876</v>
      </c>
      <c r="N4280">
        <v>4.33</v>
      </c>
      <c r="O4280">
        <v>155000</v>
      </c>
      <c r="P4280" t="inlineStr">
        <is>
          <t>69b685e6e95b3400018cce1d</t>
        </is>
      </c>
      <c r="Q4280"/>
      <c r="R4280" t="inlineStr">
        <is>
          <t>16周</t>
        </is>
      </c>
      <c r="S4280" t="inlineStr">
        <is>
          <t>0.46</t>
        </is>
      </c>
      <c r="T4280" t="inlineStr">
        <is>
          <t>母婴亲子</t>
        </is>
      </c>
      <c r="U4280" t="inlineStr">
        <is>
          <t>玩具早教</t>
        </is>
      </c>
      <c r="V4280" s="3">
        <v>46125.978738425925</v>
      </c>
      <c r="W4280" t="inlineStr">
        <is>
          <t>2026-Q2</t>
        </is>
      </c>
    </row>
    <row r="4281" ht="25.5" customHeight="1">
      <c r="A4281" t="inlineStr">
        <is>
          <t>其他 · 小蜜蜂公仔菜苦鲨bee玩偶布娃娃毛绒玩具男女生生日礼物趣味搞怪</t>
        </is>
      </c>
      <c r="B4281" t="inlineStr">
        <is>
          <t>recvgGy5hQWQq9.jpg</t>
        </is>
      </c>
      <c r="C4281" s="2" t="str">
        <f>=HYPERLINK("https://xhslink.com/m/4Px4oVSwHa2", "https://xhslink.com/m/4Px4oVSwHa2")</f>
        <v>https://xhslink.com/m/4Px4oVSwHa2</v>
      </c>
      <c r="D4281"/>
      <c r="E4281">
        <v>908</v>
      </c>
      <c r="F4281">
        <v>61.99</v>
      </c>
      <c r="G4281">
        <v>0.1</v>
      </c>
      <c r="H4281">
        <v>100</v>
      </c>
      <c r="I4281" t="inlineStr">
        <is>
          <t>毛绒玩具</t>
        </is>
      </c>
      <c r="J4281" t="inlineStr">
        <is>
          <t>0.11</t>
        </is>
      </c>
      <c r="K4281" t="inlineStr">
        <is>
          <t>🔥低粉爆款</t>
        </is>
      </c>
      <c r="L4281" t="inlineStr">
        <is>
          <t>是清漪呀～的店</t>
        </is>
      </c>
      <c r="M4281">
        <v>155</v>
      </c>
      <c r="N4281">
        <v>4.42</v>
      </c>
      <c r="O4281">
        <v>3652</v>
      </c>
      <c r="P4281" t="inlineStr">
        <is>
          <t>6948a4e2040ad40015ad673c</t>
        </is>
      </c>
      <c r="Q4281" t="inlineStr">
        <is>
          <t>🚫重复</t>
        </is>
      </c>
      <c r="R4281" t="inlineStr">
        <is>
          <t>16周</t>
        </is>
      </c>
      <c r="S4281" t="inlineStr">
        <is>
          <t>5.86</t>
        </is>
      </c>
      <c r="T4281" t="inlineStr">
        <is>
          <t>母婴亲子</t>
        </is>
      </c>
      <c r="U4281" t="inlineStr">
        <is>
          <t>玩具早教</t>
        </is>
      </c>
      <c r="V4281" s="3">
        <v>46125.978738425925</v>
      </c>
      <c r="W4281" t="inlineStr">
        <is>
          <t>2026-Q2</t>
        </is>
      </c>
    </row>
    <row r="4282" ht="25.5" customHeight="1">
      <c r="A4282" t="inlineStr">
        <is>
          <t>小雪人兔球球好气鸦涂鸦叽玩偶抱枕</t>
        </is>
      </c>
      <c r="B4282" t="inlineStr">
        <is>
          <t>recvgGy5hQFIPZ.jpg</t>
        </is>
      </c>
      <c r="C4282" s="2" t="str">
        <f>=HYPERLINK("https://xhslink.com/m/7tUpBX8mRVo", "https://xhslink.com/m/7tUpBX8mRVo")</f>
        <v>https://xhslink.com/m/7tUpBX8mRVo</v>
      </c>
      <c r="D4282"/>
      <c r="E4282">
        <v>5906</v>
      </c>
      <c r="F4282">
        <v>64</v>
      </c>
      <c r="G4282"/>
      <c r="H4282">
        <v>100</v>
      </c>
      <c r="I4282" t="inlineStr">
        <is>
          <t>毛绒玩具</t>
        </is>
      </c>
      <c r="J4282" t="inlineStr">
        <is>
          <t>0.02</t>
        </is>
      </c>
      <c r="K4282"/>
      <c r="L4282" t="inlineStr">
        <is>
          <t>蜡笔醒醒同人小铺的店</t>
        </is>
      </c>
      <c r="M4282">
        <v>13000</v>
      </c>
      <c r="N4282">
        <v>4.58</v>
      </c>
      <c r="O4282">
        <v>12000</v>
      </c>
      <c r="P4282" t="inlineStr">
        <is>
          <t>69b1293a7c9c8f0001138a85</t>
        </is>
      </c>
      <c r="Q4282" t="inlineStr">
        <is>
          <t>🚫重复</t>
        </is>
      </c>
      <c r="R4282" t="inlineStr">
        <is>
          <t>16周</t>
        </is>
      </c>
      <c r="S4282" t="inlineStr">
        <is>
          <t>0.45</t>
        </is>
      </c>
      <c r="T4282" t="inlineStr">
        <is>
          <t>母婴亲子</t>
        </is>
      </c>
      <c r="U4282" t="inlineStr">
        <is>
          <t>玩具早教</t>
        </is>
      </c>
      <c r="V4282" s="3">
        <v>46125.978738425925</v>
      </c>
      <c r="W4282" t="inlineStr">
        <is>
          <t>2026-Q2</t>
        </is>
      </c>
    </row>
    <row r="4283" ht="25.5" customHeight="1">
      <c r="A4283" t="inlineStr">
        <is>
          <t>前1w单特价.yukio丑娃娃富士山三日橘许愿星美人鱼四叶草挂件玩偶</t>
        </is>
      </c>
      <c r="B4283" t="inlineStr">
        <is>
          <t>recvgGy5hQnBwz.jpg</t>
        </is>
      </c>
      <c r="C4283" s="2" t="str">
        <f>=HYPERLINK("https://xhslink.com/m/QTQbdSoUuk", "https://xhslink.com/m/QTQbdSoUuk")</f>
        <v>https://xhslink.com/m/QTQbdSoUuk</v>
      </c>
      <c r="D4283"/>
      <c r="E4283">
        <v>4255</v>
      </c>
      <c r="F4283">
        <v>39</v>
      </c>
      <c r="G4283">
        <v>24.8</v>
      </c>
      <c r="H4283">
        <v>100</v>
      </c>
      <c r="I4283" t="inlineStr">
        <is>
          <t>毛绒玩具</t>
        </is>
      </c>
      <c r="J4283" t="inlineStr">
        <is>
          <t>0.02</t>
        </is>
      </c>
      <c r="K4283" t="inlineStr">
        <is>
          <t>🔥低粉爆款</t>
        </is>
      </c>
      <c r="L4283" t="inlineStr">
        <is>
          <t>万物皆可盼的店</t>
        </is>
      </c>
      <c r="M4283">
        <v>76</v>
      </c>
      <c r="N4283">
        <v>4.68</v>
      </c>
      <c r="O4283">
        <v>6110</v>
      </c>
      <c r="P4283" t="inlineStr">
        <is>
          <t>6926c2f53dc53600013740d9</t>
        </is>
      </c>
      <c r="Q4283" t="inlineStr">
        <is>
          <t>🚫重复</t>
        </is>
      </c>
      <c r="R4283" t="inlineStr">
        <is>
          <t>16周</t>
        </is>
      </c>
      <c r="S4283" t="inlineStr">
        <is>
          <t>55.99</t>
        </is>
      </c>
      <c r="T4283" t="inlineStr">
        <is>
          <t>母婴亲子</t>
        </is>
      </c>
      <c r="U4283" t="inlineStr">
        <is>
          <t>玩具早教</t>
        </is>
      </c>
      <c r="V4283" s="3">
        <v>46125.978738425925</v>
      </c>
      <c r="W4283" t="inlineStr">
        <is>
          <t>2026-Q2</t>
        </is>
      </c>
    </row>
    <row r="4284" ht="25.5" customHeight="1">
      <c r="A4284" t="inlineStr">
        <is>
          <t>纽结大鼻狗玩偶毛绒可爱公仔礼物安抚娃娃书包包钥匙扣挂件车挂饰</t>
        </is>
      </c>
      <c r="B4284" t="inlineStr">
        <is>
          <t>recvgGy5hQj6Aw.jpg</t>
        </is>
      </c>
      <c r="C4284" s="2" t="str">
        <f>=HYPERLINK("https://xhslink.com/m/5ZFLxD7kDaf", "https://xhslink.com/m/5ZFLxD7kDaf")</f>
        <v>https://xhslink.com/m/5ZFLxD7kDaf</v>
      </c>
      <c r="D4284"/>
      <c r="E4284">
        <v>3160</v>
      </c>
      <c r="F4284">
        <v>158</v>
      </c>
      <c r="G4284">
        <v>99</v>
      </c>
      <c r="H4284">
        <v>100</v>
      </c>
      <c r="I4284" t="inlineStr">
        <is>
          <t>毛绒玩具</t>
        </is>
      </c>
      <c r="J4284" t="inlineStr">
        <is>
          <t>0.03</t>
        </is>
      </c>
      <c r="K4284"/>
      <c r="L4284" t="inlineStr">
        <is>
          <t>纽结咖啡LINKNOT的店</t>
        </is>
      </c>
      <c r="M4284">
        <v>7755</v>
      </c>
      <c r="N4284">
        <v>4.54</v>
      </c>
      <c r="O4284">
        <v>11000</v>
      </c>
      <c r="P4284" t="inlineStr">
        <is>
          <t>68f0b2ae29904900012ae943</t>
        </is>
      </c>
      <c r="Q4284"/>
      <c r="R4284" t="inlineStr">
        <is>
          <t>16周</t>
        </is>
      </c>
      <c r="S4284" t="inlineStr">
        <is>
          <t>0.41</t>
        </is>
      </c>
      <c r="T4284" t="inlineStr">
        <is>
          <t>服饰穿搭</t>
        </is>
      </c>
      <c r="U4284" t="inlineStr">
        <is>
          <t>鞋靴箱包</t>
        </is>
      </c>
      <c r="V4284" s="3">
        <v>46125.978738425925</v>
      </c>
      <c r="W4284" t="inlineStr">
        <is>
          <t>2026-Q2</t>
        </is>
      </c>
    </row>
    <row r="4285" ht="25.5" customHeight="1">
      <c r="A4285" t="inlineStr">
        <is>
          <t>预定折扣版本 2026年4月预订2026年10月左右出荷能等再拍哦</t>
        </is>
      </c>
      <c r="B4285" t="inlineStr">
        <is>
          <t>recvgGy5hQjTM0.jpg</t>
        </is>
      </c>
      <c r="C4285" s="2" t="str">
        <f>=HYPERLINK("https://xhslink.com/m/5CorlVAks2q", "https://xhslink.com/m/5CorlVAks2q")</f>
        <v>https://xhslink.com/m/5CorlVAks2q</v>
      </c>
      <c r="D4285"/>
      <c r="E4285">
        <v>3009</v>
      </c>
      <c r="F4285">
        <v>69</v>
      </c>
      <c r="G4285">
        <v>66</v>
      </c>
      <c r="H4285">
        <v>100</v>
      </c>
      <c r="I4285" t="inlineStr">
        <is>
          <t>毛绒玩具</t>
        </is>
      </c>
      <c r="J4285" t="inlineStr">
        <is>
          <t>0.03</t>
        </is>
      </c>
      <c r="K4285"/>
      <c r="L4285" t="inlineStr">
        <is>
          <t>Joy王老师（只卖正版）的店</t>
        </is>
      </c>
      <c r="M4285">
        <v>8221</v>
      </c>
      <c r="N4285">
        <v>4.47</v>
      </c>
      <c r="O4285">
        <v>9344</v>
      </c>
      <c r="P4285" t="inlineStr">
        <is>
          <t>68e0e074d3eed200010ef874</t>
        </is>
      </c>
      <c r="Q4285" t="inlineStr">
        <is>
          <t>🚫重复</t>
        </is>
      </c>
      <c r="R4285" t="inlineStr">
        <is>
          <t>16周</t>
        </is>
      </c>
      <c r="S4285" t="inlineStr">
        <is>
          <t>0.37</t>
        </is>
      </c>
      <c r="T4285" t="inlineStr">
        <is>
          <t>母婴亲子</t>
        </is>
      </c>
      <c r="U4285" t="inlineStr">
        <is>
          <t>玩具早教</t>
        </is>
      </c>
      <c r="V4285" s="3">
        <v>46125.978738425925</v>
      </c>
      <c r="W4285" t="inlineStr">
        <is>
          <t>2026-Q2</t>
        </is>
      </c>
    </row>
    <row r="4286" ht="25.5" customHeight="1">
      <c r="A4286" t="inlineStr">
        <is>
          <t>【日正】日正角落生物可爱挂件玩偶公仔</t>
        </is>
      </c>
      <c r="B4286" t="inlineStr">
        <is>
          <t>recvgGy5hQPnXe.jpg</t>
        </is>
      </c>
      <c r="C4286" s="2" t="str">
        <f>=HYPERLINK("https://xhslink.com/m/6CxchqQ1IGj", "https://xhslink.com/m/6CxchqQ1IGj")</f>
        <v>https://xhslink.com/m/6CxchqQ1IGj</v>
      </c>
      <c r="D4286"/>
      <c r="E4286">
        <v>870</v>
      </c>
      <c r="F4286">
        <v>45.9</v>
      </c>
      <c r="G4286"/>
      <c r="H4286">
        <v>100</v>
      </c>
      <c r="I4286" t="inlineStr">
        <is>
          <t>毛绒玩具</t>
        </is>
      </c>
      <c r="J4286" t="inlineStr">
        <is>
          <t>0.11</t>
        </is>
      </c>
      <c r="K4286"/>
      <c r="L4286" t="inlineStr">
        <is>
          <t>小零の杂货铺的店</t>
        </is>
      </c>
      <c r="M4286">
        <v>5660</v>
      </c>
      <c r="N4286">
        <v>4.42</v>
      </c>
      <c r="O4286">
        <v>2252</v>
      </c>
      <c r="P4286" t="inlineStr">
        <is>
          <t>69b3dabf7c9c8f0001764b21</t>
        </is>
      </c>
      <c r="Q4286"/>
      <c r="R4286" t="inlineStr">
        <is>
          <t>16周</t>
        </is>
      </c>
      <c r="S4286" t="inlineStr">
        <is>
          <t>0.15</t>
        </is>
      </c>
      <c r="T4286" t="inlineStr">
        <is>
          <t>母婴亲子</t>
        </is>
      </c>
      <c r="U4286" t="inlineStr">
        <is>
          <t>玩具早教</t>
        </is>
      </c>
      <c r="V4286" s="3">
        <v>46125.978738425925</v>
      </c>
      <c r="W4286" t="inlineStr">
        <is>
          <t>2026-Q2</t>
        </is>
      </c>
    </row>
    <row r="4287" ht="25.5" customHeight="1">
      <c r="A4287" t="inlineStr">
        <is>
          <t>【新款预售】萌物保护协会原创狐噜小狐狸毛绒挂件 可爱玩偶</t>
        </is>
      </c>
      <c r="B4287" t="inlineStr">
        <is>
          <t>recvgGy5hQE3Dw.jpg</t>
        </is>
      </c>
      <c r="C4287" s="2" t="str">
        <f>=HYPERLINK("https://xhslink.com/m/5Z1yYZbqiim", "https://xhslink.com/m/5Z1yYZbqiim")</f>
        <v>https://xhslink.com/m/5Z1yYZbqiim</v>
      </c>
      <c r="D4287"/>
      <c r="E4287">
        <v>770</v>
      </c>
      <c r="F4287">
        <v>32.8</v>
      </c>
      <c r="G4287"/>
      <c r="H4287">
        <v>100</v>
      </c>
      <c r="I4287" t="inlineStr">
        <is>
          <t>毛绒玩具</t>
        </is>
      </c>
      <c r="J4287" t="inlineStr">
        <is>
          <t>0.13</t>
        </is>
      </c>
      <c r="K4287"/>
      <c r="L4287" t="inlineStr">
        <is>
          <t>萌物保护协会的店</t>
        </is>
      </c>
      <c r="M4287">
        <v>8984</v>
      </c>
      <c r="N4287">
        <v>4.49</v>
      </c>
      <c r="O4287">
        <v>12000</v>
      </c>
      <c r="P4287" t="inlineStr">
        <is>
          <t>69ce2a547dd4a10001c175fc</t>
        </is>
      </c>
      <c r="Q4287"/>
      <c r="R4287" t="inlineStr">
        <is>
          <t>16周</t>
        </is>
      </c>
      <c r="S4287" t="inlineStr">
        <is>
          <t>0.09</t>
        </is>
      </c>
      <c r="T4287" t="inlineStr">
        <is>
          <t>母婴亲子</t>
        </is>
      </c>
      <c r="U4287" t="inlineStr">
        <is>
          <t>玩具早教</t>
        </is>
      </c>
      <c r="V4287" s="3">
        <v>46125.978738425925</v>
      </c>
      <c r="W4287" t="inlineStr">
        <is>
          <t>2026-Q2</t>
        </is>
      </c>
    </row>
    <row r="4288" ht="25.5" customHeight="1">
      <c r="A4288" t="inlineStr">
        <is>
          <t>【前1000单9.9】一二布布玩偶可爱毛绒玩具公仔钥匙扣挂件</t>
        </is>
      </c>
      <c r="B4288" t="inlineStr">
        <is>
          <t>recvgGy5hQGvgg.jpg</t>
        </is>
      </c>
      <c r="C4288" s="2" t="str">
        <f>=HYPERLINK("https://xhslink.com/m/4Ia307MrEzC", "https://xhslink.com/m/4Ia307MrEzC")</f>
        <v>https://xhslink.com/m/4Ia307MrEzC</v>
      </c>
      <c r="D4288"/>
      <c r="E4288">
        <v>1268</v>
      </c>
      <c r="F4288">
        <v>20.9</v>
      </c>
      <c r="G4288">
        <v>9.9</v>
      </c>
      <c r="H4288">
        <v>100</v>
      </c>
      <c r="I4288" t="inlineStr">
        <is>
          <t>毛绒玩具</t>
        </is>
      </c>
      <c r="J4288" t="inlineStr">
        <is>
          <t>0.08</t>
        </is>
      </c>
      <c r="K4288"/>
      <c r="L4288" t="inlineStr">
        <is>
          <t>贩卖可爱事务所的店</t>
        </is>
      </c>
      <c r="M4288">
        <v>2985</v>
      </c>
      <c r="N4288">
        <v>4.49</v>
      </c>
      <c r="O4288">
        <v>55000</v>
      </c>
      <c r="P4288" t="inlineStr">
        <is>
          <t>69c51c810e4f020001982fee</t>
        </is>
      </c>
      <c r="Q4288"/>
      <c r="R4288" t="inlineStr">
        <is>
          <t>16周</t>
        </is>
      </c>
      <c r="S4288" t="inlineStr">
        <is>
          <t>0.42</t>
        </is>
      </c>
      <c r="T4288" t="inlineStr">
        <is>
          <t>母婴亲子</t>
        </is>
      </c>
      <c r="U4288" t="inlineStr">
        <is>
          <t>玩具早教</t>
        </is>
      </c>
      <c r="V4288" s="3">
        <v>46125.978738425925</v>
      </c>
      <c r="W4288" t="inlineStr">
        <is>
          <t>2026-Q2</t>
        </is>
      </c>
    </row>
    <row r="4289" ht="25.5" customHeight="1">
      <c r="A4289" t="inlineStr">
        <is>
          <t>出口品质~卡通动物平衡叠叠乐益智早教大颗粒积木亲子互动玩具</t>
        </is>
      </c>
      <c r="B4289" t="inlineStr">
        <is>
          <t>recvgGy5hQDrWq.jpg</t>
        </is>
      </c>
      <c r="C4289" s="2" t="str">
        <f>=HYPERLINK("https://xhslink.com/m/AQbWlvRrBF4", "https://xhslink.com/m/AQbWlvRrBF4")</f>
        <v>https://xhslink.com/m/AQbWlvRrBF4</v>
      </c>
      <c r="D4289"/>
      <c r="E4289">
        <v>6865</v>
      </c>
      <c r="F4289">
        <v>38</v>
      </c>
      <c r="G4289">
        <v>28</v>
      </c>
      <c r="H4289">
        <v>100</v>
      </c>
      <c r="I4289" t="inlineStr">
        <is>
          <t>玩具</t>
        </is>
      </c>
      <c r="J4289" t="inlineStr">
        <is>
          <t>0.01</t>
        </is>
      </c>
      <c r="K4289" t="inlineStr">
        <is>
          <t>🔥低粉爆款</t>
        </is>
      </c>
      <c r="L4289" t="inlineStr">
        <is>
          <t>啪啪啦的店</t>
        </is>
      </c>
      <c r="M4289">
        <v>1480</v>
      </c>
      <c r="N4289">
        <v>4.72</v>
      </c>
      <c r="O4289">
        <v>22000</v>
      </c>
      <c r="P4289" t="inlineStr">
        <is>
          <t>6885e13c417c3f00016bf9c5</t>
        </is>
      </c>
      <c r="Q4289" t="inlineStr">
        <is>
          <t>🚫重复</t>
        </is>
      </c>
      <c r="R4289" t="inlineStr">
        <is>
          <t>16周</t>
        </is>
      </c>
      <c r="S4289" t="inlineStr">
        <is>
          <t>4.64</t>
        </is>
      </c>
      <c r="T4289" t="inlineStr">
        <is>
          <t>母婴亲子</t>
        </is>
      </c>
      <c r="U4289" t="inlineStr">
        <is>
          <t>玩具早教</t>
        </is>
      </c>
      <c r="V4289" s="3">
        <v>46125.978738425925</v>
      </c>
      <c r="W4289" t="inlineStr">
        <is>
          <t>2026-Q2</t>
        </is>
      </c>
    </row>
    <row r="4290" ht="25.5" customHeight="1">
      <c r="A4290" t="inlineStr">
        <is>
          <t>莓辣 · 中英版情侣卡牌趣味桌游情侣礼物情侣游戏生日礼物送闺蜜明星同款</t>
        </is>
      </c>
      <c r="B4290" t="inlineStr">
        <is>
          <t>recvgGy5hQ1FZq.jpg</t>
        </is>
      </c>
      <c r="C4290" s="2" t="str">
        <f>=HYPERLINK("https://xhslink.com/m/Dv90qgyLvv", "https://xhslink.com/m/Dv90qgyLvv")</f>
        <v>https://xhslink.com/m/Dv90qgyLvv</v>
      </c>
      <c r="D4290"/>
      <c r="E4290">
        <v>13000</v>
      </c>
      <c r="F4290">
        <v>46.9</v>
      </c>
      <c r="G4290">
        <v>36.9</v>
      </c>
      <c r="H4290">
        <v>100</v>
      </c>
      <c r="I4290" t="inlineStr">
        <is>
          <t>玩具</t>
        </is>
      </c>
      <c r="J4290" t="inlineStr">
        <is>
          <t>0.01</t>
        </is>
      </c>
      <c r="K4290"/>
      <c r="L4290" t="inlineStr">
        <is>
          <t>莓辣的店</t>
        </is>
      </c>
      <c r="M4290">
        <v>7729</v>
      </c>
      <c r="N4290">
        <v>4.66</v>
      </c>
      <c r="O4290">
        <v>36000</v>
      </c>
      <c r="P4290" t="inlineStr">
        <is>
          <t>68b0046862c1ee00015eaeed</t>
        </is>
      </c>
      <c r="Q4290"/>
      <c r="R4290" t="inlineStr">
        <is>
          <t>16周</t>
        </is>
      </c>
      <c r="S4290" t="inlineStr">
        <is>
          <t>1.68</t>
        </is>
      </c>
      <c r="T4290" t="inlineStr">
        <is>
          <t>母婴亲子</t>
        </is>
      </c>
      <c r="U4290" t="inlineStr">
        <is>
          <t>玩具早教</t>
        </is>
      </c>
      <c r="V4290" s="3">
        <v>46125.978738425925</v>
      </c>
      <c r="W4290" t="inlineStr">
        <is>
          <t>2026-Q2</t>
        </is>
      </c>
    </row>
    <row r="4291" ht="25.5" customHeight="1">
      <c r="A4291" t="inlineStr">
        <is>
          <t>法式白色衬衫女2026夏季新款设计感小众短袖衬衣中袖五分袖上衣</t>
        </is>
      </c>
      <c r="B4291" t="inlineStr">
        <is>
          <t>recvgGy5hQxGWD.jpg</t>
        </is>
      </c>
      <c r="C4291" s="2" t="str">
        <f>=HYPERLINK("https://xhslink.com/m/9r9HtXLv8zA", "https://xhslink.com/m/9r9HtXLv8zA")</f>
        <v>https://xhslink.com/m/9r9HtXLv8zA</v>
      </c>
      <c r="D4291"/>
      <c r="E4291">
        <v>27000</v>
      </c>
      <c r="F4291">
        <v>89</v>
      </c>
      <c r="G4291"/>
      <c r="H4291">
        <v>100</v>
      </c>
      <c r="I4291" t="inlineStr">
        <is>
          <t>上衣</t>
        </is>
      </c>
      <c r="J4291" t="inlineStr">
        <is>
          <t>0.00</t>
        </is>
      </c>
      <c r="K4291"/>
      <c r="L4291" t="inlineStr">
        <is>
          <t>KK穿搭分享~的店</t>
        </is>
      </c>
      <c r="M4291">
        <v>597000</v>
      </c>
      <c r="N4291">
        <v>4.6</v>
      </c>
      <c r="O4291">
        <v>3111000</v>
      </c>
      <c r="P4291" t="inlineStr">
        <is>
          <t>66359a6a814de700011fb96c</t>
        </is>
      </c>
      <c r="Q4291" t="inlineStr">
        <is>
          <t>🚫重复</t>
        </is>
      </c>
      <c r="R4291" t="inlineStr">
        <is>
          <t>16周</t>
        </is>
      </c>
      <c r="S4291" t="inlineStr">
        <is>
          <t>0.05</t>
        </is>
      </c>
      <c r="T4291" t="inlineStr">
        <is>
          <t>服饰穿搭</t>
        </is>
      </c>
      <c r="U4291" t="inlineStr">
        <is>
          <t>女装</t>
        </is>
      </c>
      <c r="V4291" s="3">
        <v>46125.978738425925</v>
      </c>
      <c r="W4291" t="inlineStr">
        <is>
          <t>2026-Q2</t>
        </is>
      </c>
    </row>
    <row r="4292" ht="25.5" customHeight="1">
      <c r="A4292" t="inlineStr">
        <is>
          <t>韩系设计感气质短袖衬衫上衣【夏季新款】</t>
        </is>
      </c>
      <c r="B4292" t="inlineStr">
        <is>
          <t>recvgGy5hQYkXD.jpg</t>
        </is>
      </c>
      <c r="C4292" s="2" t="str">
        <f>=HYPERLINK("https://xhslink.com/m/IIHYnu9m1F", "https://xhslink.com/m/IIHYnu9m1F")</f>
        <v>https://xhslink.com/m/IIHYnu9m1F</v>
      </c>
      <c r="D4292"/>
      <c r="E4292">
        <v>9444</v>
      </c>
      <c r="F4292">
        <v>105.8</v>
      </c>
      <c r="G4292">
        <v>85.8</v>
      </c>
      <c r="H4292">
        <v>100</v>
      </c>
      <c r="I4292" t="inlineStr">
        <is>
          <t>上衣</t>
        </is>
      </c>
      <c r="J4292" t="inlineStr">
        <is>
          <t>0.01</t>
        </is>
      </c>
      <c r="K4292" t="inlineStr">
        <is>
          <t>🔥低粉爆款</t>
        </is>
      </c>
      <c r="L4292" t="inlineStr">
        <is>
          <t>萌萌爱番茄的店</t>
        </is>
      </c>
      <c r="M4292">
        <v>1287</v>
      </c>
      <c r="N4292">
        <v>4.53</v>
      </c>
      <c r="O4292">
        <v>18000</v>
      </c>
      <c r="P4292" t="inlineStr">
        <is>
          <t>6847fc4aa548d000156eb056</t>
        </is>
      </c>
      <c r="Q4292"/>
      <c r="R4292" t="inlineStr">
        <is>
          <t>16周</t>
        </is>
      </c>
      <c r="S4292" t="inlineStr">
        <is>
          <t>7.34</t>
        </is>
      </c>
      <c r="T4292" t="inlineStr">
        <is>
          <t>服饰穿搭</t>
        </is>
      </c>
      <c r="U4292" t="inlineStr">
        <is>
          <t>女装</t>
        </is>
      </c>
      <c r="V4292" s="3">
        <v>46125.978738425925</v>
      </c>
      <c r="W4292" t="inlineStr">
        <is>
          <t>2026-Q2</t>
        </is>
      </c>
    </row>
    <row r="4293" ht="25.5" customHeight="1">
      <c r="A4293" t="inlineStr">
        <is>
          <t>FUNINO · 设计感显瘦轻奢剪影手绘花苞A字女长袖衬衫粉白通勤夏日海边度假</t>
        </is>
      </c>
      <c r="B4293" t="inlineStr">
        <is>
          <t>recvgGy5hQbAuM.jpg</t>
        </is>
      </c>
      <c r="C4293" s="2" t="str">
        <f>=HYPERLINK("https://xhslink.com/m/77IKJzPobhJ", "https://xhslink.com/m/77IKJzPobhJ")</f>
        <v>https://xhslink.com/m/77IKJzPobhJ</v>
      </c>
      <c r="D4293"/>
      <c r="E4293">
        <v>5007</v>
      </c>
      <c r="F4293">
        <v>1080</v>
      </c>
      <c r="G4293"/>
      <c r="H4293">
        <v>100</v>
      </c>
      <c r="I4293" t="inlineStr">
        <is>
          <t>上衣</t>
        </is>
      </c>
      <c r="J4293" t="inlineStr">
        <is>
          <t>0.02</t>
        </is>
      </c>
      <c r="K4293"/>
      <c r="L4293" t="inlineStr">
        <is>
          <t>FUNINO的店</t>
        </is>
      </c>
      <c r="M4293">
        <v>1749</v>
      </c>
      <c r="N4293">
        <v>4.49</v>
      </c>
      <c r="O4293">
        <v>12000</v>
      </c>
      <c r="P4293" t="inlineStr">
        <is>
          <t>67b730f97b3de40001b33441</t>
        </is>
      </c>
      <c r="Q4293" t="inlineStr">
        <is>
          <t>🚫重复</t>
        </is>
      </c>
      <c r="R4293" t="inlineStr">
        <is>
          <t>16周</t>
        </is>
      </c>
      <c r="S4293" t="inlineStr">
        <is>
          <t>2.86</t>
        </is>
      </c>
      <c r="T4293" t="inlineStr">
        <is>
          <t>服饰穿搭</t>
        </is>
      </c>
      <c r="U4293" t="inlineStr">
        <is>
          <t>女装</t>
        </is>
      </c>
      <c r="V4293" s="3">
        <v>46125.978738425925</v>
      </c>
      <c r="W4293" t="inlineStr">
        <is>
          <t>2026-Q2</t>
        </is>
      </c>
    </row>
    <row r="4294" ht="25.5" customHeight="1">
      <c r="A4294" t="inlineStr">
        <is>
          <t>可爱金鱼印花短袖白色纯棉t恤女夏季新款原创复古宽松百搭打底衫</t>
        </is>
      </c>
      <c r="B4294" t="inlineStr">
        <is>
          <t>recvgGy5hQorsm.jpg</t>
        </is>
      </c>
      <c r="C4294" s="2" t="str">
        <f>=HYPERLINK("https://xhslink.com/m/4PSxlO5W1M5", "https://xhslink.com/m/4PSxlO5W1M5")</f>
        <v>https://xhslink.com/m/4PSxlO5W1M5</v>
      </c>
      <c r="D4294"/>
      <c r="E4294">
        <v>54000</v>
      </c>
      <c r="F4294">
        <v>35.9</v>
      </c>
      <c r="G4294">
        <v>34.9</v>
      </c>
      <c r="H4294">
        <v>100</v>
      </c>
      <c r="I4294" t="inlineStr">
        <is>
          <t>上衣</t>
        </is>
      </c>
      <c r="J4294" t="inlineStr">
        <is>
          <t>0.00</t>
        </is>
      </c>
      <c r="K4294"/>
      <c r="L4294" t="inlineStr">
        <is>
          <t>HSYE原创工作室的店</t>
        </is>
      </c>
      <c r="M4294">
        <v>86000</v>
      </c>
      <c r="N4294">
        <v>4.69</v>
      </c>
      <c r="O4294">
        <v>469000</v>
      </c>
      <c r="P4294" t="inlineStr">
        <is>
          <t>669c7d8702232f0001721d64</t>
        </is>
      </c>
      <c r="Q4294" t="inlineStr">
        <is>
          <t>🚫重复</t>
        </is>
      </c>
      <c r="R4294" t="inlineStr">
        <is>
          <t>16周</t>
        </is>
      </c>
      <c r="S4294" t="inlineStr">
        <is>
          <t>0.63</t>
        </is>
      </c>
      <c r="T4294" t="inlineStr">
        <is>
          <t>服饰穿搭</t>
        </is>
      </c>
      <c r="U4294" t="inlineStr">
        <is>
          <t>女装</t>
        </is>
      </c>
      <c r="V4294" s="3">
        <v>46125.978738425925</v>
      </c>
      <c r="W4294" t="inlineStr">
        <is>
          <t>2026-Q2</t>
        </is>
      </c>
    </row>
    <row r="4295" ht="25.5" customHeight="1">
      <c r="A4295" t="inlineStr">
        <is>
          <t>A家G家 · 巨好看的穿搭一整套2026春季新款御姐气质蓝色牛仔衬衫两件套装女</t>
        </is>
      </c>
      <c r="B4295" t="inlineStr">
        <is>
          <t>recvgGy5hQ9gZm.jpg</t>
        </is>
      </c>
      <c r="C4295" s="2" t="str">
        <f>=HYPERLINK("https://xhslink.com/m/77b6vcJidcq", "https://xhslink.com/m/77b6vcJidcq")</f>
        <v>https://xhslink.com/m/77b6vcJidcq</v>
      </c>
      <c r="D4295"/>
      <c r="E4295">
        <v>643</v>
      </c>
      <c r="F4295">
        <v>316</v>
      </c>
      <c r="G4295">
        <v>298</v>
      </c>
      <c r="H4295">
        <v>100</v>
      </c>
      <c r="I4295" t="inlineStr">
        <is>
          <t>上衣</t>
        </is>
      </c>
      <c r="J4295" t="inlineStr">
        <is>
          <t>0.16</t>
        </is>
      </c>
      <c r="K4295"/>
      <c r="L4295" t="inlineStr">
        <is>
          <t>A家G家雯洁搭配的店</t>
        </is>
      </c>
      <c r="M4295">
        <v>1197</v>
      </c>
      <c r="N4295">
        <v>4.52</v>
      </c>
      <c r="O4295">
        <v>6150</v>
      </c>
      <c r="P4295" t="inlineStr">
        <is>
          <t>69c35106180bf40001af3159</t>
        </is>
      </c>
      <c r="Q4295"/>
      <c r="R4295" t="inlineStr">
        <is>
          <t>16周</t>
        </is>
      </c>
      <c r="S4295" t="inlineStr">
        <is>
          <t>0.54</t>
        </is>
      </c>
      <c r="T4295" t="inlineStr">
        <is>
          <t>服饰穿搭</t>
        </is>
      </c>
      <c r="U4295" t="inlineStr">
        <is>
          <t>女装</t>
        </is>
      </c>
      <c r="V4295" s="3">
        <v>46125.978738425925</v>
      </c>
      <c r="W4295" t="inlineStr">
        <is>
          <t>2026-Q2</t>
        </is>
      </c>
    </row>
    <row r="4296" ht="25.5" customHeight="1">
      <c r="A4296" t="inlineStr">
        <is>
          <t>【10-15cm发圈合集】[7r/2件][9r/3件][15r/5件]大肠发圈韩系发绳</t>
        </is>
      </c>
      <c r="B4296" t="inlineStr">
        <is>
          <t>recvgGy5hQEnGq.jpg</t>
        </is>
      </c>
      <c r="C4296" s="2" t="str">
        <f>=HYPERLINK("https://xhslink.com/m/DV6qNqIq08", "https://xhslink.com/m/DV6qNqIq08")</f>
        <v>https://xhslink.com/m/DV6qNqIq08</v>
      </c>
      <c r="D4296"/>
      <c r="E4296">
        <v>2881</v>
      </c>
      <c r="F4296">
        <v>4</v>
      </c>
      <c r="G4296"/>
      <c r="H4296">
        <v>100</v>
      </c>
      <c r="I4296" t="inlineStr">
        <is>
          <t>配饰</t>
        </is>
      </c>
      <c r="J4296" t="inlineStr">
        <is>
          <t>0.03</t>
        </is>
      </c>
      <c r="K4296"/>
      <c r="L4296" t="inlineStr">
        <is>
          <t>青提啵啵兔的店</t>
        </is>
      </c>
      <c r="M4296">
        <v>6477</v>
      </c>
      <c r="N4296">
        <v>4.51</v>
      </c>
      <c r="O4296">
        <v>22000</v>
      </c>
      <c r="P4296" t="inlineStr">
        <is>
          <t>69b7b4187c9c8f0001fdec07</t>
        </is>
      </c>
      <c r="Q4296" t="inlineStr">
        <is>
          <t>🚫重复</t>
        </is>
      </c>
      <c r="R4296" t="inlineStr">
        <is>
          <t>16周</t>
        </is>
      </c>
      <c r="S4296" t="inlineStr">
        <is>
          <t>0.44</t>
        </is>
      </c>
      <c r="T4296" t="inlineStr">
        <is>
          <t>服饰穿搭</t>
        </is>
      </c>
      <c r="U4296" t="inlineStr">
        <is>
          <t>配饰</t>
        </is>
      </c>
      <c r="V4296" s="3">
        <v>46125.978738425925</v>
      </c>
      <c r="W4296" t="inlineStr">
        <is>
          <t>2026-Q2</t>
        </is>
      </c>
    </row>
    <row r="4297" ht="25.5" customHeight="1">
      <c r="A4297" t="inlineStr">
        <is>
          <t>前1w单特价.yukio丑娃娃富士山三日橘许愿星美人鱼四叶草挂件玩偶</t>
        </is>
      </c>
      <c r="B4297" t="inlineStr">
        <is>
          <t>recvgGy5hQ8ZYw.jpg</t>
        </is>
      </c>
      <c r="C4297" s="2" t="str">
        <f>=HYPERLINK("https://xhslink.com/m/2KS1u4NV7Qy", "https://xhslink.com/m/2KS1u4NV7Qy")</f>
        <v>https://xhslink.com/m/2KS1u4NV7Qy</v>
      </c>
      <c r="D4297"/>
      <c r="E4297">
        <v>4204</v>
      </c>
      <c r="F4297">
        <v>49</v>
      </c>
      <c r="G4297">
        <v>29.8</v>
      </c>
      <c r="H4297">
        <v>100</v>
      </c>
      <c r="I4297" t="inlineStr">
        <is>
          <t>毛线玩偶</t>
        </is>
      </c>
      <c r="J4297" t="inlineStr">
        <is>
          <t>0.02</t>
        </is>
      </c>
      <c r="K4297" t="inlineStr">
        <is>
          <t>🔥低粉爆款</t>
        </is>
      </c>
      <c r="L4297" t="inlineStr">
        <is>
          <t>万物皆可盼的店</t>
        </is>
      </c>
      <c r="M4297">
        <v>76</v>
      </c>
      <c r="N4297">
        <v>4.68</v>
      </c>
      <c r="O4297">
        <v>6110</v>
      </c>
      <c r="P4297" t="inlineStr">
        <is>
          <t>695e1328bb020d0001fc9f5c</t>
        </is>
      </c>
      <c r="Q4297" t="inlineStr">
        <is>
          <t>🚫重复</t>
        </is>
      </c>
      <c r="R4297" t="inlineStr">
        <is>
          <t>16周</t>
        </is>
      </c>
      <c r="S4297" t="inlineStr">
        <is>
          <t>55.32</t>
        </is>
      </c>
      <c r="T4297" t="inlineStr">
        <is>
          <t>母婴亲子</t>
        </is>
      </c>
      <c r="U4297" t="inlineStr">
        <is>
          <t>玩具早教</t>
        </is>
      </c>
      <c r="V4297" s="3">
        <v>46125.978738425925</v>
      </c>
      <c r="W4297" t="inlineStr">
        <is>
          <t>2026-Q2</t>
        </is>
      </c>
    </row>
    <row r="4298" ht="25.5" customHeight="1">
      <c r="A4298" t="inlineStr">
        <is>
          <t>【不爱吃鱼】现货！轻松熊系列·ss挂件玩偶公仔现货素熊手玉 正品</t>
        </is>
      </c>
      <c r="B4298" t="inlineStr">
        <is>
          <t>recvgGy5hQ0b7n.jpg</t>
        </is>
      </c>
      <c r="C4298" s="2" t="str">
        <f>=HYPERLINK("https://xhslink.com/m/5rEWgIVMiMD", "https://xhslink.com/m/5rEWgIVMiMD")</f>
        <v>https://xhslink.com/m/5rEWgIVMiMD</v>
      </c>
      <c r="D4298"/>
      <c r="E4298">
        <v>3407</v>
      </c>
      <c r="F4298">
        <v>65</v>
      </c>
      <c r="G4298"/>
      <c r="H4298">
        <v>100</v>
      </c>
      <c r="I4298" t="inlineStr">
        <is>
          <t>毛线玩偶</t>
        </is>
      </c>
      <c r="J4298" t="inlineStr">
        <is>
          <t>0.03</t>
        </is>
      </c>
      <c r="K4298"/>
      <c r="L4298" t="inlineStr">
        <is>
          <t>不爱吃鱼的小铺的店</t>
        </is>
      </c>
      <c r="M4298">
        <v>28000</v>
      </c>
      <c r="N4298">
        <v>4.68</v>
      </c>
      <c r="O4298">
        <v>48000</v>
      </c>
      <c r="P4298" t="inlineStr">
        <is>
          <t>6989ac677db7d200017f6d6b</t>
        </is>
      </c>
      <c r="Q4298"/>
      <c r="R4298" t="inlineStr">
        <is>
          <t>16周</t>
        </is>
      </c>
      <c r="S4298" t="inlineStr">
        <is>
          <t>0.12</t>
        </is>
      </c>
      <c r="T4298" t="inlineStr">
        <is>
          <t>母婴亲子</t>
        </is>
      </c>
      <c r="U4298" t="inlineStr">
        <is>
          <t>玩具早教</t>
        </is>
      </c>
      <c r="V4298" s="3">
        <v>46125.978738425925</v>
      </c>
      <c r="W4298" t="inlineStr">
        <is>
          <t>2026-Q2</t>
        </is>
      </c>
    </row>
    <row r="4299" ht="25.5" customHeight="1">
      <c r="A4299" t="inlineStr">
        <is>
          <t>可爱生日礼物乖乖羊毛绒玩偶玩具公仔娃娃送女生闺蜜男朋友毕业季</t>
        </is>
      </c>
      <c r="B4299" t="inlineStr">
        <is>
          <t>recvgGy5hQvEEA.jpg</t>
        </is>
      </c>
      <c r="C4299" s="2" t="str">
        <f>=HYPERLINK("https://xhslink.com/m/5lenVVc8e", "https://xhslink.com/m/5lenVVc8e")</f>
        <v>https://xhslink.com/m/5lenVVc8e</v>
      </c>
      <c r="D4299"/>
      <c r="E4299">
        <v>2619</v>
      </c>
      <c r="F4299">
        <v>56.13</v>
      </c>
      <c r="G4299">
        <v>41.9</v>
      </c>
      <c r="H4299">
        <v>100</v>
      </c>
      <c r="I4299" t="inlineStr">
        <is>
          <t>挂件</t>
        </is>
      </c>
      <c r="J4299" t="inlineStr">
        <is>
          <t>0.04</t>
        </is>
      </c>
      <c r="K4299"/>
      <c r="L4299" t="inlineStr">
        <is>
          <t>纯爱战士的礼物的店</t>
        </is>
      </c>
      <c r="M4299">
        <v>11000</v>
      </c>
      <c r="N4299">
        <v>4.57</v>
      </c>
      <c r="O4299">
        <v>45000</v>
      </c>
      <c r="P4299" t="inlineStr">
        <is>
          <t>696bdd1d19260d000136755a</t>
        </is>
      </c>
      <c r="Q4299" t="inlineStr">
        <is>
          <t>🚫重复</t>
        </is>
      </c>
      <c r="R4299" t="inlineStr">
        <is>
          <t>16周</t>
        </is>
      </c>
      <c r="S4299" t="inlineStr">
        <is>
          <t>0.24</t>
        </is>
      </c>
      <c r="T4299" t="inlineStr">
        <is>
          <t>母婴亲子</t>
        </is>
      </c>
      <c r="U4299" t="inlineStr">
        <is>
          <t>玩具早教</t>
        </is>
      </c>
      <c r="V4299" s="3">
        <v>46125.978738425925</v>
      </c>
      <c r="W4299" t="inlineStr">
        <is>
          <t>2026-Q2</t>
        </is>
      </c>
    </row>
    <row r="4300" ht="25.5" customHeight="1">
      <c r="A4300" t="inlineStr">
        <is>
          <t>贪心小猫系列玩偶拓展扣包包挂饰钥匙扣可爱挂件展示扣</t>
        </is>
      </c>
      <c r="B4300" t="inlineStr">
        <is>
          <t>recvgGy5hQlcb2.jpg</t>
        </is>
      </c>
      <c r="C4300" s="2" t="str">
        <f>=HYPERLINK("https://xhslink.com/m/7QIBWJmKXBJ", "https://xhslink.com/m/7QIBWJmKXBJ")</f>
        <v>https://xhslink.com/m/7QIBWJmKXBJ</v>
      </c>
      <c r="D4300"/>
      <c r="E4300">
        <v>1889</v>
      </c>
      <c r="F4300">
        <v>31.9</v>
      </c>
      <c r="G4300">
        <v>29.9</v>
      </c>
      <c r="H4300">
        <v>100</v>
      </c>
      <c r="I4300" t="inlineStr">
        <is>
          <t>挂件</t>
        </is>
      </c>
      <c r="J4300" t="inlineStr">
        <is>
          <t>0.05</t>
        </is>
      </c>
      <c r="K4300"/>
      <c r="L4300" t="inlineStr">
        <is>
          <t>Tou透的店</t>
        </is>
      </c>
      <c r="M4300">
        <v>9571</v>
      </c>
      <c r="N4300">
        <v>4.52</v>
      </c>
      <c r="O4300">
        <v>4268</v>
      </c>
      <c r="P4300" t="inlineStr">
        <is>
          <t>69c73080c675dc0001ac34ff</t>
        </is>
      </c>
      <c r="Q4300" t="inlineStr">
        <is>
          <t>🚫重复</t>
        </is>
      </c>
      <c r="R4300" t="inlineStr">
        <is>
          <t>16周</t>
        </is>
      </c>
      <c r="S4300" t="inlineStr">
        <is>
          <t>0.20</t>
        </is>
      </c>
      <c r="T4300" t="inlineStr">
        <is>
          <t>服饰穿搭</t>
        </is>
      </c>
      <c r="U4300" t="inlineStr">
        <is>
          <t>鞋靴箱包</t>
        </is>
      </c>
      <c r="V4300" s="3">
        <v>46125.978738425925</v>
      </c>
      <c r="W4300" t="inlineStr">
        <is>
          <t>2026-Q2</t>
        </is>
      </c>
    </row>
    <row r="4301" ht="25.5" customHeight="1">
      <c r="A4301" t="inlineStr">
        <is>
          <t>NICI · 晚安睡衣莫拉钥匙扣可爱短尾矮袋鼠水獭等毛绒公仔玩偶包挂小挂件</t>
        </is>
      </c>
      <c r="B4301" t="inlineStr">
        <is>
          <t>recvgGy5hQZslp.jpg</t>
        </is>
      </c>
      <c r="C4301" s="2" t="str">
        <f>=HYPERLINK("https://xhslink.com/m/14B1yXgjwgp", "https://xhslink.com/m/14B1yXgjwgp")</f>
        <v>https://xhslink.com/m/14B1yXgjwgp</v>
      </c>
      <c r="D4301"/>
      <c r="E4301">
        <v>1169</v>
      </c>
      <c r="F4301">
        <v>95</v>
      </c>
      <c r="G4301">
        <v>75.75</v>
      </c>
      <c r="H4301">
        <v>100</v>
      </c>
      <c r="I4301" t="inlineStr">
        <is>
          <t>挂件</t>
        </is>
      </c>
      <c r="J4301" t="inlineStr">
        <is>
          <t>0.09</t>
        </is>
      </c>
      <c r="K4301"/>
      <c r="L4301" t="inlineStr">
        <is>
          <t>NICI旗舰店</t>
        </is>
      </c>
      <c r="M4301">
        <v>21000</v>
      </c>
      <c r="N4301">
        <v>4.52</v>
      </c>
      <c r="O4301">
        <v>19000</v>
      </c>
      <c r="P4301" t="inlineStr">
        <is>
          <t>697b0474226ff500018a5fd9</t>
        </is>
      </c>
      <c r="Q4301" t="inlineStr">
        <is>
          <t>🚫重复</t>
        </is>
      </c>
      <c r="R4301" t="inlineStr">
        <is>
          <t>16周</t>
        </is>
      </c>
      <c r="S4301" t="inlineStr">
        <is>
          <t>0.06</t>
        </is>
      </c>
      <c r="T4301" t="inlineStr">
        <is>
          <t>母婴亲子</t>
        </is>
      </c>
      <c r="U4301" t="inlineStr">
        <is>
          <t>玩具早教</t>
        </is>
      </c>
      <c r="V4301" s="3">
        <v>46125.978738425925</v>
      </c>
      <c r="W4301" t="inlineStr">
        <is>
          <t>2026-Q2</t>
        </is>
      </c>
    </row>
    <row r="4302" ht="25.5" customHeight="1">
      <c r="A4302" t="inlineStr">
        <is>
          <t>可爱毛绒玩偶挂件小狗挂件zozo</t>
        </is>
      </c>
      <c r="B4302" t="inlineStr">
        <is>
          <t>recvgGy5hQ8eZk.jpg</t>
        </is>
      </c>
      <c r="C4302" s="2" t="str">
        <f>=HYPERLINK("https://xhslink.com/m/8tfPE1fWZV8", "https://xhslink.com/m/8tfPE1fWZV8")</f>
        <v>https://xhslink.com/m/8tfPE1fWZV8</v>
      </c>
      <c r="D4302"/>
      <c r="E4302">
        <v>659</v>
      </c>
      <c r="F4302">
        <v>34.9</v>
      </c>
      <c r="G4302">
        <v>29.9</v>
      </c>
      <c r="H4302">
        <v>100</v>
      </c>
      <c r="I4302" t="inlineStr">
        <is>
          <t>挂件</t>
        </is>
      </c>
      <c r="J4302" t="inlineStr">
        <is>
          <t>0.15</t>
        </is>
      </c>
      <c r="K4302"/>
      <c r="L4302" t="inlineStr">
        <is>
          <t>YOYO Family友友工作室的店</t>
        </is>
      </c>
      <c r="M4302">
        <v>4078</v>
      </c>
      <c r="N4302">
        <v>4.46</v>
      </c>
      <c r="O4302">
        <v>705</v>
      </c>
      <c r="P4302" t="inlineStr">
        <is>
          <t>692d20d32aa9d0000121f368</t>
        </is>
      </c>
      <c r="Q4302"/>
      <c r="R4302" t="inlineStr">
        <is>
          <t>16周</t>
        </is>
      </c>
      <c r="S4302" t="inlineStr">
        <is>
          <t>0.16</t>
        </is>
      </c>
      <c r="T4302" t="inlineStr">
        <is>
          <t>母婴亲子</t>
        </is>
      </c>
      <c r="U4302" t="inlineStr">
        <is>
          <t>玩具早教</t>
        </is>
      </c>
      <c r="V4302" s="3">
        <v>46125.978738425925</v>
      </c>
      <c r="W4302" t="inlineStr">
        <is>
          <t>2026-Q2</t>
        </is>
      </c>
    </row>
    <row r="4303" ht="25.5" customHeight="1">
      <c r="A4303" t="inlineStr">
        <is>
          <t>【长耳朵避难所】原创AMI YEYE毛绒挂件puffland可爱玩偶玩具</t>
        </is>
      </c>
      <c r="B4303" t="inlineStr">
        <is>
          <t>recvgGy5hQFPND.jpg</t>
        </is>
      </c>
      <c r="C4303" s="2" t="str">
        <f>=HYPERLINK("https://xhslink.com/m/7Nfl0KCf9aw", "https://xhslink.com/m/7Nfl0KCf9aw")</f>
        <v>https://xhslink.com/m/7Nfl0KCf9aw</v>
      </c>
      <c r="D4303"/>
      <c r="E4303">
        <v>2042</v>
      </c>
      <c r="F4303">
        <v>79.8</v>
      </c>
      <c r="G4303"/>
      <c r="H4303">
        <v>100</v>
      </c>
      <c r="I4303" t="inlineStr">
        <is>
          <t>挂件</t>
        </is>
      </c>
      <c r="J4303" t="inlineStr">
        <is>
          <t>0.05</t>
        </is>
      </c>
      <c r="K4303"/>
      <c r="L4303" t="inlineStr">
        <is>
          <t>长耳朵避难所的店</t>
        </is>
      </c>
      <c r="M4303">
        <v>6704</v>
      </c>
      <c r="N4303">
        <v>4.59</v>
      </c>
      <c r="O4303">
        <v>4625</v>
      </c>
      <c r="P4303" t="inlineStr">
        <is>
          <t>6971cb07449b140001bc4508</t>
        </is>
      </c>
      <c r="Q4303"/>
      <c r="R4303" t="inlineStr">
        <is>
          <t>16周</t>
        </is>
      </c>
      <c r="S4303" t="inlineStr">
        <is>
          <t>0.30</t>
        </is>
      </c>
      <c r="T4303" t="inlineStr">
        <is>
          <t>母婴亲子</t>
        </is>
      </c>
      <c r="U4303" t="inlineStr">
        <is>
          <t>玩具早教</t>
        </is>
      </c>
      <c r="V4303" s="3">
        <v>46125.978738425925</v>
      </c>
      <c r="W4303" t="inlineStr">
        <is>
          <t>2026-Q2</t>
        </is>
      </c>
    </row>
    <row r="4304" ht="25.5" customHeight="1">
      <c r="A4304" t="inlineStr">
        <is>
          <t>贪心小猫系列玩偶拓展扣包包挂饰钥匙扣可爱挂件展示扣</t>
        </is>
      </c>
      <c r="B4304" t="inlineStr">
        <is>
          <t>recvgGy5hQfjh9.jpg</t>
        </is>
      </c>
      <c r="C4304" s="2" t="str">
        <f>=HYPERLINK("https://xhslink.com/m/2Dw0ybhZveH", "https://xhslink.com/m/2Dw0ybhZveH")</f>
        <v>https://xhslink.com/m/2Dw0ybhZveH</v>
      </c>
      <c r="D4304"/>
      <c r="E4304">
        <v>1889</v>
      </c>
      <c r="F4304">
        <v>31.9</v>
      </c>
      <c r="G4304">
        <v>29.9</v>
      </c>
      <c r="H4304">
        <v>100</v>
      </c>
      <c r="I4304" t="inlineStr">
        <is>
          <t>挂件</t>
        </is>
      </c>
      <c r="J4304" t="inlineStr">
        <is>
          <t>0.05</t>
        </is>
      </c>
      <c r="K4304"/>
      <c r="L4304" t="inlineStr">
        <is>
          <t>Tou透的店</t>
        </is>
      </c>
      <c r="M4304">
        <v>9571</v>
      </c>
      <c r="N4304">
        <v>4.52</v>
      </c>
      <c r="O4304">
        <v>4268</v>
      </c>
      <c r="P4304" t="inlineStr">
        <is>
          <t>69c73080c675dc0001ac34f6</t>
        </is>
      </c>
      <c r="Q4304" t="inlineStr">
        <is>
          <t>🚫重复</t>
        </is>
      </c>
      <c r="R4304" t="inlineStr">
        <is>
          <t>16周</t>
        </is>
      </c>
      <c r="S4304" t="inlineStr">
        <is>
          <t>0.20</t>
        </is>
      </c>
      <c r="T4304" t="inlineStr">
        <is>
          <t>服饰穿搭</t>
        </is>
      </c>
      <c r="U4304" t="inlineStr">
        <is>
          <t>鞋靴箱包</t>
        </is>
      </c>
      <c r="V4304" s="3">
        <v>46125.978738425925</v>
      </c>
      <c r="W4304" t="inlineStr">
        <is>
          <t>2026-Q2</t>
        </is>
      </c>
    </row>
    <row r="4305" ht="25.5" customHeight="1">
      <c r="A4305" t="inlineStr">
        <is>
          <t>NICI · 晚安睡衣莫拉钥匙扣可爱短尾矮袋鼠水獭等毛绒公仔玩偶包挂小挂件</t>
        </is>
      </c>
      <c r="B4305" t="inlineStr">
        <is>
          <t>recvgGy5hQ6ST9.jpg</t>
        </is>
      </c>
      <c r="C4305" s="2" t="str">
        <f>=HYPERLINK("https://xhslink.com/m/3ROX2DGJ5tB", "https://xhslink.com/m/3ROX2DGJ5tB")</f>
        <v>https://xhslink.com/m/3ROX2DGJ5tB</v>
      </c>
      <c r="D4305"/>
      <c r="E4305">
        <v>1170</v>
      </c>
      <c r="F4305">
        <v>95</v>
      </c>
      <c r="G4305">
        <v>75.75</v>
      </c>
      <c r="H4305">
        <v>100</v>
      </c>
      <c r="I4305" t="inlineStr">
        <is>
          <t>挂件</t>
        </is>
      </c>
      <c r="J4305" t="inlineStr">
        <is>
          <t>0.09</t>
        </is>
      </c>
      <c r="K4305"/>
      <c r="L4305" t="inlineStr">
        <is>
          <t>NICI旗舰店</t>
        </is>
      </c>
      <c r="M4305">
        <v>21000</v>
      </c>
      <c r="N4305">
        <v>4.52</v>
      </c>
      <c r="O4305">
        <v>19000</v>
      </c>
      <c r="P4305" t="inlineStr">
        <is>
          <t>697b0474226ff500018a5fcd</t>
        </is>
      </c>
      <c r="Q4305" t="inlineStr">
        <is>
          <t>🚫重复</t>
        </is>
      </c>
      <c r="R4305" t="inlineStr">
        <is>
          <t>16周</t>
        </is>
      </c>
      <c r="S4305" t="inlineStr">
        <is>
          <t>0.06</t>
        </is>
      </c>
      <c r="T4305" t="inlineStr">
        <is>
          <t>母婴亲子</t>
        </is>
      </c>
      <c r="U4305" t="inlineStr">
        <is>
          <t>玩具早教</t>
        </is>
      </c>
      <c r="V4305" s="3">
        <v>46125.978738425925</v>
      </c>
      <c r="W4305" t="inlineStr">
        <is>
          <t>2026-Q2</t>
        </is>
      </c>
    </row>
    <row r="4306" ht="25.5" customHeight="1">
      <c r="A4306" t="inlineStr">
        <is>
          <t>正宗贝贝南瓜、奶油贝贝、金贝贝 巨好吃粉糯香甜 代餐辅食</t>
        </is>
      </c>
      <c r="B4306" t="inlineStr">
        <is>
          <t>recvgGy5hQmlTn.jpg</t>
        </is>
      </c>
      <c r="C4306" s="2" t="str">
        <f>=HYPERLINK("https://xhslink.com/m/45KL0TPCUYH", "https://xhslink.com/m/45KL0TPCUYH")</f>
        <v>https://xhslink.com/m/45KL0TPCUYH</v>
      </c>
      <c r="D4306"/>
      <c r="E4306">
        <v>25000</v>
      </c>
      <c r="F4306">
        <v>29.9</v>
      </c>
      <c r="G4306">
        <v>19.9</v>
      </c>
      <c r="H4306">
        <v>100</v>
      </c>
      <c r="I4306" t="inlineStr">
        <is>
          <t>精选蔬菜</t>
        </is>
      </c>
      <c r="J4306" t="inlineStr">
        <is>
          <t>0.00</t>
        </is>
      </c>
      <c r="K4306"/>
      <c r="L4306" t="inlineStr">
        <is>
          <t>家有2000亩牛油果的孕妇的店</t>
        </is>
      </c>
      <c r="M4306">
        <v>73000</v>
      </c>
      <c r="N4306">
        <v>4.66</v>
      </c>
      <c r="O4306">
        <v>455000</v>
      </c>
      <c r="P4306" t="inlineStr">
        <is>
          <t>68413345db57370001b87283</t>
        </is>
      </c>
      <c r="Q4306"/>
      <c r="R4306" t="inlineStr">
        <is>
          <t>16周</t>
        </is>
      </c>
      <c r="S4306" t="inlineStr">
        <is>
          <t>0.34</t>
        </is>
      </c>
      <c r="T4306" t="inlineStr">
        <is>
          <t>美食滋补</t>
        </is>
      </c>
      <c r="U4306" t="inlineStr">
        <is>
          <t>休闲零食</t>
        </is>
      </c>
      <c r="V4306" s="3">
        <v>46125.978738425925</v>
      </c>
      <c r="W4306" t="inlineStr">
        <is>
          <t>2026-Q2</t>
        </is>
      </c>
    </row>
    <row r="4307" ht="25.5" customHeight="1">
      <c r="A4307" t="inlineStr">
        <is>
          <t>新鲜现挖广东白皮黄心薯板栗薯粉糯香甜红薯鸡蛋黄地瓜</t>
        </is>
      </c>
      <c r="B4307" t="inlineStr">
        <is>
          <t>recvgGy5hQOrKs.jpg</t>
        </is>
      </c>
      <c r="C4307" s="2" t="str">
        <f>=HYPERLINK("https://xhslink.com/m/gEg4VT3Kc4", "https://xhslink.com/m/gEg4VT3Kc4")</f>
        <v>https://xhslink.com/m/gEg4VT3Kc4</v>
      </c>
      <c r="D4307"/>
      <c r="E4307">
        <v>12000</v>
      </c>
      <c r="F4307">
        <v>29.9</v>
      </c>
      <c r="G4307">
        <v>17.9</v>
      </c>
      <c r="H4307">
        <v>100</v>
      </c>
      <c r="I4307" t="inlineStr">
        <is>
          <t>精选蔬菜</t>
        </is>
      </c>
      <c r="J4307" t="inlineStr">
        <is>
          <t>0.01</t>
        </is>
      </c>
      <c r="K4307"/>
      <c r="L4307" t="inlineStr">
        <is>
          <t>小妹果园的店</t>
        </is>
      </c>
      <c r="M4307">
        <v>5155</v>
      </c>
      <c r="N4307">
        <v>4.69</v>
      </c>
      <c r="O4307">
        <v>100000</v>
      </c>
      <c r="P4307" t="inlineStr">
        <is>
          <t>685977b83a11a800012d085e</t>
        </is>
      </c>
      <c r="Q4307" t="inlineStr">
        <is>
          <t>🚫重复</t>
        </is>
      </c>
      <c r="R4307" t="inlineStr">
        <is>
          <t>16周</t>
        </is>
      </c>
      <c r="S4307" t="inlineStr">
        <is>
          <t>2.33</t>
        </is>
      </c>
      <c r="T4307" t="inlineStr">
        <is>
          <t>美食滋补</t>
        </is>
      </c>
      <c r="U4307" t="inlineStr">
        <is>
          <t>生鲜特产</t>
        </is>
      </c>
      <c r="V4307" s="3">
        <v>46125.978738425925</v>
      </c>
      <c r="W4307" t="inlineStr">
        <is>
          <t>2026-Q2</t>
        </is>
      </c>
    </row>
    <row r="4308" ht="25.5" customHeight="1">
      <c r="A4308" t="inlineStr">
        <is>
          <t>云南小黄姜农家新鲜现挖食用生姜姜母嫩月子姜高山姜老姜包邮</t>
        </is>
      </c>
      <c r="B4308" t="inlineStr">
        <is>
          <t>recvgGy5hQI7Yx.jpg</t>
        </is>
      </c>
      <c r="C4308" s="2" t="str">
        <f>=HYPERLINK("https://xhslink.com/m/AHgpNXHoby6", "https://xhslink.com/m/AHgpNXHoby6")</f>
        <v>https://xhslink.com/m/AHgpNXHoby6</v>
      </c>
      <c r="D4308"/>
      <c r="E4308">
        <v>21000</v>
      </c>
      <c r="F4308">
        <v>39.9</v>
      </c>
      <c r="G4308">
        <v>25.9</v>
      </c>
      <c r="H4308">
        <v>100</v>
      </c>
      <c r="I4308" t="inlineStr">
        <is>
          <t>精选蔬菜</t>
        </is>
      </c>
      <c r="J4308" t="inlineStr">
        <is>
          <t>0.00</t>
        </is>
      </c>
      <c r="K4308" t="inlineStr">
        <is>
          <t>🔥低粉爆款</t>
        </is>
      </c>
      <c r="L4308" t="inlineStr">
        <is>
          <t>华仔高品质生鲜的店</t>
        </is>
      </c>
      <c r="M4308">
        <v>1725</v>
      </c>
      <c r="N4308">
        <v>4.67</v>
      </c>
      <c r="O4308">
        <v>25000</v>
      </c>
      <c r="P4308" t="inlineStr">
        <is>
          <t>6964d1a593c74600016cacbc</t>
        </is>
      </c>
      <c r="Q4308"/>
      <c r="R4308" t="inlineStr">
        <is>
          <t>16周</t>
        </is>
      </c>
      <c r="S4308" t="inlineStr">
        <is>
          <t>12.17</t>
        </is>
      </c>
      <c r="T4308" t="inlineStr">
        <is>
          <t>母婴亲子</t>
        </is>
      </c>
      <c r="U4308" t="inlineStr">
        <is>
          <t>孕产护理</t>
        </is>
      </c>
      <c r="V4308" s="3">
        <v>46125.978738425925</v>
      </c>
      <c r="W4308" t="inlineStr">
        <is>
          <t>2026-Q2</t>
        </is>
      </c>
    </row>
    <row r="4309" ht="25.5" customHeight="1">
      <c r="A4309" t="inlineStr">
        <is>
          <t>2026新鲜野生竹笋带壳小手剥甜笋现拔现笋</t>
        </is>
      </c>
      <c r="B4309" t="inlineStr">
        <is>
          <t>recvgGy5hQCOMQ.jpg</t>
        </is>
      </c>
      <c r="C4309" s="2" t="str">
        <f>=HYPERLINK("https://xhslink.com/m/5fGRoyNDF21", "https://xhslink.com/m/5fGRoyNDF21")</f>
        <v>https://xhslink.com/m/5fGRoyNDF21</v>
      </c>
      <c r="D4309"/>
      <c r="E4309">
        <v>3243</v>
      </c>
      <c r="F4309">
        <v>36.9</v>
      </c>
      <c r="G4309">
        <v>26.9</v>
      </c>
      <c r="H4309">
        <v>100</v>
      </c>
      <c r="I4309" t="inlineStr">
        <is>
          <t>精选蔬菜</t>
        </is>
      </c>
      <c r="J4309" t="inlineStr">
        <is>
          <t>0.03</t>
        </is>
      </c>
      <c r="K4309" t="inlineStr">
        <is>
          <t>🔥低粉爆款</t>
        </is>
      </c>
      <c r="L4309" t="inlineStr">
        <is>
          <t>田边甜玉米的店</t>
        </is>
      </c>
      <c r="M4309">
        <v>18</v>
      </c>
      <c r="N4309">
        <v>4.52</v>
      </c>
      <c r="O4309">
        <v>3338</v>
      </c>
      <c r="P4309" t="inlineStr">
        <is>
          <t>69c77e65fb672a0015e16ba4</t>
        </is>
      </c>
      <c r="Q4309"/>
      <c r="R4309" t="inlineStr">
        <is>
          <t>16周</t>
        </is>
      </c>
      <c r="S4309" t="inlineStr">
        <is>
          <t>180.17</t>
        </is>
      </c>
      <c r="T4309" t="inlineStr">
        <is>
          <t>美食滋补</t>
        </is>
      </c>
      <c r="U4309" t="inlineStr">
        <is>
          <t>生鲜特产</t>
        </is>
      </c>
      <c r="V4309" s="3">
        <v>46125.978738425925</v>
      </c>
      <c r="W4309" t="inlineStr">
        <is>
          <t>2026-Q2</t>
        </is>
      </c>
    </row>
    <row r="4310" ht="25.5" customHeight="1">
      <c r="A4310" t="inlineStr">
        <is>
          <t>高山沙瓤西红柿子新鲜番茄爆汁蔬菜自然熟农家非普罗旺斯生吃</t>
        </is>
      </c>
      <c r="B4310" t="inlineStr">
        <is>
          <t>recvgGy5hQMA2D.jpg</t>
        </is>
      </c>
      <c r="C4310" s="2" t="str">
        <f>=HYPERLINK("https://xhslink.com/m/23WiBI4wqUw", "https://xhslink.com/m/23WiBI4wqUw")</f>
        <v>https://xhslink.com/m/23WiBI4wqUw</v>
      </c>
      <c r="D4310"/>
      <c r="E4310">
        <v>3729</v>
      </c>
      <c r="F4310">
        <v>34.6</v>
      </c>
      <c r="G4310">
        <v>23.6</v>
      </c>
      <c r="H4310">
        <v>100</v>
      </c>
      <c r="I4310" t="inlineStr">
        <is>
          <t>精选蔬菜</t>
        </is>
      </c>
      <c r="J4310" t="inlineStr">
        <is>
          <t>0.03</t>
        </is>
      </c>
      <c r="K4310" t="inlineStr">
        <is>
          <t>🔥低粉爆款</t>
        </is>
      </c>
      <c r="L4310" t="inlineStr">
        <is>
          <t>西红柿首富🍅的店</t>
        </is>
      </c>
      <c r="M4310">
        <v>121</v>
      </c>
      <c r="N4310">
        <v>4.33</v>
      </c>
      <c r="O4310">
        <v>4761</v>
      </c>
      <c r="P4310" t="inlineStr">
        <is>
          <t>699d23be5b50a30001743a52</t>
        </is>
      </c>
      <c r="Q4310"/>
      <c r="R4310" t="inlineStr">
        <is>
          <t>16周</t>
        </is>
      </c>
      <c r="S4310" t="inlineStr">
        <is>
          <t>30.82</t>
        </is>
      </c>
      <c r="T4310" t="inlineStr">
        <is>
          <t>美食滋补</t>
        </is>
      </c>
      <c r="U4310" t="inlineStr">
        <is>
          <t>生鲜特产</t>
        </is>
      </c>
      <c r="V4310" s="3">
        <v>46125.978738425925</v>
      </c>
      <c r="W4310" t="inlineStr">
        <is>
          <t>2026-Q2</t>
        </is>
      </c>
    </row>
    <row r="4311" ht="25.5" customHeight="1">
      <c r="A4311" t="inlineStr">
        <is>
          <t>【沙瓤西红柿】正宗西红柿新鲜番茄酸甜西红柿农家种植产地直发</t>
        </is>
      </c>
      <c r="B4311" t="inlineStr">
        <is>
          <t>recvgGy5hQTcQq.jpg</t>
        </is>
      </c>
      <c r="C4311" s="2" t="str">
        <f>=HYPERLINK("https://xhslink.com/m/4iEkqvwwt2j", "https://xhslink.com/m/4iEkqvwwt2j")</f>
        <v>https://xhslink.com/m/4iEkqvwwt2j</v>
      </c>
      <c r="D4311"/>
      <c r="E4311">
        <v>490</v>
      </c>
      <c r="F4311">
        <v>22.8</v>
      </c>
      <c r="G4311">
        <v>12.8</v>
      </c>
      <c r="H4311">
        <v>100</v>
      </c>
      <c r="I4311" t="inlineStr">
        <is>
          <t>精选蔬菜</t>
        </is>
      </c>
      <c r="J4311" t="inlineStr">
        <is>
          <t>0.20</t>
        </is>
      </c>
      <c r="K4311" t="inlineStr">
        <is>
          <t>🔥低粉爆款</t>
        </is>
      </c>
      <c r="L4311" t="inlineStr">
        <is>
          <t>🍅队长的店</t>
        </is>
      </c>
      <c r="M4311">
        <v>83</v>
      </c>
      <c r="N4311">
        <v>4.35</v>
      </c>
      <c r="O4311">
        <v>458</v>
      </c>
      <c r="P4311" t="inlineStr">
        <is>
          <t>69cdf3dc7c7d1200012afe31</t>
        </is>
      </c>
      <c r="Q4311"/>
      <c r="R4311" t="inlineStr">
        <is>
          <t>16周</t>
        </is>
      </c>
      <c r="S4311" t="inlineStr">
        <is>
          <t>5.90</t>
        </is>
      </c>
      <c r="T4311" t="inlineStr">
        <is>
          <t>美食滋补</t>
        </is>
      </c>
      <c r="U4311" t="inlineStr">
        <is>
          <t>生鲜特产</t>
        </is>
      </c>
      <c r="V4311" s="3">
        <v>46125.978738425925</v>
      </c>
      <c r="W4311" t="inlineStr">
        <is>
          <t>2026-Q2</t>
        </is>
      </c>
    </row>
    <row r="4312" ht="25.5" customHeight="1">
      <c r="A4312" t="inlineStr">
        <is>
          <t>【顺丰包邮】正宗潮汕牛肉丸手工牛筋丸无添加汕头美食特产</t>
        </is>
      </c>
      <c r="B4312" t="inlineStr">
        <is>
          <t>recvgGy5hQM62t.jpg</t>
        </is>
      </c>
      <c r="C4312" s="2" t="str">
        <f>=HYPERLINK("https://xhslink.com/m/3eM7ej6wT3u", "https://xhslink.com/m/3eM7ej6wT3u")</f>
        <v>https://xhslink.com/m/3eM7ej6wT3u</v>
      </c>
      <c r="D4312"/>
      <c r="E4312">
        <v>13000</v>
      </c>
      <c r="F4312">
        <v>111</v>
      </c>
      <c r="G4312">
        <v>80</v>
      </c>
      <c r="H4312">
        <v>100</v>
      </c>
      <c r="I4312" t="inlineStr">
        <is>
          <t>牛肉丸子</t>
        </is>
      </c>
      <c r="J4312" t="inlineStr">
        <is>
          <t>0.01</t>
        </is>
      </c>
      <c r="K4312" t="inlineStr">
        <is>
          <t>🔥低粉爆款</t>
        </is>
      </c>
      <c r="L4312" t="inlineStr">
        <is>
          <t>缘来牛小姐的店</t>
        </is>
      </c>
      <c r="M4312">
        <v>584</v>
      </c>
      <c r="N4312">
        <v>4.5</v>
      </c>
      <c r="O4312">
        <v>13000</v>
      </c>
      <c r="P4312" t="inlineStr">
        <is>
          <t>682b306a47f0f10001686778</t>
        </is>
      </c>
      <c r="Q4312"/>
      <c r="R4312" t="inlineStr">
        <is>
          <t>16周</t>
        </is>
      </c>
      <c r="S4312" t="inlineStr">
        <is>
          <t>22.26</t>
        </is>
      </c>
      <c r="T4312" t="inlineStr">
        <is>
          <t>美食滋补</t>
        </is>
      </c>
      <c r="U4312" t="inlineStr">
        <is>
          <t>生鲜特产</t>
        </is>
      </c>
      <c r="V4312" s="3">
        <v>46125.978738425925</v>
      </c>
      <c r="W4312" t="inlineStr">
        <is>
          <t>2026-Q2</t>
        </is>
      </c>
    </row>
    <row r="4313" ht="25.5" customHeight="1">
      <c r="A4313" t="inlineStr">
        <is>
          <t>超大活冻黑虎虾鲜甜饱满青岛顺丰发货无冰衣大虾海鲜</t>
        </is>
      </c>
      <c r="B4313" t="inlineStr">
        <is>
          <t>recvgGy5hQuc7c.jpg</t>
        </is>
      </c>
      <c r="C4313" s="2" t="str">
        <f>=HYPERLINK("https://xhslink.com/m/7o68iNzDfFF", "https://xhslink.com/m/7o68iNzDfFF")</f>
        <v>https://xhslink.com/m/7o68iNzDfFF</v>
      </c>
      <c r="D4313"/>
      <c r="E4313">
        <v>5539</v>
      </c>
      <c r="F4313">
        <v>179</v>
      </c>
      <c r="G4313">
        <v>129</v>
      </c>
      <c r="H4313">
        <v>100</v>
      </c>
      <c r="I4313" t="inlineStr">
        <is>
          <t>海鲜水产</t>
        </is>
      </c>
      <c r="J4313" t="inlineStr">
        <is>
          <t>0.02</t>
        </is>
      </c>
      <c r="K4313" t="inlineStr">
        <is>
          <t>🔥低粉爆款</t>
        </is>
      </c>
      <c r="L4313" t="inlineStr">
        <is>
          <t>朴食集的店</t>
        </is>
      </c>
      <c r="M4313">
        <v>28</v>
      </c>
      <c r="N4313">
        <v>4.65</v>
      </c>
      <c r="O4313">
        <v>6309</v>
      </c>
      <c r="P4313" t="inlineStr">
        <is>
          <t>69c4d4c5ff00dc0001747261</t>
        </is>
      </c>
      <c r="Q4313" t="inlineStr">
        <is>
          <t>🚫重复</t>
        </is>
      </c>
      <c r="R4313" t="inlineStr">
        <is>
          <t>16周</t>
        </is>
      </c>
      <c r="S4313" t="inlineStr">
        <is>
          <t>197.82</t>
        </is>
      </c>
      <c r="T4313" t="inlineStr">
        <is>
          <t>美食滋补</t>
        </is>
      </c>
      <c r="U4313" t="inlineStr">
        <is>
          <t>生鲜特产</t>
        </is>
      </c>
      <c r="V4313" s="3">
        <v>46125.978738425925</v>
      </c>
      <c r="W4313" t="inlineStr">
        <is>
          <t>2026-Q2</t>
        </is>
      </c>
    </row>
    <row r="4314" ht="25.5" customHeight="1">
      <c r="A4314" t="inlineStr">
        <is>
          <t>［精量分装］纯手剥海虾仁 新鲜现剥 无冰无添加100g/盒</t>
        </is>
      </c>
      <c r="B4314" t="inlineStr">
        <is>
          <t>recvgGy5hQcDs6.jpg</t>
        </is>
      </c>
      <c r="C4314" s="2" t="str">
        <f>=HYPERLINK("https://xhslink.com/m/uaXgYMKPZR", "https://xhslink.com/m/uaXgYMKPZR")</f>
        <v>https://xhslink.com/m/uaXgYMKPZR</v>
      </c>
      <c r="D4314"/>
      <c r="E4314">
        <v>6666</v>
      </c>
      <c r="F4314">
        <v>145</v>
      </c>
      <c r="G4314">
        <v>125</v>
      </c>
      <c r="H4314">
        <v>100</v>
      </c>
      <c r="I4314" t="inlineStr">
        <is>
          <t>海鲜水产</t>
        </is>
      </c>
      <c r="J4314" t="inlineStr">
        <is>
          <t>0.02</t>
        </is>
      </c>
      <c r="K4314" t="inlineStr">
        <is>
          <t>🔥低粉爆款</t>
        </is>
      </c>
      <c r="L4314" t="inlineStr">
        <is>
          <t>海边人家 ｜海鲜的店</t>
        </is>
      </c>
      <c r="M4314">
        <v>997</v>
      </c>
      <c r="N4314">
        <v>4.73</v>
      </c>
      <c r="O4314">
        <v>6929</v>
      </c>
      <c r="P4314" t="inlineStr">
        <is>
          <t>68172b769d91940001f2f3dc</t>
        </is>
      </c>
      <c r="Q4314"/>
      <c r="R4314" t="inlineStr">
        <is>
          <t>16周</t>
        </is>
      </c>
      <c r="S4314" t="inlineStr">
        <is>
          <t>6.69</t>
        </is>
      </c>
      <c r="T4314" t="inlineStr">
        <is>
          <t>美食滋补</t>
        </is>
      </c>
      <c r="U4314" t="inlineStr">
        <is>
          <t>生鲜特产</t>
        </is>
      </c>
      <c r="V4314" s="3">
        <v>46125.978738425925</v>
      </c>
      <c r="W4314" t="inlineStr">
        <is>
          <t>2026-Q2</t>
        </is>
      </c>
    </row>
    <row r="4315" ht="25.5" customHeight="1">
      <c r="A4315" t="inlineStr">
        <is>
          <t>手剥虾仁 鲜剥海虾仁 无冰 不泡药 去虾线 海鲜 冷冻虾仁 水产</t>
        </is>
      </c>
      <c r="B4315" t="inlineStr">
        <is>
          <t>recvgGy5hQWAwL.jpg</t>
        </is>
      </c>
      <c r="C4315" s="2" t="str">
        <f>=HYPERLINK("https://xhslink.com/m/4hKS85vpnn5", "https://xhslink.com/m/4hKS85vpnn5")</f>
        <v>https://xhslink.com/m/4hKS85vpnn5</v>
      </c>
      <c r="D4315"/>
      <c r="E4315">
        <v>779</v>
      </c>
      <c r="F4315">
        <v>49.9</v>
      </c>
      <c r="G4315">
        <v>29.9</v>
      </c>
      <c r="H4315">
        <v>100</v>
      </c>
      <c r="I4315" t="inlineStr">
        <is>
          <t>海鲜水产</t>
        </is>
      </c>
      <c r="J4315" t="inlineStr">
        <is>
          <t>0.13</t>
        </is>
      </c>
      <c r="K4315"/>
      <c r="L4315" t="inlineStr">
        <is>
          <t>归来渔船的店</t>
        </is>
      </c>
      <c r="M4315">
        <v>321</v>
      </c>
      <c r="N4315">
        <v>4.66</v>
      </c>
      <c r="O4315">
        <v>752</v>
      </c>
      <c r="P4315" t="inlineStr">
        <is>
          <t>69c3430c11534f000189f073</t>
        </is>
      </c>
      <c r="Q4315" t="inlineStr">
        <is>
          <t>🚫重复</t>
        </is>
      </c>
      <c r="R4315" t="inlineStr">
        <is>
          <t>16周</t>
        </is>
      </c>
      <c r="S4315" t="inlineStr">
        <is>
          <t>2.43</t>
        </is>
      </c>
      <c r="T4315" t="inlineStr">
        <is>
          <t>美食滋补</t>
        </is>
      </c>
      <c r="U4315" t="inlineStr">
        <is>
          <t>生鲜特产</t>
        </is>
      </c>
      <c r="V4315" s="3">
        <v>46125.978738425925</v>
      </c>
      <c r="W4315" t="inlineStr">
        <is>
          <t>2026-Q2</t>
        </is>
      </c>
    </row>
    <row r="4316" ht="25.5" customHeight="1">
      <c r="A4316" t="inlineStr">
        <is>
          <t>Sea’da【苔藓绿平角】新款复古绿色平角游泳专用专业竞速泳衣</t>
        </is>
      </c>
      <c r="B4316" t="inlineStr">
        <is>
          <t>__upload_recvgMo2ZYdqjt.jpg</t>
        </is>
      </c>
      <c r="C4316" s="2" t="str">
        <f>=HYPERLINK("https://xhslink.com/m/3arbhKNw5eW", "https://xhslink.com/m/3arbhKNw5eW")</f>
        <v>https://xhslink.com/m/3arbhKNw5eW</v>
      </c>
      <c r="D4316"/>
      <c r="E4316">
        <v>2098</v>
      </c>
      <c r="F4316">
        <v>119</v>
      </c>
      <c r="G4316">
        <v>86.9</v>
      </c>
      <c r="H4316">
        <v>100</v>
      </c>
      <c r="I4316" t="inlineStr">
        <is>
          <t>游泳</t>
        </is>
      </c>
      <c r="J4316" t="inlineStr">
        <is>
          <t>0.05</t>
        </is>
      </c>
      <c r="K4316"/>
      <c r="L4316" t="inlineStr">
        <is>
          <t>Sea'da的店</t>
        </is>
      </c>
      <c r="M4316">
        <v>20000</v>
      </c>
      <c r="N4316">
        <v>4.64</v>
      </c>
      <c r="O4316">
        <v>26000</v>
      </c>
      <c r="P4316" t="inlineStr">
        <is>
          <t>6901a3fd0dfa750001343b22</t>
        </is>
      </c>
      <c r="Q4316" t="inlineStr">
        <is>
          <t>🚫重复</t>
        </is>
      </c>
      <c r="R4316" t="inlineStr">
        <is>
          <t>16周</t>
        </is>
      </c>
      <c r="S4316" t="inlineStr">
        <is>
          <t>0.10</t>
        </is>
      </c>
      <c r="T4316" t="inlineStr">
        <is>
          <t>运动潮玩</t>
        </is>
      </c>
      <c r="U4316" t="inlineStr">
        <is>
          <t>运动户外装备</t>
        </is>
      </c>
      <c r="V4316" s="3">
        <v>46126.97719907408</v>
      </c>
      <c r="W4316" t="inlineStr">
        <is>
          <t>2026-Q2</t>
        </is>
      </c>
    </row>
    <row r="4317" ht="25.5" customHeight="1">
      <c r="A4317" t="inlineStr">
        <is>
          <t>361° · 【度假泳衣】泳衣女款2026新款网红款连体平角专业漂亮游泳衣</t>
        </is>
      </c>
      <c r="B4317" t="inlineStr">
        <is>
          <t>__upload_recvgMo2ZYXRBp.jpg</t>
        </is>
      </c>
      <c r="C4317" s="2" t="str">
        <f>=HYPERLINK("https://xhslink.com/m/3fLcME2eTDS", "https://xhslink.com/m/3fLcME2eTDS")</f>
        <v>https://xhslink.com/m/3fLcME2eTDS</v>
      </c>
      <c r="D4317"/>
      <c r="E4317">
        <v>3054</v>
      </c>
      <c r="F4317">
        <v>89.9</v>
      </c>
      <c r="G4317"/>
      <c r="H4317">
        <v>100</v>
      </c>
      <c r="I4317" t="inlineStr">
        <is>
          <t>游泳</t>
        </is>
      </c>
      <c r="J4317" t="inlineStr">
        <is>
          <t>0.03</t>
        </is>
      </c>
      <c r="K4317"/>
      <c r="L4317" t="inlineStr">
        <is>
          <t>361°运动户外旗舰店</t>
        </is>
      </c>
      <c r="M4317">
        <v>32000</v>
      </c>
      <c r="N4317">
        <v>4.58</v>
      </c>
      <c r="O4317">
        <v>17000</v>
      </c>
      <c r="P4317" t="inlineStr">
        <is>
          <t>67dbed4b0c1b7400150553ad</t>
        </is>
      </c>
      <c r="Q4317"/>
      <c r="R4317" t="inlineStr">
        <is>
          <t>16周</t>
        </is>
      </c>
      <c r="S4317" t="inlineStr">
        <is>
          <t>0.10</t>
        </is>
      </c>
      <c r="T4317" t="inlineStr">
        <is>
          <t>运动潮玩</t>
        </is>
      </c>
      <c r="U4317" t="inlineStr">
        <is>
          <t>运动户外装备</t>
        </is>
      </c>
      <c r="V4317" s="3">
        <v>46126.97719907408</v>
      </c>
      <c r="W4317" t="inlineStr">
        <is>
          <t>2026-Q2</t>
        </is>
      </c>
    </row>
    <row r="4318" ht="25.5" customHeight="1">
      <c r="A4318" t="inlineStr">
        <is>
          <t>明星同款加厚首饰包收纳文玩包旅行便携黄金手镯首饰袋手串收纳包</t>
        </is>
      </c>
      <c r="B4318" t="inlineStr">
        <is>
          <t>__upload_recvgMo2ZYd6ha.jpg</t>
        </is>
      </c>
      <c r="C4318" s="2" t="str">
        <f>=HYPERLINK("https://xhslink.com/m/8gZdo2kMaOv", "https://xhslink.com/m/8gZdo2kMaOv")</f>
        <v>https://xhslink.com/m/8gZdo2kMaOv</v>
      </c>
      <c r="D4318"/>
      <c r="E4318">
        <v>6519</v>
      </c>
      <c r="F4318">
        <v>38.8</v>
      </c>
      <c r="G4318">
        <v>28.8</v>
      </c>
      <c r="H4318">
        <v>100</v>
      </c>
      <c r="I4318" t="inlineStr">
        <is>
          <t>饰品收纳</t>
        </is>
      </c>
      <c r="J4318" t="inlineStr">
        <is>
          <t>0.02</t>
        </is>
      </c>
      <c r="K4318" t="inlineStr">
        <is>
          <t>🔥低粉爆款</t>
        </is>
      </c>
      <c r="L4318" t="inlineStr">
        <is>
          <t>糖糖子吖的店</t>
        </is>
      </c>
      <c r="M4318">
        <v>388</v>
      </c>
      <c r="N4318">
        <v>4.69</v>
      </c>
      <c r="O4318">
        <v>7167</v>
      </c>
      <c r="P4318" t="inlineStr">
        <is>
          <t>68d9fead6a569a001546be46</t>
        </is>
      </c>
      <c r="Q4318"/>
      <c r="R4318" t="inlineStr">
        <is>
          <t>16周</t>
        </is>
      </c>
      <c r="S4318" t="inlineStr">
        <is>
          <t>16.80</t>
        </is>
      </c>
      <c r="T4318" t="inlineStr">
        <is>
          <t>家居生活</t>
        </is>
      </c>
      <c r="U4318" t="inlineStr">
        <is>
          <t>家居日用</t>
        </is>
      </c>
      <c r="V4318" s="3">
        <v>46126.97719907408</v>
      </c>
      <c r="W4318" t="inlineStr">
        <is>
          <t>2026-Q2</t>
        </is>
      </c>
    </row>
    <row r="4319" ht="25.5" customHeight="1">
      <c r="A4319" t="inlineStr">
        <is>
          <t>粉波点草莓春秋季薄款睡衣女可爱长袖长裤甜妹家居服套装外穿春夏</t>
        </is>
      </c>
      <c r="B4319" t="inlineStr">
        <is>
          <t>__upload_recvgMo2ZYsacu.jpg</t>
        </is>
      </c>
      <c r="C4319" s="2" t="str">
        <f>=HYPERLINK("https://xhslink.com/m/7djdc4gR02A", "https://xhslink.com/m/7djdc4gR02A")</f>
        <v>https://xhslink.com/m/7djdc4gR02A</v>
      </c>
      <c r="D4319"/>
      <c r="E4319">
        <v>1111</v>
      </c>
      <c r="F4319">
        <v>85</v>
      </c>
      <c r="G4319">
        <v>58</v>
      </c>
      <c r="H4319">
        <v>100</v>
      </c>
      <c r="I4319" t="inlineStr">
        <is>
          <t>夏天睡衣</t>
        </is>
      </c>
      <c r="J4319" t="inlineStr">
        <is>
          <t>0.09</t>
        </is>
      </c>
      <c r="K4319"/>
      <c r="L4319" t="inlineStr">
        <is>
          <t>一口一个蛋的店</t>
        </is>
      </c>
      <c r="M4319">
        <v>2360</v>
      </c>
      <c r="N4319">
        <v>4.55</v>
      </c>
      <c r="O4319">
        <v>37000</v>
      </c>
      <c r="P4319" t="inlineStr">
        <is>
          <t>684d3a3f8a6cef0001b39ae5</t>
        </is>
      </c>
      <c r="Q4319" t="inlineStr">
        <is>
          <t>🚫重复</t>
        </is>
      </c>
      <c r="R4319" t="inlineStr">
        <is>
          <t>16周</t>
        </is>
      </c>
      <c r="S4319" t="inlineStr">
        <is>
          <t>0.47</t>
        </is>
      </c>
      <c r="T4319" t="inlineStr">
        <is>
          <t>服饰穿搭</t>
        </is>
      </c>
      <c r="U4319" t="inlineStr">
        <is>
          <t>女装</t>
        </is>
      </c>
      <c r="V4319" s="3">
        <v>46126.97719907408</v>
      </c>
      <c r="W4319" t="inlineStr">
        <is>
          <t>2026-Q2</t>
        </is>
      </c>
    </row>
    <row r="4320" ht="25.5" customHeight="1">
      <c r="A4320" t="inlineStr">
        <is>
          <t>【baby蓝黄粉】春夏纯色短袖长裤睡衣甜美韩系小花边居家服</t>
        </is>
      </c>
      <c r="B4320" t="inlineStr">
        <is>
          <t>__upload_recvgMo2ZY9rSp.jpg</t>
        </is>
      </c>
      <c r="C4320" s="2" t="str">
        <f>=HYPERLINK("https://xhslink.com/m/6UDqFGXIkmf", "https://xhslink.com/m/6UDqFGXIkmf")</f>
        <v>https://xhslink.com/m/6UDqFGXIkmf</v>
      </c>
      <c r="D4320"/>
      <c r="E4320">
        <v>8480</v>
      </c>
      <c r="F4320">
        <v>69.8</v>
      </c>
      <c r="G4320">
        <v>49.8</v>
      </c>
      <c r="H4320">
        <v>100</v>
      </c>
      <c r="I4320" t="inlineStr">
        <is>
          <t>夏天睡衣</t>
        </is>
      </c>
      <c r="J4320" t="inlineStr">
        <is>
          <t>0.01</t>
        </is>
      </c>
      <c r="K4320"/>
      <c r="L4320" t="inlineStr">
        <is>
          <t>Luna Na的店</t>
        </is>
      </c>
      <c r="M4320">
        <v>30000</v>
      </c>
      <c r="N4320">
        <v>4.69</v>
      </c>
      <c r="O4320">
        <v>332000</v>
      </c>
      <c r="P4320" t="inlineStr">
        <is>
          <t>661d146e45ec540001b13595</t>
        </is>
      </c>
      <c r="Q4320" t="inlineStr">
        <is>
          <t>🚫重复</t>
        </is>
      </c>
      <c r="R4320" t="inlineStr">
        <is>
          <t>16周</t>
        </is>
      </c>
      <c r="S4320" t="inlineStr">
        <is>
          <t>0.28</t>
        </is>
      </c>
      <c r="T4320" t="inlineStr">
        <is>
          <t>服饰穿搭</t>
        </is>
      </c>
      <c r="U4320" t="inlineStr">
        <is>
          <t>女装</t>
        </is>
      </c>
      <c r="V4320" s="3">
        <v>46126.97719907408</v>
      </c>
      <c r="W4320" t="inlineStr">
        <is>
          <t>2026-Q2</t>
        </is>
      </c>
    </row>
    <row r="4321" ht="25.5" customHeight="1">
      <c r="A4321" t="inlineStr">
        <is>
          <t>【水墨丹青】夏季七分袖国风高级感睡衣女收腰显瘦可外穿</t>
        </is>
      </c>
      <c r="B4321" t="inlineStr">
        <is>
          <t>__upload_recvgMo2ZY7mhz.jpg</t>
        </is>
      </c>
      <c r="C4321" s="2" t="str">
        <f>=HYPERLINK("https://xhslink.com/m/8EpPyWbpERi", "https://xhslink.com/m/8EpPyWbpERi")</f>
        <v>https://xhslink.com/m/8EpPyWbpERi</v>
      </c>
      <c r="D4321"/>
      <c r="E4321">
        <v>821</v>
      </c>
      <c r="F4321">
        <v>119.8</v>
      </c>
      <c r="G4321"/>
      <c r="H4321">
        <v>100</v>
      </c>
      <c r="I4321" t="inlineStr">
        <is>
          <t>夏天睡衣</t>
        </is>
      </c>
      <c r="J4321" t="inlineStr">
        <is>
          <t>0.12</t>
        </is>
      </c>
      <c r="K4321"/>
      <c r="L4321" t="inlineStr">
        <is>
          <t>小奈儿睡衣的店</t>
        </is>
      </c>
      <c r="M4321">
        <v>36000</v>
      </c>
      <c r="N4321">
        <v>4.44</v>
      </c>
      <c r="O4321">
        <v>49000</v>
      </c>
      <c r="P4321" t="inlineStr">
        <is>
          <t>69bfb987ffa26d0001a9ebbb</t>
        </is>
      </c>
      <c r="Q4321"/>
      <c r="R4321" t="inlineStr">
        <is>
          <t>16周</t>
        </is>
      </c>
      <c r="S4321" t="inlineStr">
        <is>
          <t>0.02</t>
        </is>
      </c>
      <c r="T4321" t="inlineStr">
        <is>
          <t>服饰穿搭</t>
        </is>
      </c>
      <c r="U4321" t="inlineStr">
        <is>
          <t>女装</t>
        </is>
      </c>
      <c r="V4321" s="3">
        <v>46126.97719907408</v>
      </c>
      <c r="W4321" t="inlineStr">
        <is>
          <t>2026-Q2</t>
        </is>
      </c>
    </row>
    <row r="4322" ht="25.5" customHeight="1">
      <c r="A4322" t="inlineStr">
        <is>
          <t>罗猪猪/【牙签纹褶皱】山本中古松弛爆！渔夫帽</t>
        </is>
      </c>
      <c r="B4322" t="inlineStr">
        <is>
          <t>__upload_recvgMo2ZYSU5g.jpg</t>
        </is>
      </c>
      <c r="C4322" s="2" t="str">
        <f>=HYPERLINK("https://xhslink.com/m/6I57SecLbFp", "https://xhslink.com/m/6I57SecLbFp")</f>
        <v>https://xhslink.com/m/6I57SecLbFp</v>
      </c>
      <c r="D4322"/>
      <c r="E4322">
        <v>9650</v>
      </c>
      <c r="F4322">
        <v>89.9</v>
      </c>
      <c r="G4322">
        <v>79.9</v>
      </c>
      <c r="H4322">
        <v>100</v>
      </c>
      <c r="I4322" t="inlineStr">
        <is>
          <t>帽子</t>
        </is>
      </c>
      <c r="J4322" t="inlineStr">
        <is>
          <t>0.01</t>
        </is>
      </c>
      <c r="K4322"/>
      <c r="L4322" t="inlineStr">
        <is>
          <t>罗猪猪的大头帽的店的店</t>
        </is>
      </c>
      <c r="M4322">
        <v>63000</v>
      </c>
      <c r="N4322">
        <v>4.62</v>
      </c>
      <c r="O4322">
        <v>532000</v>
      </c>
      <c r="P4322" t="inlineStr">
        <is>
          <t>68dcc433ce94ee0001f863cb</t>
        </is>
      </c>
      <c r="Q4322"/>
      <c r="R4322" t="inlineStr">
        <is>
          <t>16周</t>
        </is>
      </c>
      <c r="S4322" t="inlineStr">
        <is>
          <t>0.15</t>
        </is>
      </c>
      <c r="T4322" t="inlineStr">
        <is>
          <t>服饰穿搭</t>
        </is>
      </c>
      <c r="U4322" t="inlineStr">
        <is>
          <t>配饰</t>
        </is>
      </c>
      <c r="V4322" s="3">
        <v>46126.97719907408</v>
      </c>
      <c r="W4322" t="inlineStr">
        <is>
          <t>2026-Q2</t>
        </is>
      </c>
    </row>
    <row r="4323" ht="25.5" customHeight="1">
      <c r="A4323" t="inlineStr">
        <is>
          <t>镂空钩针圆领极简短款合身针织背心开衫</t>
        </is>
      </c>
      <c r="B4323" t="inlineStr">
        <is>
          <t>__upload_recvgMo2ZYQW6B.jpg</t>
        </is>
      </c>
      <c r="C4323" s="2" t="str">
        <f>=HYPERLINK("https://xhslink.com/m/AtMyjdaatUc", "https://xhslink.com/m/AtMyjdaatUc")</f>
        <v>https://xhslink.com/m/AtMyjdaatUc</v>
      </c>
      <c r="D4323"/>
      <c r="E4323">
        <v>378</v>
      </c>
      <c r="F4323">
        <v>58</v>
      </c>
      <c r="G4323"/>
      <c r="H4323">
        <v>100</v>
      </c>
      <c r="I4323" t="inlineStr">
        <is>
          <t>背心吊带</t>
        </is>
      </c>
      <c r="J4323" t="inlineStr">
        <is>
          <t>0.26</t>
        </is>
      </c>
      <c r="K4323"/>
      <c r="L4323" t="inlineStr">
        <is>
          <t>小红书范爷的店的店</t>
        </is>
      </c>
      <c r="M4323">
        <v>291000</v>
      </c>
      <c r="N4323">
        <v>4.55</v>
      </c>
      <c r="O4323">
        <v>3419000</v>
      </c>
      <c r="P4323" t="inlineStr">
        <is>
          <t>69cb7c799b23c900018ebd8d</t>
        </is>
      </c>
      <c r="Q4323" t="inlineStr">
        <is>
          <t>🚫重复</t>
        </is>
      </c>
      <c r="R4323" t="inlineStr">
        <is>
          <t>16周</t>
        </is>
      </c>
      <c r="S4323" t="inlineStr">
        <is>
          <t>0.00</t>
        </is>
      </c>
      <c r="T4323" t="inlineStr">
        <is>
          <t>服饰穿搭</t>
        </is>
      </c>
      <c r="U4323" t="inlineStr">
        <is>
          <t>女装</t>
        </is>
      </c>
      <c r="V4323" s="3">
        <v>46126.97719907408</v>
      </c>
      <c r="W4323" t="inlineStr">
        <is>
          <t>2026-Q2</t>
        </is>
      </c>
    </row>
    <row r="4324" ht="25.5" customHeight="1">
      <c r="A4324" t="inlineStr">
        <is>
          <t>【多巴胺】晨总自制夏季外穿修身显瘦短款百搭纯色美背背心女</t>
        </is>
      </c>
      <c r="B4324" t="inlineStr">
        <is>
          <t>__upload_recvgMo2ZYOQ6K.jpg</t>
        </is>
      </c>
      <c r="C4324" s="2" t="str">
        <f>=HYPERLINK("https://xhslink.com/m/AXFrzh3p0mh", "https://xhslink.com/m/AXFrzh3p0mh")</f>
        <v>https://xhslink.com/m/AXFrzh3p0mh</v>
      </c>
      <c r="D4324"/>
      <c r="E4324">
        <v>44000</v>
      </c>
      <c r="F4324">
        <v>49</v>
      </c>
      <c r="G4324">
        <v>44</v>
      </c>
      <c r="H4324">
        <v>100</v>
      </c>
      <c r="I4324" t="inlineStr">
        <is>
          <t>背心吊带</t>
        </is>
      </c>
      <c r="J4324" t="inlineStr">
        <is>
          <t>0.00</t>
        </is>
      </c>
      <c r="K4324"/>
      <c r="L4324" t="inlineStr">
        <is>
          <t>晨总家的店</t>
        </is>
      </c>
      <c r="M4324">
        <v>33000</v>
      </c>
      <c r="N4324">
        <v>4.54</v>
      </c>
      <c r="O4324">
        <v>132000</v>
      </c>
      <c r="P4324" t="inlineStr">
        <is>
          <t>681d71d5927b0e0001ffa188</t>
        </is>
      </c>
      <c r="Q4324" t="inlineStr">
        <is>
          <t>🚫重复</t>
        </is>
      </c>
      <c r="R4324" t="inlineStr">
        <is>
          <t>16周</t>
        </is>
      </c>
      <c r="S4324" t="inlineStr">
        <is>
          <t>1.33</t>
        </is>
      </c>
      <c r="T4324" t="inlineStr">
        <is>
          <t>服饰穿搭</t>
        </is>
      </c>
      <c r="U4324" t="inlineStr">
        <is>
          <t>女装</t>
        </is>
      </c>
      <c r="V4324" s="3">
        <v>46126.97719907408</v>
      </c>
      <c r="W4324" t="inlineStr">
        <is>
          <t>2026-Q2</t>
        </is>
      </c>
    </row>
    <row r="4325" ht="25.5" customHeight="1">
      <c r="A4325" t="inlineStr">
        <is>
          <t>【白月光】进店bi入 纯棉宽肩带背心内搭外穿 自带固定bra 遮副乳</t>
        </is>
      </c>
      <c r="B4325" t="inlineStr">
        <is>
          <t>__upload_recvgMo2ZYIUCv.jpg</t>
        </is>
      </c>
      <c r="C4325" s="2" t="str">
        <f>=HYPERLINK("https://xhslink.com/m/57krrkMBlr5", "https://xhslink.com/m/57krrkMBlr5")</f>
        <v>https://xhslink.com/m/57krrkMBlr5</v>
      </c>
      <c r="D4325"/>
      <c r="E4325">
        <v>28000</v>
      </c>
      <c r="F4325">
        <v>28</v>
      </c>
      <c r="G4325"/>
      <c r="H4325">
        <v>100</v>
      </c>
      <c r="I4325" t="inlineStr">
        <is>
          <t>背心吊带</t>
        </is>
      </c>
      <c r="J4325" t="inlineStr">
        <is>
          <t>0.00</t>
        </is>
      </c>
      <c r="K4325" t="inlineStr">
        <is>
          <t>🔥低粉爆款</t>
        </is>
      </c>
      <c r="L4325" t="inlineStr">
        <is>
          <t>昕淇今天穿什么的店</t>
        </is>
      </c>
      <c r="M4325">
        <v>490</v>
      </c>
      <c r="N4325">
        <v>4.53</v>
      </c>
      <c r="O4325">
        <v>29000</v>
      </c>
      <c r="P4325" t="inlineStr">
        <is>
          <t>65fbee42e21a000001d108cf</t>
        </is>
      </c>
      <c r="Q4325" t="inlineStr">
        <is>
          <t>🚫重复</t>
        </is>
      </c>
      <c r="R4325" t="inlineStr">
        <is>
          <t>16周</t>
        </is>
      </c>
      <c r="S4325" t="inlineStr">
        <is>
          <t>57.14</t>
        </is>
      </c>
      <c r="T4325" t="inlineStr">
        <is>
          <t>服饰穿搭</t>
        </is>
      </c>
      <c r="U4325" t="inlineStr">
        <is>
          <t>女装</t>
        </is>
      </c>
      <c r="V4325" s="3">
        <v>46126.97719907408</v>
      </c>
      <c r="W4325" t="inlineStr">
        <is>
          <t>2026-Q2</t>
        </is>
      </c>
    </row>
    <row r="4326" ht="25.5" customHeight="1">
      <c r="A4326" t="inlineStr">
        <is>
          <t>【工厂清仓】露露同款ebb运动舒适免穿Bra内衣固定胸垫工字背心</t>
        </is>
      </c>
      <c r="B4326" t="inlineStr">
        <is>
          <t>__upload_recvgMo2ZYQ5aZ.jpg</t>
        </is>
      </c>
      <c r="C4326" s="2" t="str">
        <f>=HYPERLINK("https://xhslink.com/m/3dHKYXQAEzS", "https://xhslink.com/m/3dHKYXQAEzS")</f>
        <v>https://xhslink.com/m/3dHKYXQAEzS</v>
      </c>
      <c r="D4326"/>
      <c r="E4326">
        <v>14000</v>
      </c>
      <c r="F4326">
        <v>79.9</v>
      </c>
      <c r="G4326">
        <v>59.9</v>
      </c>
      <c r="H4326">
        <v>100</v>
      </c>
      <c r="I4326" t="inlineStr">
        <is>
          <t>背心吊带</t>
        </is>
      </c>
      <c r="J4326" t="inlineStr">
        <is>
          <t>0.01</t>
        </is>
      </c>
      <c r="K4326" t="inlineStr">
        <is>
          <t>🔥低粉爆款</t>
        </is>
      </c>
      <c r="L4326" t="inlineStr">
        <is>
          <t>喵一个miao的店</t>
        </is>
      </c>
      <c r="M4326">
        <v>4501</v>
      </c>
      <c r="N4326">
        <v>4.36</v>
      </c>
      <c r="O4326">
        <v>41000</v>
      </c>
      <c r="P4326" t="inlineStr">
        <is>
          <t>685e6a1456ddbd0001eadb0e</t>
        </is>
      </c>
      <c r="Q4326" t="inlineStr">
        <is>
          <t>🚫重复</t>
        </is>
      </c>
      <c r="R4326" t="inlineStr">
        <is>
          <t>16周</t>
        </is>
      </c>
      <c r="S4326" t="inlineStr">
        <is>
          <t>3.11</t>
        </is>
      </c>
      <c r="T4326" t="inlineStr">
        <is>
          <t>服饰穿搭</t>
        </is>
      </c>
      <c r="U4326" t="inlineStr">
        <is>
          <t>女装</t>
        </is>
      </c>
      <c r="V4326" s="3">
        <v>46126.97719907408</v>
      </c>
      <c r="W4326" t="inlineStr">
        <is>
          <t>2026-Q2</t>
        </is>
      </c>
    </row>
    <row r="4327" ht="25.5" customHeight="1">
      <c r="A4327" t="inlineStr">
        <is>
          <t>EverlinStudios · 2026春款美国莱卡氨纶内搭背心奥地利兰精超细旦莫代尔百搭背心</t>
        </is>
      </c>
      <c r="B4327" t="inlineStr">
        <is>
          <t>__upload_recvgMo2ZYTpZG.jpg</t>
        </is>
      </c>
      <c r="C4327" s="2" t="str">
        <f>=HYPERLINK("https://xhslink.com/m/4GhemsMJFmT", "https://xhslink.com/m/4GhemsMJFmT")</f>
        <v>https://xhslink.com/m/4GhemsMJFmT</v>
      </c>
      <c r="D4327"/>
      <c r="E4327">
        <v>11000</v>
      </c>
      <c r="F4327">
        <v>159.9</v>
      </c>
      <c r="G4327">
        <v>79.9</v>
      </c>
      <c r="H4327">
        <v>100</v>
      </c>
      <c r="I4327" t="inlineStr">
        <is>
          <t>背心吊带</t>
        </is>
      </c>
      <c r="J4327" t="inlineStr">
        <is>
          <t>0.01</t>
        </is>
      </c>
      <c r="K4327" t="inlineStr">
        <is>
          <t>🔥低粉爆款</t>
        </is>
      </c>
      <c r="L4327" t="inlineStr">
        <is>
          <t>Everlin Studios旗舰店</t>
        </is>
      </c>
      <c r="M4327">
        <v>3307</v>
      </c>
      <c r="N4327">
        <v>4.64</v>
      </c>
      <c r="O4327">
        <v>122000</v>
      </c>
      <c r="P4327" t="inlineStr">
        <is>
          <t>65313719797cb30001706aab</t>
        </is>
      </c>
      <c r="Q4327"/>
      <c r="R4327" t="inlineStr">
        <is>
          <t>16周</t>
        </is>
      </c>
      <c r="S4327" t="inlineStr">
        <is>
          <t>3.33</t>
        </is>
      </c>
      <c r="T4327" t="inlineStr">
        <is>
          <t>服饰穿搭</t>
        </is>
      </c>
      <c r="U4327" t="inlineStr">
        <is>
          <t>女装</t>
        </is>
      </c>
      <c r="V4327" s="3">
        <v>46126.97719907408</v>
      </c>
      <c r="W4327" t="inlineStr">
        <is>
          <t>2026-Q2</t>
        </is>
      </c>
    </row>
    <row r="4328" ht="25.5" customHeight="1">
      <c r="A4328" t="inlineStr">
        <is>
          <t>李琴琴Lily·遮副乳修身显瘦内搭显身材紧身运动背心</t>
        </is>
      </c>
      <c r="B4328" t="inlineStr">
        <is>
          <t>__upload_recvgMo2ZY5L9H.jpg</t>
        </is>
      </c>
      <c r="C4328" s="2" t="str">
        <f>=HYPERLINK("https://xhslink.com/m/6UHVlCFT8VU", "https://xhslink.com/m/6UHVlCFT8VU")</f>
        <v>https://xhslink.com/m/6UHVlCFT8VU</v>
      </c>
      <c r="D4328"/>
      <c r="E4328">
        <v>16000</v>
      </c>
      <c r="F4328">
        <v>99.9</v>
      </c>
      <c r="G4328">
        <v>59.9</v>
      </c>
      <c r="H4328">
        <v>100</v>
      </c>
      <c r="I4328" t="inlineStr">
        <is>
          <t>背心吊带</t>
        </is>
      </c>
      <c r="J4328" t="inlineStr">
        <is>
          <t>0.01</t>
        </is>
      </c>
      <c r="K4328"/>
      <c r="L4328" t="inlineStr">
        <is>
          <t>李琴琴Lily的店</t>
        </is>
      </c>
      <c r="M4328">
        <v>38000</v>
      </c>
      <c r="N4328">
        <v>4.7</v>
      </c>
      <c r="O4328">
        <v>415000</v>
      </c>
      <c r="P4328" t="inlineStr">
        <is>
          <t>67f42506f0efe50001b7cfad</t>
        </is>
      </c>
      <c r="Q4328" t="inlineStr">
        <is>
          <t>🚫重复</t>
        </is>
      </c>
      <c r="R4328" t="inlineStr">
        <is>
          <t>16周</t>
        </is>
      </c>
      <c r="S4328" t="inlineStr">
        <is>
          <t>0.42</t>
        </is>
      </c>
      <c r="T4328" t="inlineStr">
        <is>
          <t>服饰穿搭</t>
        </is>
      </c>
      <c r="U4328" t="inlineStr">
        <is>
          <t>女装</t>
        </is>
      </c>
      <c r="V4328" s="3">
        <v>46126.97719907408</v>
      </c>
      <c r="W4328" t="inlineStr">
        <is>
          <t>2026-Q2</t>
        </is>
      </c>
    </row>
    <row r="4329" ht="25.5" customHeight="1">
      <c r="A4329" t="inlineStr">
        <is>
          <t>2026夏季新款正肩修身显瘦U领棉T恤女休闲百搭白色U领短袖上衣</t>
        </is>
      </c>
      <c r="B4329" t="inlineStr">
        <is>
          <t>__upload_recvgMo2ZYNV1h.jpg</t>
        </is>
      </c>
      <c r="C4329" s="2" t="str">
        <f>=HYPERLINK("https://xhslink.com/m/1Z04NIw6i5H", "https://xhslink.com/m/1Z04NIw6i5H")</f>
        <v>https://xhslink.com/m/1Z04NIw6i5H</v>
      </c>
      <c r="D4329"/>
      <c r="E4329">
        <v>3898</v>
      </c>
      <c r="F4329">
        <v>49.9</v>
      </c>
      <c r="G4329">
        <v>37.9</v>
      </c>
      <c r="H4329">
        <v>100</v>
      </c>
      <c r="I4329" t="inlineStr">
        <is>
          <t>上衣</t>
        </is>
      </c>
      <c r="J4329" t="inlineStr">
        <is>
          <t>0.03</t>
        </is>
      </c>
      <c r="K4329" t="inlineStr">
        <is>
          <t>🔥低粉爆款</t>
        </is>
      </c>
      <c r="L4329" t="inlineStr">
        <is>
          <t>琪斯妙想的店</t>
        </is>
      </c>
      <c r="M4329">
        <v>489</v>
      </c>
      <c r="N4329">
        <v>4.64</v>
      </c>
      <c r="O4329">
        <v>4404</v>
      </c>
      <c r="P4329" t="inlineStr">
        <is>
          <t>69c88981e6196b000171692b</t>
        </is>
      </c>
      <c r="Q4329"/>
      <c r="R4329" t="inlineStr">
        <is>
          <t>16周</t>
        </is>
      </c>
      <c r="S4329" t="inlineStr">
        <is>
          <t>7.97</t>
        </is>
      </c>
      <c r="T4329" t="inlineStr">
        <is>
          <t>服饰穿搭</t>
        </is>
      </c>
      <c r="U4329" t="inlineStr">
        <is>
          <t>女装</t>
        </is>
      </c>
      <c r="V4329" s="3">
        <v>46126.97719907408</v>
      </c>
      <c r="W4329" t="inlineStr">
        <is>
          <t>2026-Q2</t>
        </is>
      </c>
    </row>
    <row r="4330" ht="25.5" customHeight="1">
      <c r="A4330" t="inlineStr">
        <is>
          <t>小海鸥红标刺绣修身显瘦亨利衫弹力短袖T恤上衣女夏季半袖</t>
        </is>
      </c>
      <c r="B4330" t="inlineStr">
        <is>
          <t>__upload_recvgMo2ZYz5bA.jpg</t>
        </is>
      </c>
      <c r="C4330" s="2" t="str">
        <f>=HYPERLINK("https://xhslink.com/m/MROmWeoNIN", "https://xhslink.com/m/MROmWeoNIN")</f>
        <v>https://xhslink.com/m/MROmWeoNIN</v>
      </c>
      <c r="D4330"/>
      <c r="E4330">
        <v>1848</v>
      </c>
      <c r="F4330">
        <v>79</v>
      </c>
      <c r="G4330">
        <v>69</v>
      </c>
      <c r="H4330">
        <v>100</v>
      </c>
      <c r="I4330" t="inlineStr">
        <is>
          <t>上衣</t>
        </is>
      </c>
      <c r="J4330" t="inlineStr">
        <is>
          <t>0.05</t>
        </is>
      </c>
      <c r="K4330"/>
      <c r="L4330" t="inlineStr">
        <is>
          <t>MOTOKU的店</t>
        </is>
      </c>
      <c r="M4330">
        <v>1194</v>
      </c>
      <c r="N4330">
        <v>4.48</v>
      </c>
      <c r="O4330">
        <v>4789</v>
      </c>
      <c r="P4330" t="inlineStr">
        <is>
          <t>69846a391b200000013feeea</t>
        </is>
      </c>
      <c r="Q4330" t="inlineStr">
        <is>
          <t>🚫重复</t>
        </is>
      </c>
      <c r="R4330" t="inlineStr">
        <is>
          <t>16周</t>
        </is>
      </c>
      <c r="S4330" t="inlineStr">
        <is>
          <t>1.55</t>
        </is>
      </c>
      <c r="T4330" t="inlineStr">
        <is>
          <t>服饰穿搭</t>
        </is>
      </c>
      <c r="U4330" t="inlineStr">
        <is>
          <t>女装</t>
        </is>
      </c>
      <c r="V4330" s="3">
        <v>46126.97719907408</v>
      </c>
      <c r="W4330" t="inlineStr">
        <is>
          <t>2026-Q2</t>
        </is>
      </c>
    </row>
    <row r="4331" ht="25.5" customHeight="1">
      <c r="A4331" t="inlineStr">
        <is>
          <t>前1000名首单69.9元 韩式慵懒风镂空V领春夏季针织衫罩衫两件套女</t>
        </is>
      </c>
      <c r="B4331" t="inlineStr">
        <is>
          <t>__upload_recvgMo2ZYB8cE.jpg</t>
        </is>
      </c>
      <c r="C4331" s="2" t="str">
        <f>=HYPERLINK("https://xhslink.com/m/4VT5acvg2wS", "https://xhslink.com/m/4VT5acvg2wS")</f>
        <v>https://xhslink.com/m/4VT5acvg2wS</v>
      </c>
      <c r="D4331"/>
      <c r="E4331">
        <v>3459</v>
      </c>
      <c r="F4331">
        <v>129.9</v>
      </c>
      <c r="G4331">
        <v>69.9</v>
      </c>
      <c r="H4331">
        <v>100</v>
      </c>
      <c r="I4331" t="inlineStr">
        <is>
          <t>上衣</t>
        </is>
      </c>
      <c r="J4331" t="inlineStr">
        <is>
          <t>0.03</t>
        </is>
      </c>
      <c r="K4331"/>
      <c r="L4331" t="inlineStr">
        <is>
          <t>小戚宝贝的店</t>
        </is>
      </c>
      <c r="M4331">
        <v>5654</v>
      </c>
      <c r="N4331">
        <v>4.72</v>
      </c>
      <c r="O4331">
        <v>87000</v>
      </c>
      <c r="P4331" t="inlineStr">
        <is>
          <t>69b221003250830001d23732</t>
        </is>
      </c>
      <c r="Q4331" t="inlineStr">
        <is>
          <t>🚫重复</t>
        </is>
      </c>
      <c r="R4331" t="inlineStr">
        <is>
          <t>16周</t>
        </is>
      </c>
      <c r="S4331" t="inlineStr">
        <is>
          <t>0.61</t>
        </is>
      </c>
      <c r="T4331" t="inlineStr">
        <is>
          <t>服饰穿搭</t>
        </is>
      </c>
      <c r="U4331" t="inlineStr">
        <is>
          <t>女装</t>
        </is>
      </c>
      <c r="V4331" s="3">
        <v>46126.97719907408</v>
      </c>
      <c r="W4331" t="inlineStr">
        <is>
          <t>2026-Q2</t>
        </is>
      </c>
    </row>
    <row r="4332" ht="25.5" customHeight="1">
      <c r="A4332" t="inlineStr">
        <is>
          <t>张张自喜【美女日常2.0】天丝羊毛修身夏季卷边短袖T恤女百搭上衣</t>
        </is>
      </c>
      <c r="B4332" t="inlineStr">
        <is>
          <t>__upload_recvgMo2ZYzG12.jpg</t>
        </is>
      </c>
      <c r="C4332" s="2" t="str">
        <f>=HYPERLINK("https://xhslink.com/m/57HMf6WYg7N", "https://xhslink.com/m/57HMf6WYg7N")</f>
        <v>https://xhslink.com/m/57HMf6WYg7N</v>
      </c>
      <c r="D4332"/>
      <c r="E4332">
        <v>1292</v>
      </c>
      <c r="F4332">
        <v>289</v>
      </c>
      <c r="G4332">
        <v>89</v>
      </c>
      <c r="H4332">
        <v>100</v>
      </c>
      <c r="I4332" t="inlineStr">
        <is>
          <t>上衣</t>
        </is>
      </c>
      <c r="J4332" t="inlineStr">
        <is>
          <t>0.08</t>
        </is>
      </c>
      <c r="K4332"/>
      <c r="L4332" t="inlineStr">
        <is>
          <t>张张自喜studio的店</t>
        </is>
      </c>
      <c r="M4332">
        <v>86000</v>
      </c>
      <c r="N4332">
        <v>4.5</v>
      </c>
      <c r="O4332">
        <v>153000</v>
      </c>
      <c r="P4332" t="inlineStr">
        <is>
          <t>69c893e7fcd43f00015f8c20</t>
        </is>
      </c>
      <c r="Q4332" t="inlineStr">
        <is>
          <t>🚫重复</t>
        </is>
      </c>
      <c r="R4332" t="inlineStr">
        <is>
          <t>16周</t>
        </is>
      </c>
      <c r="S4332" t="inlineStr">
        <is>
          <t>0.02</t>
        </is>
      </c>
      <c r="T4332" t="inlineStr">
        <is>
          <t>服饰穿搭</t>
        </is>
      </c>
      <c r="U4332" t="inlineStr">
        <is>
          <t>女装</t>
        </is>
      </c>
      <c r="V4332" s="3">
        <v>46126.97719907408</v>
      </c>
      <c r="W4332" t="inlineStr">
        <is>
          <t>2026-Q2</t>
        </is>
      </c>
    </row>
    <row r="4333" ht="25.5" customHeight="1">
      <c r="A4333" t="inlineStr">
        <is>
          <t>丸蔻 · 灵芝草本抗皱面膜 芳疗师定制 涂抹式面膜双抗提亮肤色保湿皱纹</t>
        </is>
      </c>
      <c r="B4333" t="inlineStr">
        <is>
          <t>__upload_recvgMo2ZYtvKd.jpg</t>
        </is>
      </c>
      <c r="C4333" s="2" t="str">
        <f>=HYPERLINK("https://xhslink.com/m/9lLqEegGnpd", "https://xhslink.com/m/9lLqEegGnpd")</f>
        <v>https://xhslink.com/m/9lLqEegGnpd</v>
      </c>
      <c r="D4333"/>
      <c r="E4333">
        <v>25000</v>
      </c>
      <c r="F4333">
        <v>59.9</v>
      </c>
      <c r="G4333"/>
      <c r="H4333">
        <v>100</v>
      </c>
      <c r="I4333" t="inlineStr">
        <is>
          <t>皱纹</t>
        </is>
      </c>
      <c r="J4333" t="inlineStr">
        <is>
          <t>0.00</t>
        </is>
      </c>
      <c r="K4333"/>
      <c r="L4333" t="inlineStr">
        <is>
          <t>丸蔻旗舰店</t>
        </is>
      </c>
      <c r="M4333">
        <v>64000</v>
      </c>
      <c r="N4333">
        <v>4.72</v>
      </c>
      <c r="O4333">
        <v>360000</v>
      </c>
      <c r="P4333" t="inlineStr">
        <is>
          <t>63f5cf2643625f000175b941</t>
        </is>
      </c>
      <c r="Q4333"/>
      <c r="R4333" t="inlineStr">
        <is>
          <t>16周</t>
        </is>
      </c>
      <c r="S4333" t="inlineStr">
        <is>
          <t>0.39</t>
        </is>
      </c>
      <c r="T4333" t="inlineStr">
        <is>
          <t>美妆个护</t>
        </is>
      </c>
      <c r="U4333" t="inlineStr">
        <is>
          <t>护肤彩妆</t>
        </is>
      </c>
      <c r="V4333" s="3">
        <v>46126.97719907408</v>
      </c>
      <c r="W4333" t="inlineStr">
        <is>
          <t>2026-Q2</t>
        </is>
      </c>
    </row>
    <row r="4334" ht="25.5" customHeight="1">
      <c r="A4334" t="inlineStr">
        <is>
          <t>BUERK布比克 · 布比克BUERK户外五星猛火双头炉烧烤折叠炉分体式露营炉具卡式炉</t>
        </is>
      </c>
      <c r="B4334" t="inlineStr">
        <is>
          <t>__upload_recvgMo2ZYjnZs.jpg</t>
        </is>
      </c>
      <c r="C4334" s="2" t="str">
        <f>=HYPERLINK("https://xhslink.com/m/3wxlOezoHGG", "https://xhslink.com/m/3wxlOezoHGG")</f>
        <v>https://xhslink.com/m/3wxlOezoHGG</v>
      </c>
      <c r="D4334"/>
      <c r="E4334">
        <v>4615</v>
      </c>
      <c r="F4334">
        <v>399.99</v>
      </c>
      <c r="G4334"/>
      <c r="H4334">
        <v>100</v>
      </c>
      <c r="I4334" t="inlineStr">
        <is>
          <t>露营装备</t>
        </is>
      </c>
      <c r="J4334" t="inlineStr">
        <is>
          <t>0.02</t>
        </is>
      </c>
      <c r="K4334"/>
      <c r="L4334" t="inlineStr">
        <is>
          <t>布比克-BUERK旗舰店</t>
        </is>
      </c>
      <c r="M4334">
        <v>2457</v>
      </c>
      <c r="N4334">
        <v>4.43</v>
      </c>
      <c r="O4334">
        <v>17000</v>
      </c>
      <c r="P4334" t="inlineStr">
        <is>
          <t>6870dfbd2e08950001c01182</t>
        </is>
      </c>
      <c r="Q4334"/>
      <c r="R4334" t="inlineStr">
        <is>
          <t>16周</t>
        </is>
      </c>
      <c r="S4334" t="inlineStr">
        <is>
          <t>1.88</t>
        </is>
      </c>
      <c r="T4334" t="inlineStr">
        <is>
          <t>运动潮玩</t>
        </is>
      </c>
      <c r="U4334" t="inlineStr">
        <is>
          <t>运动户外装备</t>
        </is>
      </c>
      <c r="V4334" s="3">
        <v>46126.97719907408</v>
      </c>
      <c r="W4334" t="inlineStr">
        <is>
          <t>2026-Q2</t>
        </is>
      </c>
    </row>
    <row r="4335" ht="25.5" customHeight="1">
      <c r="A4335" t="inlineStr">
        <is>
          <t>【拍一发三】登山帽女大檐渔夫帽遮阳徒步防晒户外露营钓鱼帽子男</t>
        </is>
      </c>
      <c r="B4335" t="inlineStr">
        <is>
          <t>__upload_recvgMo2ZY6rjV.jpg</t>
        </is>
      </c>
      <c r="C4335" s="2" t="str">
        <f>=HYPERLINK("https://xhslink.com/m/76XtiGCBbcI", "https://xhslink.com/m/76XtiGCBbcI")</f>
        <v>https://xhslink.com/m/76XtiGCBbcI</v>
      </c>
      <c r="D4335"/>
      <c r="E4335">
        <v>23000</v>
      </c>
      <c r="F4335">
        <v>39.9</v>
      </c>
      <c r="G4335">
        <v>29.9</v>
      </c>
      <c r="H4335">
        <v>100</v>
      </c>
      <c r="I4335" t="inlineStr">
        <is>
          <t>露营装备</t>
        </is>
      </c>
      <c r="J4335" t="inlineStr">
        <is>
          <t>0.00</t>
        </is>
      </c>
      <c r="K4335" t="inlineStr">
        <is>
          <t>🔥低粉爆款</t>
        </is>
      </c>
      <c r="L4335" t="inlineStr">
        <is>
          <t>YOULI帽铺的店</t>
        </is>
      </c>
      <c r="M4335">
        <v>4666</v>
      </c>
      <c r="N4335">
        <v>4.63</v>
      </c>
      <c r="O4335">
        <v>61000</v>
      </c>
      <c r="P4335" t="inlineStr">
        <is>
          <t>663ddf8819b7600001ecde01</t>
        </is>
      </c>
      <c r="Q4335"/>
      <c r="R4335" t="inlineStr">
        <is>
          <t>16周</t>
        </is>
      </c>
      <c r="S4335" t="inlineStr">
        <is>
          <t>4.93</t>
        </is>
      </c>
      <c r="T4335" t="inlineStr">
        <is>
          <t>运动潮玩</t>
        </is>
      </c>
      <c r="U4335" t="inlineStr">
        <is>
          <t>运动户外装备</t>
        </is>
      </c>
      <c r="V4335" s="3">
        <v>46126.97719907408</v>
      </c>
      <c r="W4335" t="inlineStr">
        <is>
          <t>2026-Q2</t>
        </is>
      </c>
    </row>
    <row r="4336" ht="25.5" customHeight="1">
      <c r="A4336" t="inlineStr">
        <is>
          <t>野餐一次性束口桌套户外风吹不跑防水防油免洗桌布露营车露营桌套</t>
        </is>
      </c>
      <c r="B4336" t="inlineStr">
        <is>
          <t>__upload_recvgMo2ZYS3Q7.jpg</t>
        </is>
      </c>
      <c r="C4336" s="2" t="str">
        <f>=HYPERLINK("https://xhslink.com/m/2o1yZN1gHWd", "https://xhslink.com/m/2o1yZN1gHWd")</f>
        <v>https://xhslink.com/m/2o1yZN1gHWd</v>
      </c>
      <c r="D4336"/>
      <c r="E4336">
        <v>3048</v>
      </c>
      <c r="F4336">
        <v>19.9</v>
      </c>
      <c r="G4336">
        <v>9.9</v>
      </c>
      <c r="H4336">
        <v>100</v>
      </c>
      <c r="I4336" t="inlineStr">
        <is>
          <t>露营装备</t>
        </is>
      </c>
      <c r="J4336" t="inlineStr">
        <is>
          <t>0.03</t>
        </is>
      </c>
      <c r="K4336"/>
      <c r="L4336" t="inlineStr">
        <is>
          <t>我是静静吖的店</t>
        </is>
      </c>
      <c r="M4336">
        <v>209000</v>
      </c>
      <c r="N4336">
        <v>4.68</v>
      </c>
      <c r="O4336">
        <v>1080000</v>
      </c>
      <c r="P4336" t="inlineStr">
        <is>
          <t>67f7623f27596b0016b1bb8f</t>
        </is>
      </c>
      <c r="Q4336" t="inlineStr">
        <is>
          <t>🚫重复</t>
        </is>
      </c>
      <c r="R4336" t="inlineStr">
        <is>
          <t>16周</t>
        </is>
      </c>
      <c r="S4336" t="inlineStr">
        <is>
          <t>0.01</t>
        </is>
      </c>
      <c r="T4336" t="inlineStr">
        <is>
          <t>运动潮玩</t>
        </is>
      </c>
      <c r="U4336" t="inlineStr">
        <is>
          <t>运动户外装备</t>
        </is>
      </c>
      <c r="V4336" s="3">
        <v>46126.97719907408</v>
      </c>
      <c r="W4336" t="inlineStr">
        <is>
          <t>2026-Q2</t>
        </is>
      </c>
    </row>
    <row r="4337" ht="25.5" customHeight="1">
      <c r="A4337" t="inlineStr">
        <is>
          <t>Khonsu/空宿E3500智能营地主灯户外露营灯超长续航照明帐篷挂灯</t>
        </is>
      </c>
      <c r="B4337" t="inlineStr">
        <is>
          <t>__upload_recvgMo2ZYVWkT.jpg</t>
        </is>
      </c>
      <c r="C4337" s="2" t="str">
        <f>=HYPERLINK("https://xhslink.com/m/84zFFC9BiCp", "https://xhslink.com/m/84zFFC9BiCp")</f>
        <v>https://xhslink.com/m/84zFFC9BiCp</v>
      </c>
      <c r="D4337"/>
      <c r="E4337">
        <v>1648</v>
      </c>
      <c r="F4337">
        <v>219</v>
      </c>
      <c r="G4337"/>
      <c r="H4337">
        <v>100</v>
      </c>
      <c r="I4337" t="inlineStr">
        <is>
          <t>露营装备</t>
        </is>
      </c>
      <c r="J4337" t="inlineStr">
        <is>
          <t>0.06</t>
        </is>
      </c>
      <c r="K4337" t="inlineStr">
        <is>
          <t>🔥低粉爆款</t>
        </is>
      </c>
      <c r="L4337" t="inlineStr">
        <is>
          <t>空宿松林之光的店</t>
        </is>
      </c>
      <c r="M4337">
        <v>247</v>
      </c>
      <c r="N4337">
        <v>4.5</v>
      </c>
      <c r="O4337">
        <v>4759</v>
      </c>
      <c r="P4337" t="inlineStr">
        <is>
          <t>69637f5b9c11770001b20fe9</t>
        </is>
      </c>
      <c r="Q4337"/>
      <c r="R4337" t="inlineStr">
        <is>
          <t>16周</t>
        </is>
      </c>
      <c r="S4337" t="inlineStr">
        <is>
          <t>6.67</t>
        </is>
      </c>
      <c r="T4337" t="inlineStr">
        <is>
          <t>运动潮玩</t>
        </is>
      </c>
      <c r="U4337" t="inlineStr">
        <is>
          <t>运动户外装备</t>
        </is>
      </c>
      <c r="V4337" s="3">
        <v>46126.97719907408</v>
      </c>
      <c r="W4337" t="inlineStr">
        <is>
          <t>2026-Q2</t>
        </is>
      </c>
    </row>
    <row r="4338" ht="25.5" customHeight="1">
      <c r="A4338" t="inlineStr">
        <is>
          <t>徐晓晓 · 宽边无接缝发圈简约高弹力扎头皮筋不伤发高弹力绑头绳美拉德色系</t>
        </is>
      </c>
      <c r="B4338" t="inlineStr">
        <is>
          <t>__upload_recvgMo2ZYuJzz.jpg</t>
        </is>
      </c>
      <c r="C4338" s="2" t="str">
        <f>=HYPERLINK("https://xhslink.com/m/1EqqwJfIZdA", "https://xhslink.com/m/1EqqwJfIZdA")</f>
        <v>https://xhslink.com/m/1EqqwJfIZdA</v>
      </c>
      <c r="D4338"/>
      <c r="E4338">
        <v>32000</v>
      </c>
      <c r="F4338">
        <v>29.9</v>
      </c>
      <c r="G4338"/>
      <c r="H4338">
        <v>100</v>
      </c>
      <c r="I4338" t="inlineStr">
        <is>
          <t>头饰</t>
        </is>
      </c>
      <c r="J4338" t="inlineStr">
        <is>
          <t>0.00</t>
        </is>
      </c>
      <c r="K4338" t="inlineStr">
        <is>
          <t>🔥低粉爆款</t>
        </is>
      </c>
      <c r="L4338" t="inlineStr">
        <is>
          <t>晓晓饰界的的店</t>
        </is>
      </c>
      <c r="M4338">
        <v>2869</v>
      </c>
      <c r="N4338">
        <v>4.44</v>
      </c>
      <c r="O4338">
        <v>36000</v>
      </c>
      <c r="P4338" t="inlineStr">
        <is>
          <t>66865af178eadb0001349767</t>
        </is>
      </c>
      <c r="Q4338"/>
      <c r="R4338" t="inlineStr">
        <is>
          <t>16周</t>
        </is>
      </c>
      <c r="S4338" t="inlineStr">
        <is>
          <t>11.15</t>
        </is>
      </c>
      <c r="T4338" t="inlineStr">
        <is>
          <t>服饰穿搭</t>
        </is>
      </c>
      <c r="U4338" t="inlineStr">
        <is>
          <t>配饰</t>
        </is>
      </c>
      <c r="V4338" s="3">
        <v>46126.97719907408</v>
      </c>
      <c r="W4338" t="inlineStr">
        <is>
          <t>2026-Q2</t>
        </is>
      </c>
    </row>
    <row r="4339" ht="25.5" customHeight="1">
      <c r="A4339" t="inlineStr">
        <is>
          <t>（缝边瑕疵福箱3个）各种瑕不能许愿和重量不挂钩只售后弹力球</t>
        </is>
      </c>
      <c r="B4339" t="inlineStr">
        <is>
          <t>__upload_recvgMo2ZYLfGh.jpg</t>
        </is>
      </c>
      <c r="C4339" s="2" t="str">
        <f>=HYPERLINK("https://xhslink.com/m/48XcOi1YeBC", "https://xhslink.com/m/48XcOi1YeBC")</f>
        <v>https://xhslink.com/m/48XcOi1YeBC</v>
      </c>
      <c r="D4339"/>
      <c r="E4339">
        <v>13000</v>
      </c>
      <c r="F4339">
        <v>19.9</v>
      </c>
      <c r="G4339"/>
      <c r="H4339">
        <v>100</v>
      </c>
      <c r="I4339" t="inlineStr">
        <is>
          <t>潮玩</t>
        </is>
      </c>
      <c r="J4339" t="inlineStr">
        <is>
          <t>0.01</t>
        </is>
      </c>
      <c r="K4339"/>
      <c r="L4339" t="inlineStr">
        <is>
          <t>蟹老板捏捏的店</t>
        </is>
      </c>
      <c r="M4339">
        <v>25000</v>
      </c>
      <c r="N4339">
        <v>4.4</v>
      </c>
      <c r="O4339">
        <v>166000</v>
      </c>
      <c r="P4339" t="inlineStr">
        <is>
          <t>68bc4f3d096c870001957548</t>
        </is>
      </c>
      <c r="Q4339" t="inlineStr">
        <is>
          <t>🚫重复</t>
        </is>
      </c>
      <c r="R4339" t="inlineStr">
        <is>
          <t>16周</t>
        </is>
      </c>
      <c r="S4339" t="inlineStr">
        <is>
          <t>0.52</t>
        </is>
      </c>
      <c r="T4339" t="inlineStr">
        <is>
          <t>家居生活</t>
        </is>
      </c>
      <c r="U4339" t="inlineStr">
        <is>
          <t>家居日用</t>
        </is>
      </c>
      <c r="V4339" s="3">
        <v>46126.97719907408</v>
      </c>
      <c r="W4339" t="inlineStr">
        <is>
          <t>2026-Q2</t>
        </is>
      </c>
    </row>
    <row r="4340" ht="25.5" customHeight="1">
      <c r="A4340" t="inlineStr">
        <is>
          <t>【现货】正版猫猫PAI系列盲盒情绪开演绒fufu生日礼物可爱摆件</t>
        </is>
      </c>
      <c r="B4340" t="inlineStr">
        <is>
          <t>__upload_recvgMo2ZY51YN.jpg</t>
        </is>
      </c>
      <c r="C4340" s="2" t="str">
        <f>=HYPERLINK("https://xhslink.com/m/4RovqWNcfWW", "https://xhslink.com/m/4RovqWNcfWW")</f>
        <v>https://xhslink.com/m/4RovqWNcfWW</v>
      </c>
      <c r="D4340"/>
      <c r="E4340">
        <v>17000</v>
      </c>
      <c r="F4340">
        <v>64.9</v>
      </c>
      <c r="G4340">
        <v>52.9</v>
      </c>
      <c r="H4340">
        <v>100</v>
      </c>
      <c r="I4340" t="inlineStr">
        <is>
          <t>潮玩</t>
        </is>
      </c>
      <c r="J4340" t="inlineStr">
        <is>
          <t>0.01</t>
        </is>
      </c>
      <c r="K4340" t="inlineStr">
        <is>
          <t>🔥低粉爆款</t>
        </is>
      </c>
      <c r="L4340" t="inlineStr">
        <is>
          <t>玩具森友会的店</t>
        </is>
      </c>
      <c r="M4340">
        <v>4736</v>
      </c>
      <c r="N4340">
        <v>4.72</v>
      </c>
      <c r="O4340">
        <v>31000</v>
      </c>
      <c r="P4340" t="inlineStr">
        <is>
          <t>696da72f26bf6e0001378252</t>
        </is>
      </c>
      <c r="Q4340" t="inlineStr">
        <is>
          <t>🚫重复</t>
        </is>
      </c>
      <c r="R4340" t="inlineStr">
        <is>
          <t>16周</t>
        </is>
      </c>
      <c r="S4340" t="inlineStr">
        <is>
          <t>3.59</t>
        </is>
      </c>
      <c r="T4340" t="inlineStr">
        <is>
          <t>家居生活</t>
        </is>
      </c>
      <c r="U4340" t="inlineStr">
        <is>
          <t>家具家装</t>
        </is>
      </c>
      <c r="V4340" s="3">
        <v>46126.97719907408</v>
      </c>
      <c r="W4340" t="inlineStr">
        <is>
          <t>2026-Q2</t>
        </is>
      </c>
    </row>
    <row r="4341" ht="25.5" customHeight="1">
      <c r="A4341" t="inlineStr">
        <is>
          <t>【正版现货】正版猫猫PAI系列盲盒情绪开演绒fufu盲盒摆</t>
        </is>
      </c>
      <c r="B4341" t="inlineStr">
        <is>
          <t>__upload_recvgMo2ZYr5Ej.jpg</t>
        </is>
      </c>
      <c r="C4341" s="2" t="str">
        <f>=HYPERLINK("https://xhslink.com/m/6TSq3xk4f2c", "https://xhslink.com/m/6TSq3xk4f2c")</f>
        <v>https://xhslink.com/m/6TSq3xk4f2c</v>
      </c>
      <c r="D4341"/>
      <c r="E4341">
        <v>6755</v>
      </c>
      <c r="F4341">
        <v>64.9</v>
      </c>
      <c r="G4341">
        <v>49.9</v>
      </c>
      <c r="H4341">
        <v>100</v>
      </c>
      <c r="I4341" t="inlineStr">
        <is>
          <t>潮玩</t>
        </is>
      </c>
      <c r="J4341" t="inlineStr">
        <is>
          <t>0.01</t>
        </is>
      </c>
      <c r="K4341" t="inlineStr">
        <is>
          <t>🔥低粉爆款</t>
        </is>
      </c>
      <c r="L4341" t="inlineStr">
        <is>
          <t>三月🐱的店</t>
        </is>
      </c>
      <c r="M4341">
        <v>387</v>
      </c>
      <c r="N4341">
        <v>4.71</v>
      </c>
      <c r="O4341">
        <v>8274</v>
      </c>
      <c r="P4341" t="inlineStr">
        <is>
          <t>6982122c7bbc8200155bf8c4</t>
        </is>
      </c>
      <c r="Q4341" t="inlineStr">
        <is>
          <t>🚫重复</t>
        </is>
      </c>
      <c r="R4341" t="inlineStr">
        <is>
          <t>16周</t>
        </is>
      </c>
      <c r="S4341" t="inlineStr">
        <is>
          <t>17.45</t>
        </is>
      </c>
      <c r="T4341" t="inlineStr">
        <is>
          <t>运动潮玩</t>
        </is>
      </c>
      <c r="U4341" t="inlineStr">
        <is>
          <t>潮玩手办</t>
        </is>
      </c>
      <c r="V4341" s="3">
        <v>46126.97719907408</v>
      </c>
      <c r="W4341" t="inlineStr">
        <is>
          <t>2026-Q2</t>
        </is>
      </c>
    </row>
    <row r="4342" ht="25.5" customHeight="1">
      <c r="A4342" t="inlineStr">
        <is>
          <t>正版森之物猫猫小陪伴日常盲盒/摆件/礼物推荐/女生礼物</t>
        </is>
      </c>
      <c r="B4342" t="inlineStr">
        <is>
          <t>__upload_recvgMo2ZYTl8o.jpg</t>
        </is>
      </c>
      <c r="C4342" s="2" t="str">
        <f>=HYPERLINK("https://xhslink.com/m/5oG3qtnJcvB", "https://xhslink.com/m/5oG3qtnJcvB")</f>
        <v>https://xhslink.com/m/5oG3qtnJcvB</v>
      </c>
      <c r="D4342"/>
      <c r="E4342">
        <v>6928</v>
      </c>
      <c r="F4342">
        <v>76</v>
      </c>
      <c r="G4342">
        <v>68</v>
      </c>
      <c r="H4342">
        <v>100</v>
      </c>
      <c r="I4342" t="inlineStr">
        <is>
          <t>潮玩</t>
        </is>
      </c>
      <c r="J4342" t="inlineStr">
        <is>
          <t>0.01</t>
        </is>
      </c>
      <c r="K4342" t="inlineStr">
        <is>
          <t>🔥低粉爆款</t>
        </is>
      </c>
      <c r="L4342" t="inlineStr">
        <is>
          <t>一大口小猫咪🐈的店</t>
        </is>
      </c>
      <c r="M4342">
        <v>1242</v>
      </c>
      <c r="N4342">
        <v>4.62</v>
      </c>
      <c r="O4342">
        <v>16000</v>
      </c>
      <c r="P4342" t="inlineStr">
        <is>
          <t>692eae8101312b0001b07d8f</t>
        </is>
      </c>
      <c r="Q4342" t="inlineStr">
        <is>
          <t>🚫重复</t>
        </is>
      </c>
      <c r="R4342" t="inlineStr">
        <is>
          <t>16周</t>
        </is>
      </c>
      <c r="S4342" t="inlineStr">
        <is>
          <t>5.58</t>
        </is>
      </c>
      <c r="T4342" t="inlineStr">
        <is>
          <t>家居生活</t>
        </is>
      </c>
      <c r="U4342" t="inlineStr">
        <is>
          <t>家具家装</t>
        </is>
      </c>
      <c r="V4342" s="3">
        <v>46126.97719907408</v>
      </c>
      <c r="W4342" t="inlineStr">
        <is>
          <t>2026-Q2</t>
        </is>
      </c>
    </row>
    <row r="4343" ht="25.5" customHeight="1">
      <c r="A4343" t="inlineStr">
        <is>
          <t>出租上迪正品发箍 帽子 大疆 毛毯 背包出租</t>
        </is>
      </c>
      <c r="B4343" t="inlineStr">
        <is>
          <t>__upload_recvgMo2ZYl3lv.jpg</t>
        </is>
      </c>
      <c r="C4343" s="2" t="str">
        <f>=HYPERLINK("https://xhslink.com/m/5K1k4fX6THi", "https://xhslink.com/m/5K1k4fX6THi")</f>
        <v>https://xhslink.com/m/5K1k4fX6THi</v>
      </c>
      <c r="D4343"/>
      <c r="E4343">
        <v>13000</v>
      </c>
      <c r="F4343">
        <v>25</v>
      </c>
      <c r="G4343">
        <v>23</v>
      </c>
      <c r="H4343">
        <v>100</v>
      </c>
      <c r="I4343" t="inlineStr">
        <is>
          <t>迪士尼</t>
        </is>
      </c>
      <c r="J4343" t="inlineStr">
        <is>
          <t>0.01</t>
        </is>
      </c>
      <c r="K4343"/>
      <c r="L4343" t="inlineStr">
        <is>
          <t>上迪小兔发箍租赁的店</t>
        </is>
      </c>
      <c r="M4343">
        <v>6079</v>
      </c>
      <c r="N4343">
        <v>4.72</v>
      </c>
      <c r="O4343">
        <v>25000</v>
      </c>
      <c r="P4343" t="inlineStr">
        <is>
          <t>65b62881dd621c000185085b</t>
        </is>
      </c>
      <c r="Q4343"/>
      <c r="R4343" t="inlineStr">
        <is>
          <t>16周</t>
        </is>
      </c>
      <c r="S4343" t="inlineStr">
        <is>
          <t>2.14</t>
        </is>
      </c>
      <c r="T4343" t="inlineStr">
        <is>
          <t>服饰穿搭</t>
        </is>
      </c>
      <c r="U4343" t="inlineStr">
        <is>
          <t>配饰</t>
        </is>
      </c>
      <c r="V4343" s="3">
        <v>46126.97719907408</v>
      </c>
      <c r="W4343" t="inlineStr">
        <is>
          <t>2026-Q2</t>
        </is>
      </c>
    </row>
    <row r="4344" ht="25.5" customHeight="1">
      <c r="A4344" t="inlineStr">
        <is>
          <t>冷淡风气质醋酸鲨鱼夹秋冬款八爪夹日常通勤饱满盘发发夹女</t>
        </is>
      </c>
      <c r="B4344" t="inlineStr">
        <is>
          <t>__upload_recvgMo2ZYFcMj.jpg</t>
        </is>
      </c>
      <c r="C4344" s="2" t="str">
        <f>=HYPERLINK("https://xhslink.com/m/9UrMLneGtLo", "https://xhslink.com/m/9UrMLneGtLo")</f>
        <v>https://xhslink.com/m/9UrMLneGtLo</v>
      </c>
      <c r="D4344"/>
      <c r="E4344">
        <v>20000</v>
      </c>
      <c r="F4344">
        <v>22.8</v>
      </c>
      <c r="G4344">
        <v>12.8</v>
      </c>
      <c r="H4344">
        <v>100</v>
      </c>
      <c r="I4344" t="inlineStr">
        <is>
          <t>头饰</t>
        </is>
      </c>
      <c r="J4344" t="inlineStr">
        <is>
          <t>0.01</t>
        </is>
      </c>
      <c r="K4344" t="inlineStr">
        <is>
          <t>🔥低粉爆款</t>
        </is>
      </c>
      <c r="L4344" t="inlineStr">
        <is>
          <t>月球保姆的店</t>
        </is>
      </c>
      <c r="M4344">
        <v>685</v>
      </c>
      <c r="N4344">
        <v>4.37</v>
      </c>
      <c r="O4344">
        <v>28000</v>
      </c>
      <c r="P4344" t="inlineStr">
        <is>
          <t>68d676c39176f50001cfeff4</t>
        </is>
      </c>
      <c r="Q4344" t="inlineStr">
        <is>
          <t>🚫重复</t>
        </is>
      </c>
      <c r="R4344" t="inlineStr">
        <is>
          <t>16周</t>
        </is>
      </c>
      <c r="S4344" t="inlineStr">
        <is>
          <t>29.20</t>
        </is>
      </c>
      <c r="T4344" t="inlineStr">
        <is>
          <t>服饰穿搭</t>
        </is>
      </c>
      <c r="U4344" t="inlineStr">
        <is>
          <t>配饰</t>
        </is>
      </c>
      <c r="V4344" s="3">
        <v>46126.97719907408</v>
      </c>
      <c r="W4344" t="inlineStr">
        <is>
          <t>2026-Q2</t>
        </is>
      </c>
    </row>
    <row r="4345" ht="25.5" customHeight="1">
      <c r="A4345" t="inlineStr">
        <is>
          <t>芝士小猫 可爱毛绒小兔发圈女头绳发绳儿童扎头发皮筋少女心发圈</t>
        </is>
      </c>
      <c r="B4345" t="inlineStr">
        <is>
          <t>__upload_recvgMo2ZYacJ8.jpg</t>
        </is>
      </c>
      <c r="C4345" s="2" t="str">
        <f>=HYPERLINK("https://xhslink.com/m/8KSJSxLcEsb", "https://xhslink.com/m/8KSJSxLcEsb")</f>
        <v>https://xhslink.com/m/8KSJSxLcEsb</v>
      </c>
      <c r="D4345"/>
      <c r="E4345">
        <v>6965</v>
      </c>
      <c r="F4345">
        <v>8.5</v>
      </c>
      <c r="G4345">
        <v>5.5</v>
      </c>
      <c r="H4345">
        <v>100</v>
      </c>
      <c r="I4345" t="inlineStr">
        <is>
          <t>头饰</t>
        </is>
      </c>
      <c r="J4345" t="inlineStr">
        <is>
          <t>0.01</t>
        </is>
      </c>
      <c r="K4345"/>
      <c r="L4345" t="inlineStr">
        <is>
          <t>芝士小猫咪的店</t>
        </is>
      </c>
      <c r="M4345">
        <v>14000</v>
      </c>
      <c r="N4345">
        <v>4.74</v>
      </c>
      <c r="O4345">
        <v>49000</v>
      </c>
      <c r="P4345" t="inlineStr">
        <is>
          <t>692417206ea74e0001d0cb3b</t>
        </is>
      </c>
      <c r="Q4345"/>
      <c r="R4345" t="inlineStr">
        <is>
          <t>16周</t>
        </is>
      </c>
      <c r="S4345" t="inlineStr">
        <is>
          <t>0.50</t>
        </is>
      </c>
      <c r="T4345" t="inlineStr">
        <is>
          <t>服饰穿搭</t>
        </is>
      </c>
      <c r="U4345" t="inlineStr">
        <is>
          <t>配饰</t>
        </is>
      </c>
      <c r="V4345" s="3">
        <v>46126.97719907408</v>
      </c>
      <c r="W4345" t="inlineStr">
        <is>
          <t>2026-Q2</t>
        </is>
      </c>
    </row>
    <row r="4346" ht="25.5" customHeight="1">
      <c r="A4346" t="inlineStr">
        <is>
          <t>2026春夏【新版满天星镶钻】小抓夹半扎发发抓夹鲨鱼夹</t>
        </is>
      </c>
      <c r="B4346" t="inlineStr">
        <is>
          <t>__upload_recvgMo2ZYX68e.jpg</t>
        </is>
      </c>
      <c r="C4346" s="2" t="str">
        <f>=HYPERLINK("https://xhslink.com/m/YX2stv27oF", "https://xhslink.com/m/YX2stv27oF")</f>
        <v>https://xhslink.com/m/YX2stv27oF</v>
      </c>
      <c r="D4346"/>
      <c r="E4346">
        <v>8422</v>
      </c>
      <c r="F4346">
        <v>23.9</v>
      </c>
      <c r="G4346">
        <v>13.88</v>
      </c>
      <c r="H4346">
        <v>100</v>
      </c>
      <c r="I4346" t="inlineStr">
        <is>
          <t>头饰</t>
        </is>
      </c>
      <c r="J4346" t="inlineStr">
        <is>
          <t>0.01</t>
        </is>
      </c>
      <c r="K4346"/>
      <c r="L4346" t="inlineStr">
        <is>
          <t>Cholla的店</t>
        </is>
      </c>
      <c r="M4346">
        <v>8409</v>
      </c>
      <c r="N4346">
        <v>4.59</v>
      </c>
      <c r="O4346">
        <v>49000</v>
      </c>
      <c r="P4346" t="inlineStr">
        <is>
          <t>68b14fd3f38f970001d591c5</t>
        </is>
      </c>
      <c r="Q4346"/>
      <c r="R4346" t="inlineStr">
        <is>
          <t>16周</t>
        </is>
      </c>
      <c r="S4346" t="inlineStr">
        <is>
          <t>1.00</t>
        </is>
      </c>
      <c r="T4346" t="inlineStr">
        <is>
          <t>服饰穿搭</t>
        </is>
      </c>
      <c r="U4346" t="inlineStr">
        <is>
          <t>配饰</t>
        </is>
      </c>
      <c r="V4346" s="3">
        <v>46126.97719907408</v>
      </c>
      <c r="W4346" t="inlineStr">
        <is>
          <t>2026-Q2</t>
        </is>
      </c>
    </row>
    <row r="4347" ht="25.5" customHeight="1">
      <c r="A4347" t="inlineStr">
        <is>
          <t>春日桃桃·樱花粉碎花大肠发圈</t>
        </is>
      </c>
      <c r="B4347" t="inlineStr">
        <is>
          <t>__upload_recvgMo2ZYEadr.jpg</t>
        </is>
      </c>
      <c r="C4347" s="2" t="str">
        <f>=HYPERLINK("https://xhslink.com/m/1ZIliGokxZ9", "https://xhslink.com/m/1ZIliGokxZ9")</f>
        <v>https://xhslink.com/m/1ZIliGokxZ9</v>
      </c>
      <c r="D4347"/>
      <c r="E4347">
        <v>1833</v>
      </c>
      <c r="F4347">
        <v>32.8</v>
      </c>
      <c r="G4347">
        <v>18.8</v>
      </c>
      <c r="H4347">
        <v>100</v>
      </c>
      <c r="I4347" t="inlineStr">
        <is>
          <t>头饰</t>
        </is>
      </c>
      <c r="J4347" t="inlineStr">
        <is>
          <t>0.05</t>
        </is>
      </c>
      <c r="K4347"/>
      <c r="L4347" t="inlineStr">
        <is>
          <t>绵绵卷啊的店</t>
        </is>
      </c>
      <c r="M4347">
        <v>5391</v>
      </c>
      <c r="N4347">
        <v>4.55</v>
      </c>
      <c r="O4347">
        <v>77000</v>
      </c>
      <c r="P4347" t="inlineStr">
        <is>
          <t>69ad7c374a35340001f5b4da</t>
        </is>
      </c>
      <c r="Q4347"/>
      <c r="R4347" t="inlineStr">
        <is>
          <t>16周</t>
        </is>
      </c>
      <c r="S4347" t="inlineStr">
        <is>
          <t>0.34</t>
        </is>
      </c>
      <c r="T4347" t="inlineStr">
        <is>
          <t>服饰穿搭</t>
        </is>
      </c>
      <c r="U4347" t="inlineStr">
        <is>
          <t>配饰</t>
        </is>
      </c>
      <c r="V4347" s="3">
        <v>46126.97719907408</v>
      </c>
      <c r="W4347" t="inlineStr">
        <is>
          <t>2026-Q2</t>
        </is>
      </c>
    </row>
    <row r="4348" ht="25.5" customHeight="1">
      <c r="A4348" t="inlineStr">
        <is>
          <t>【9.9包邮前1000单】仿木纹音符抓夹银色鲨鱼夹碎花发夹发饰复古</t>
        </is>
      </c>
      <c r="B4348" t="inlineStr">
        <is>
          <t>__upload_recvgMo2ZYfvsz.jpg</t>
        </is>
      </c>
      <c r="C4348" s="2" t="str">
        <f>=HYPERLINK("https://xhslink.com/m/7QScaariPZh", "https://xhslink.com/m/7QScaariPZh")</f>
        <v>https://xhslink.com/m/7QScaariPZh</v>
      </c>
      <c r="D4348"/>
      <c r="E4348">
        <v>1117</v>
      </c>
      <c r="F4348">
        <v>25.9</v>
      </c>
      <c r="G4348">
        <v>10.9</v>
      </c>
      <c r="H4348">
        <v>100</v>
      </c>
      <c r="I4348" t="inlineStr">
        <is>
          <t>头饰</t>
        </is>
      </c>
      <c r="J4348" t="inlineStr">
        <is>
          <t>0.09</t>
        </is>
      </c>
      <c r="K4348" t="inlineStr">
        <is>
          <t>🔥低粉爆款</t>
        </is>
      </c>
      <c r="L4348" t="inlineStr">
        <is>
          <t>百一礼的店</t>
        </is>
      </c>
      <c r="M4348">
        <v>34</v>
      </c>
      <c r="N4348">
        <v>4.48</v>
      </c>
      <c r="O4348">
        <v>12000</v>
      </c>
      <c r="P4348" t="inlineStr">
        <is>
          <t>69c6be69e979fc0001260e0a</t>
        </is>
      </c>
      <c r="Q4348"/>
      <c r="R4348" t="inlineStr">
        <is>
          <t>16周</t>
        </is>
      </c>
      <c r="S4348" t="inlineStr">
        <is>
          <t>32.85</t>
        </is>
      </c>
      <c r="T4348" t="inlineStr">
        <is>
          <t>服饰穿搭</t>
        </is>
      </c>
      <c r="U4348" t="inlineStr">
        <is>
          <t>配饰</t>
        </is>
      </c>
      <c r="V4348" s="3">
        <v>46126.97719907408</v>
      </c>
      <c r="W4348" t="inlineStr">
        <is>
          <t>2026-Q2</t>
        </is>
      </c>
    </row>
    <row r="4349" ht="25.5" customHeight="1">
      <c r="A4349" t="inlineStr">
        <is>
          <t>春夏玫瑰庄园碎花绣球发圈～韩系温柔高级风丸子头扎发ins风发绳</t>
        </is>
      </c>
      <c r="B4349" t="inlineStr">
        <is>
          <t>__upload_recvgMo2ZYonVn.jpg</t>
        </is>
      </c>
      <c r="C4349" s="2" t="str">
        <f>=HYPERLINK("https://xhslink.com/m/6iyxv4akig5", "https://xhslink.com/m/6iyxv4akig5")</f>
        <v>https://xhslink.com/m/6iyxv4akig5</v>
      </c>
      <c r="D4349"/>
      <c r="E4349">
        <v>475</v>
      </c>
      <c r="F4349">
        <v>29.8</v>
      </c>
      <c r="G4349">
        <v>21.8</v>
      </c>
      <c r="H4349">
        <v>100</v>
      </c>
      <c r="I4349" t="inlineStr">
        <is>
          <t>头饰</t>
        </is>
      </c>
      <c r="J4349" t="inlineStr">
        <is>
          <t>0.21</t>
        </is>
      </c>
      <c r="K4349"/>
      <c r="L4349" t="inlineStr">
        <is>
          <t>Hers Trendy饰品的店</t>
        </is>
      </c>
      <c r="M4349">
        <v>99000</v>
      </c>
      <c r="N4349">
        <v>4.57</v>
      </c>
      <c r="O4349">
        <v>227000</v>
      </c>
      <c r="P4349" t="inlineStr">
        <is>
          <t>69c3649a99f8fe000121a849</t>
        </is>
      </c>
      <c r="Q4349"/>
      <c r="R4349" t="inlineStr">
        <is>
          <t>16周</t>
        </is>
      </c>
      <c r="S4349" t="inlineStr">
        <is>
          <t>0.00</t>
        </is>
      </c>
      <c r="T4349" t="inlineStr">
        <is>
          <t>服饰穿搭</t>
        </is>
      </c>
      <c r="U4349" t="inlineStr">
        <is>
          <t>配饰</t>
        </is>
      </c>
      <c r="V4349" s="3">
        <v>46126.97719907408</v>
      </c>
      <c r="W4349" t="inlineStr">
        <is>
          <t>2026-Q2</t>
        </is>
      </c>
    </row>
    <row r="4350" ht="25.5" customHeight="1">
      <c r="A4350" t="inlineStr">
        <is>
          <t>梨茉~浅色春夏小个子显瘦窄版直筒阔腿牛仔裤女拖地垂感直筒裤</t>
        </is>
      </c>
      <c r="B4350" t="inlineStr">
        <is>
          <t>__upload_recvgMo2ZYWfq7.jpg</t>
        </is>
      </c>
      <c r="C4350" s="2" t="str">
        <f>=HYPERLINK("https://xhslink.com/m/9k1uNF11nnt", "https://xhslink.com/m/9k1uNF11nnt")</f>
        <v>https://xhslink.com/m/9k1uNF11nnt</v>
      </c>
      <c r="D4350"/>
      <c r="E4350">
        <v>54000</v>
      </c>
      <c r="F4350">
        <v>116</v>
      </c>
      <c r="G4350">
        <v>98</v>
      </c>
      <c r="H4350">
        <v>100</v>
      </c>
      <c r="I4350" t="inlineStr">
        <is>
          <t>牛仔裤</t>
        </is>
      </c>
      <c r="J4350" t="inlineStr">
        <is>
          <t>0.00</t>
        </is>
      </c>
      <c r="K4350" t="inlineStr">
        <is>
          <t>🔥低粉爆款</t>
        </is>
      </c>
      <c r="L4350" t="inlineStr">
        <is>
          <t>梨茉STUDIO👖的店</t>
        </is>
      </c>
      <c r="M4350">
        <v>3381</v>
      </c>
      <c r="N4350">
        <v>4.54</v>
      </c>
      <c r="O4350">
        <v>67000</v>
      </c>
      <c r="P4350" t="inlineStr">
        <is>
          <t>67231129534325000188c98f</t>
        </is>
      </c>
      <c r="Q4350" t="inlineStr">
        <is>
          <t>🚫重复</t>
        </is>
      </c>
      <c r="R4350" t="inlineStr">
        <is>
          <t>16周</t>
        </is>
      </c>
      <c r="S4350" t="inlineStr">
        <is>
          <t>15.97</t>
        </is>
      </c>
      <c r="T4350" t="inlineStr">
        <is>
          <t>服饰穿搭</t>
        </is>
      </c>
      <c r="U4350" t="inlineStr">
        <is>
          <t>女装</t>
        </is>
      </c>
      <c r="V4350" s="3">
        <v>46126.97719907408</v>
      </c>
      <c r="W4350" t="inlineStr">
        <is>
          <t>2026-Q2</t>
        </is>
      </c>
    </row>
    <row r="4351" ht="25.5" customHeight="1">
      <c r="A4351" t="inlineStr">
        <is>
          <t>【芋了个芋】2026春季水洗蓝深蓝百搭温柔系牛仔裤软直筒阔腿裤</t>
        </is>
      </c>
      <c r="B4351" t="inlineStr">
        <is>
          <t>__upload_recvgMo2ZYKqLe.jpg</t>
        </is>
      </c>
      <c r="C4351" s="2" t="str">
        <f>=HYPERLINK("https://xhslink.com/m/11yJ2Yv4k9g", "https://xhslink.com/m/11yJ2Yv4k9g")</f>
        <v>https://xhslink.com/m/11yJ2Yv4k9g</v>
      </c>
      <c r="D4351"/>
      <c r="E4351">
        <v>25000</v>
      </c>
      <c r="F4351">
        <v>129.99</v>
      </c>
      <c r="G4351">
        <v>99.99</v>
      </c>
      <c r="H4351">
        <v>100</v>
      </c>
      <c r="I4351" t="inlineStr">
        <is>
          <t>牛仔裤</t>
        </is>
      </c>
      <c r="J4351" t="inlineStr">
        <is>
          <t>0.00</t>
        </is>
      </c>
      <c r="K4351"/>
      <c r="L4351" t="inlineStr">
        <is>
          <t>芋了个芋的店</t>
        </is>
      </c>
      <c r="M4351">
        <v>20000</v>
      </c>
      <c r="N4351">
        <v>4.56</v>
      </c>
      <c r="O4351">
        <v>126000</v>
      </c>
      <c r="P4351" t="inlineStr">
        <is>
          <t>67c529e57198db000177cfca</t>
        </is>
      </c>
      <c r="Q4351" t="inlineStr">
        <is>
          <t>🚫重复</t>
        </is>
      </c>
      <c r="R4351" t="inlineStr">
        <is>
          <t>16周</t>
        </is>
      </c>
      <c r="S4351" t="inlineStr">
        <is>
          <t>1.25</t>
        </is>
      </c>
      <c r="T4351" t="inlineStr">
        <is>
          <t>服饰穿搭</t>
        </is>
      </c>
      <c r="U4351" t="inlineStr">
        <is>
          <t>女装</t>
        </is>
      </c>
      <c r="V4351" s="3">
        <v>46126.97719907408</v>
      </c>
      <c r="W4351" t="inlineStr">
        <is>
          <t>2026-Q2</t>
        </is>
      </c>
    </row>
    <row r="4352" ht="25.5" customHeight="1">
      <c r="A4352" t="inlineStr">
        <is>
          <t>【显瘦百搭】窄版直筒牛仔裤YKK拉链阔腿裤宽松休闲通勤百搭长裤</t>
        </is>
      </c>
      <c r="B4352" t="inlineStr">
        <is>
          <t>__upload_recvgMo2ZYoG7D.jpg</t>
        </is>
      </c>
      <c r="C4352" s="2" t="str">
        <f>=HYPERLINK("https://xhslink.com/m/2LS0OyhMPB8", "https://xhslink.com/m/2LS0OyhMPB8")</f>
        <v>https://xhslink.com/m/2LS0OyhMPB8</v>
      </c>
      <c r="D4352"/>
      <c r="E4352">
        <v>34000</v>
      </c>
      <c r="F4352">
        <v>109.99</v>
      </c>
      <c r="G4352">
        <v>89.99</v>
      </c>
      <c r="H4352">
        <v>100</v>
      </c>
      <c r="I4352" t="inlineStr">
        <is>
          <t>牛仔裤</t>
        </is>
      </c>
      <c r="J4352" t="inlineStr">
        <is>
          <t>0.00</t>
        </is>
      </c>
      <c r="K4352" t="inlineStr">
        <is>
          <t>🔥低粉爆款</t>
        </is>
      </c>
      <c r="L4352" t="inlineStr">
        <is>
          <t>小晴天1的店</t>
        </is>
      </c>
      <c r="M4352">
        <v>4411</v>
      </c>
      <c r="N4352">
        <v>4.4</v>
      </c>
      <c r="O4352">
        <v>70000</v>
      </c>
      <c r="P4352" t="inlineStr">
        <is>
          <t>67380c53afb6da00014d490d</t>
        </is>
      </c>
      <c r="Q4352" t="inlineStr">
        <is>
          <t>🚫重复</t>
        </is>
      </c>
      <c r="R4352" t="inlineStr">
        <is>
          <t>16周</t>
        </is>
      </c>
      <c r="S4352" t="inlineStr">
        <is>
          <t>7.71</t>
        </is>
      </c>
      <c r="T4352" t="inlineStr">
        <is>
          <t>服饰穿搭</t>
        </is>
      </c>
      <c r="U4352" t="inlineStr">
        <is>
          <t>女装</t>
        </is>
      </c>
      <c r="V4352" s="3">
        <v>46126.97719907408</v>
      </c>
      <c r="W4352" t="inlineStr">
        <is>
          <t>2026-Q2</t>
        </is>
      </c>
    </row>
    <row r="4353" ht="25.5" customHeight="1">
      <c r="A4353" t="inlineStr">
        <is>
          <t>黑色时尚微喇牛仔裤女2024爆款不贴腿高腰显瘦窄版阔腿宽松拖地裤</t>
        </is>
      </c>
      <c r="B4353" t="inlineStr">
        <is>
          <t>__upload_recvgMo2ZYeIWQ.jpg</t>
        </is>
      </c>
      <c r="C4353" s="2" t="str">
        <f>=HYPERLINK("https://xhslink.com/m/5g5foffTf3c", "https://xhslink.com/m/5g5foffTf3c")</f>
        <v>https://xhslink.com/m/5g5foffTf3c</v>
      </c>
      <c r="D4353"/>
      <c r="E4353">
        <v>29000</v>
      </c>
      <c r="F4353">
        <v>119.9</v>
      </c>
      <c r="G4353">
        <v>89.9</v>
      </c>
      <c r="H4353">
        <v>100</v>
      </c>
      <c r="I4353" t="inlineStr">
        <is>
          <t>牛仔裤</t>
        </is>
      </c>
      <c r="J4353" t="inlineStr">
        <is>
          <t>0.00</t>
        </is>
      </c>
      <c r="K4353"/>
      <c r="L4353" t="inlineStr">
        <is>
          <t>财气紫阿的店</t>
        </is>
      </c>
      <c r="M4353">
        <v>21000</v>
      </c>
      <c r="N4353">
        <v>4.55</v>
      </c>
      <c r="O4353">
        <v>119000</v>
      </c>
      <c r="P4353" t="inlineStr">
        <is>
          <t>66f05a50f5390a0001de2dcf</t>
        </is>
      </c>
      <c r="Q4353" t="inlineStr">
        <is>
          <t>🚫重复</t>
        </is>
      </c>
      <c r="R4353" t="inlineStr">
        <is>
          <t>16周</t>
        </is>
      </c>
      <c r="S4353" t="inlineStr">
        <is>
          <t>1.38</t>
        </is>
      </c>
      <c r="T4353" t="inlineStr">
        <is>
          <t>服饰穿搭</t>
        </is>
      </c>
      <c r="U4353" t="inlineStr">
        <is>
          <t>女装</t>
        </is>
      </c>
      <c r="V4353" s="3">
        <v>46126.97719907408</v>
      </c>
      <c r="W4353" t="inlineStr">
        <is>
          <t>2026-Q2</t>
        </is>
      </c>
    </row>
    <row r="4354" ht="25.5" customHeight="1">
      <c r="A4354" t="inlineStr">
        <is>
          <t>大漂亮 美式咖色直筒牛仔裤春夏百搭宽松阔腿显瘦高腰休闲裤子</t>
        </is>
      </c>
      <c r="B4354" t="inlineStr">
        <is>
          <t>__upload_recvgMo2ZY3umH.jpg</t>
        </is>
      </c>
      <c r="C4354" s="2" t="str">
        <f>=HYPERLINK("https://xhslink.com/m/84wFycvd8u2", "https://xhslink.com/m/84wFycvd8u2")</f>
        <v>https://xhslink.com/m/84wFycvd8u2</v>
      </c>
      <c r="D4354"/>
      <c r="E4354">
        <v>26000</v>
      </c>
      <c r="F4354">
        <v>119</v>
      </c>
      <c r="G4354">
        <v>89</v>
      </c>
      <c r="H4354">
        <v>100</v>
      </c>
      <c r="I4354" t="inlineStr">
        <is>
          <t>牛仔裤</t>
        </is>
      </c>
      <c r="J4354" t="inlineStr">
        <is>
          <t>0.00</t>
        </is>
      </c>
      <c r="K4354"/>
      <c r="L4354" t="inlineStr">
        <is>
          <t>总是被夸漂亮的店</t>
        </is>
      </c>
      <c r="M4354">
        <v>34000</v>
      </c>
      <c r="N4354">
        <v>4.41</v>
      </c>
      <c r="O4354">
        <v>227000</v>
      </c>
      <c r="P4354" t="inlineStr">
        <is>
          <t>699f12f6b90bc50001658334</t>
        </is>
      </c>
      <c r="Q4354" t="inlineStr">
        <is>
          <t>🚫重复</t>
        </is>
      </c>
      <c r="R4354" t="inlineStr">
        <is>
          <t>16周</t>
        </is>
      </c>
      <c r="S4354" t="inlineStr">
        <is>
          <t>0.76</t>
        </is>
      </c>
      <c r="T4354" t="inlineStr">
        <is>
          <t>服饰穿搭</t>
        </is>
      </c>
      <c r="U4354" t="inlineStr">
        <is>
          <t>女装</t>
        </is>
      </c>
      <c r="V4354" s="3">
        <v>46126.97719907408</v>
      </c>
      <c r="W4354" t="inlineStr">
        <is>
          <t>2026-Q2</t>
        </is>
      </c>
    </row>
    <row r="4355" ht="25.5" customHeight="1">
      <c r="A4355" t="inlineStr">
        <is>
          <t>&lt;牛仔1&gt; 复古 做旧 低腰 拖地 微喇 弹力 不贴腿牛仔裤</t>
        </is>
      </c>
      <c r="B4355" t="inlineStr">
        <is>
          <t>__upload_recvgMo2ZYoOgE.jpg</t>
        </is>
      </c>
      <c r="C4355" s="2" t="str">
        <f>=HYPERLINK("https://xhslink.com/m/AsjsB3wmIzk", "https://xhslink.com/m/AsjsB3wmIzk")</f>
        <v>https://xhslink.com/m/AsjsB3wmIzk</v>
      </c>
      <c r="D4355"/>
      <c r="E4355">
        <v>24000</v>
      </c>
      <c r="F4355">
        <v>139</v>
      </c>
      <c r="G4355">
        <v>119</v>
      </c>
      <c r="H4355">
        <v>100</v>
      </c>
      <c r="I4355" t="inlineStr">
        <is>
          <t>牛仔裤</t>
        </is>
      </c>
      <c r="J4355" t="inlineStr">
        <is>
          <t>0.00</t>
        </is>
      </c>
      <c r="K4355" t="inlineStr">
        <is>
          <t>🔥低粉爆款</t>
        </is>
      </c>
      <c r="L4355" t="inlineStr">
        <is>
          <t>茉莉乳酪麻薯条的店</t>
        </is>
      </c>
      <c r="M4355">
        <v>1604</v>
      </c>
      <c r="N4355">
        <v>4.61</v>
      </c>
      <c r="O4355">
        <v>25000</v>
      </c>
      <c r="P4355" t="inlineStr">
        <is>
          <t>6543676944b73000014b57a8</t>
        </is>
      </c>
      <c r="Q4355" t="inlineStr">
        <is>
          <t>🚫重复</t>
        </is>
      </c>
      <c r="R4355" t="inlineStr">
        <is>
          <t>16周</t>
        </is>
      </c>
      <c r="S4355" t="inlineStr">
        <is>
          <t>14.96</t>
        </is>
      </c>
      <c r="T4355" t="inlineStr">
        <is>
          <t>服饰穿搭</t>
        </is>
      </c>
      <c r="U4355" t="inlineStr">
        <is>
          <t>女装</t>
        </is>
      </c>
      <c r="V4355" s="3">
        <v>46126.97719907408</v>
      </c>
      <c r="W4355" t="inlineStr">
        <is>
          <t>2026-Q2</t>
        </is>
      </c>
    </row>
    <row r="4356" ht="25.5" customHeight="1">
      <c r="A4356" t="inlineStr">
        <is>
          <t>【摩天轮】浅蓝色牛仔裤 ~阔腿裤子女2025春季新款宽松显瘦垂坠感</t>
        </is>
      </c>
      <c r="B4356" t="inlineStr">
        <is>
          <t>__upload_recvgMo2ZYZrod.jpg</t>
        </is>
      </c>
      <c r="C4356" s="2" t="str">
        <f>=HYPERLINK("https://xhslink.com/m/1Oi9HbZuSR2", "https://xhslink.com/m/1Oi9HbZuSR2")</f>
        <v>https://xhslink.com/m/1Oi9HbZuSR2</v>
      </c>
      <c r="D4356"/>
      <c r="E4356">
        <v>6366</v>
      </c>
      <c r="F4356">
        <v>89.9</v>
      </c>
      <c r="G4356">
        <v>79.9</v>
      </c>
      <c r="H4356">
        <v>100</v>
      </c>
      <c r="I4356" t="inlineStr">
        <is>
          <t>牛仔裤</t>
        </is>
      </c>
      <c r="J4356" t="inlineStr">
        <is>
          <t>0.02</t>
        </is>
      </c>
      <c r="K4356"/>
      <c r="L4356" t="inlineStr">
        <is>
          <t>苏玥玥小个子穿搭的店</t>
        </is>
      </c>
      <c r="M4356">
        <v>9959</v>
      </c>
      <c r="N4356">
        <v>4.63</v>
      </c>
      <c r="O4356">
        <v>135000</v>
      </c>
      <c r="P4356" t="inlineStr">
        <is>
          <t>681395c070bae10001d68053</t>
        </is>
      </c>
      <c r="Q4356" t="inlineStr">
        <is>
          <t>🚫重复</t>
        </is>
      </c>
      <c r="R4356" t="inlineStr">
        <is>
          <t>16周</t>
        </is>
      </c>
      <c r="S4356" t="inlineStr">
        <is>
          <t>0.64</t>
        </is>
      </c>
      <c r="T4356" t="inlineStr">
        <is>
          <t>服饰穿搭</t>
        </is>
      </c>
      <c r="U4356" t="inlineStr">
        <is>
          <t>女装</t>
        </is>
      </c>
      <c r="V4356" s="3">
        <v>46126.97719907408</v>
      </c>
      <c r="W4356" t="inlineStr">
        <is>
          <t>2026-Q2</t>
        </is>
      </c>
    </row>
    <row r="4357" ht="25.5" customHeight="1">
      <c r="A4357" t="inlineStr">
        <is>
          <t>浅蓝色微喇牛仔裤女2026春夏新款中低腰宽松显瘦百搭弹力喇叭裤子</t>
        </is>
      </c>
      <c r="B4357" t="inlineStr">
        <is>
          <t>__upload_recvgMo2ZYygs5.jpg</t>
        </is>
      </c>
      <c r="C4357" s="2" t="str">
        <f>=HYPERLINK("https://xhslink.com/m/5w30STUdIZz", "https://xhslink.com/m/5w30STUdIZz")</f>
        <v>https://xhslink.com/m/5w30STUdIZz</v>
      </c>
      <c r="D4357"/>
      <c r="E4357">
        <v>16000</v>
      </c>
      <c r="F4357">
        <v>109</v>
      </c>
      <c r="G4357">
        <v>78</v>
      </c>
      <c r="H4357">
        <v>100</v>
      </c>
      <c r="I4357" t="inlineStr">
        <is>
          <t>牛仔裤</t>
        </is>
      </c>
      <c r="J4357" t="inlineStr">
        <is>
          <t>0.01</t>
        </is>
      </c>
      <c r="K4357"/>
      <c r="L4357" t="inlineStr">
        <is>
          <t>圈圈不转圈⭕的店</t>
        </is>
      </c>
      <c r="M4357">
        <v>34000</v>
      </c>
      <c r="N4357">
        <v>4.45</v>
      </c>
      <c r="O4357">
        <v>253000</v>
      </c>
      <c r="P4357" t="inlineStr">
        <is>
          <t>67f4ea09ab6a3e0001e71e43</t>
        </is>
      </c>
      <c r="Q4357" t="inlineStr">
        <is>
          <t>🚫重复</t>
        </is>
      </c>
      <c r="R4357" t="inlineStr">
        <is>
          <t>16周</t>
        </is>
      </c>
      <c r="S4357" t="inlineStr">
        <is>
          <t>0.47</t>
        </is>
      </c>
      <c r="T4357" t="inlineStr">
        <is>
          <t>服饰穿搭</t>
        </is>
      </c>
      <c r="U4357" t="inlineStr">
        <is>
          <t>女装</t>
        </is>
      </c>
      <c r="V4357" s="3">
        <v>46126.97719907408</v>
      </c>
      <c r="W4357" t="inlineStr">
        <is>
          <t>2026-Q2</t>
        </is>
      </c>
    </row>
    <row r="4358" ht="25.5" customHeight="1">
      <c r="A4358" t="inlineStr">
        <is>
          <t>【一穿就会爱上】美式复古高腰阔腿裤直筒七分裤牛仔裤女裤</t>
        </is>
      </c>
      <c r="B4358" t="inlineStr">
        <is>
          <t>__upload_recvgMo2ZY9JJL.jpg</t>
        </is>
      </c>
      <c r="C4358" s="2" t="str">
        <f>=HYPERLINK("https://xhslink.com/m/6S6irwu3mAr", "https://xhslink.com/m/6S6irwu3mAr")</f>
        <v>https://xhslink.com/m/6S6irwu3mAr</v>
      </c>
      <c r="D4358"/>
      <c r="E4358">
        <v>5213</v>
      </c>
      <c r="F4358">
        <v>108</v>
      </c>
      <c r="G4358">
        <v>78</v>
      </c>
      <c r="H4358">
        <v>100</v>
      </c>
      <c r="I4358" t="inlineStr">
        <is>
          <t>牛仔裤</t>
        </is>
      </c>
      <c r="J4358" t="inlineStr">
        <is>
          <t>0.02</t>
        </is>
      </c>
      <c r="K4358" t="inlineStr">
        <is>
          <t>🔥低粉爆款</t>
        </is>
      </c>
      <c r="L4358" t="inlineStr">
        <is>
          <t>没有双眼皮呀的店</t>
        </is>
      </c>
      <c r="M4358">
        <v>467</v>
      </c>
      <c r="N4358">
        <v>4.6</v>
      </c>
      <c r="O4358">
        <v>24000</v>
      </c>
      <c r="P4358" t="inlineStr">
        <is>
          <t>683d2106317c900001afffdc</t>
        </is>
      </c>
      <c r="Q4358" t="inlineStr">
        <is>
          <t>🚫重复</t>
        </is>
      </c>
      <c r="R4358" t="inlineStr">
        <is>
          <t>16周</t>
        </is>
      </c>
      <c r="S4358" t="inlineStr">
        <is>
          <t>11.16</t>
        </is>
      </c>
      <c r="T4358" t="inlineStr">
        <is>
          <t>服饰穿搭</t>
        </is>
      </c>
      <c r="U4358" t="inlineStr">
        <is>
          <t>女装</t>
        </is>
      </c>
      <c r="V4358" s="3">
        <v>46126.97719907408</v>
      </c>
      <c r="W4358" t="inlineStr">
        <is>
          <t>2026-Q2</t>
        </is>
      </c>
    </row>
    <row r="4359" ht="25.5" customHeight="1">
      <c r="A4359" t="inlineStr">
        <is>
          <t>新款牛仔裤浅色2026春夏季长裤高腰梨形显瘦裤子女垂感宽松直筒裤</t>
        </is>
      </c>
      <c r="B4359" t="inlineStr">
        <is>
          <t>__upload_recvgMo2ZYHkHq.jpg</t>
        </is>
      </c>
      <c r="C4359" s="2" t="str">
        <f>=HYPERLINK("https://xhslink.com/m/1TeaRWuc46J", "https://xhslink.com/m/1TeaRWuc46J")</f>
        <v>https://xhslink.com/m/1TeaRWuc46J</v>
      </c>
      <c r="D4359"/>
      <c r="E4359">
        <v>5762</v>
      </c>
      <c r="F4359">
        <v>119.8</v>
      </c>
      <c r="G4359">
        <v>109.8</v>
      </c>
      <c r="H4359">
        <v>100</v>
      </c>
      <c r="I4359" t="inlineStr">
        <is>
          <t>牛仔裤</t>
        </is>
      </c>
      <c r="J4359" t="inlineStr">
        <is>
          <t>0.02</t>
        </is>
      </c>
      <c r="K4359"/>
      <c r="L4359" t="inlineStr">
        <is>
          <t>165的皮卡丘的店</t>
        </is>
      </c>
      <c r="M4359">
        <v>16000</v>
      </c>
      <c r="N4359">
        <v>4.59</v>
      </c>
      <c r="O4359">
        <v>109000</v>
      </c>
      <c r="P4359" t="inlineStr">
        <is>
          <t>673749aabf5b2400011a4bad</t>
        </is>
      </c>
      <c r="Q4359" t="inlineStr">
        <is>
          <t>🚫重复</t>
        </is>
      </c>
      <c r="R4359" t="inlineStr">
        <is>
          <t>16周</t>
        </is>
      </c>
      <c r="S4359" t="inlineStr">
        <is>
          <t>0.36</t>
        </is>
      </c>
      <c r="T4359" t="inlineStr">
        <is>
          <t>服饰穿搭</t>
        </is>
      </c>
      <c r="U4359" t="inlineStr">
        <is>
          <t>女装</t>
        </is>
      </c>
      <c r="V4359" s="3">
        <v>46126.97719907408</v>
      </c>
      <c r="W4359" t="inlineStr">
        <is>
          <t>2026-Q2</t>
        </is>
      </c>
    </row>
    <row r="4360" ht="25.5" customHeight="1">
      <c r="A4360" t="inlineStr">
        <is>
          <t>twosweet · 腿直新高度升级窄版美式高腰牛仔裤弹性堆堆直筒长裤浅蓝</t>
        </is>
      </c>
      <c r="B4360" t="inlineStr">
        <is>
          <t>__upload_recvgMo2ZYTkP1.jpg</t>
        </is>
      </c>
      <c r="C4360" s="2" t="str">
        <f>=HYPERLINK("https://xhslink.com/m/130OnjBnJxy", "https://xhslink.com/m/130OnjBnJxy")</f>
        <v>https://xhslink.com/m/130OnjBnJxy</v>
      </c>
      <c r="D4360"/>
      <c r="E4360">
        <v>7667</v>
      </c>
      <c r="F4360">
        <v>199</v>
      </c>
      <c r="G4360">
        <v>175</v>
      </c>
      <c r="H4360">
        <v>100</v>
      </c>
      <c r="I4360" t="inlineStr">
        <is>
          <t>牛仔裤</t>
        </is>
      </c>
      <c r="J4360" t="inlineStr">
        <is>
          <t>0.01</t>
        </is>
      </c>
      <c r="K4360"/>
      <c r="L4360" t="inlineStr">
        <is>
          <t>twosweet旗舰店</t>
        </is>
      </c>
      <c r="M4360">
        <v>16000</v>
      </c>
      <c r="N4360">
        <v>4.68</v>
      </c>
      <c r="O4360">
        <v>66000</v>
      </c>
      <c r="P4360" t="inlineStr">
        <is>
          <t>646c3233d171fa00017ef5da</t>
        </is>
      </c>
      <c r="Q4360" t="inlineStr">
        <is>
          <t>🚫重复</t>
        </is>
      </c>
      <c r="R4360" t="inlineStr">
        <is>
          <t>16周</t>
        </is>
      </c>
      <c r="S4360" t="inlineStr">
        <is>
          <t>0.48</t>
        </is>
      </c>
      <c r="T4360" t="inlineStr">
        <is>
          <t>服饰穿搭</t>
        </is>
      </c>
      <c r="U4360" t="inlineStr">
        <is>
          <t>女装</t>
        </is>
      </c>
      <c r="V4360" s="3">
        <v>46126.97719907408</v>
      </c>
      <c r="W4360" t="inlineStr">
        <is>
          <t>2026-Q2</t>
        </is>
      </c>
    </row>
    <row r="4361" ht="25.5" customHeight="1">
      <c r="A4361" t="inlineStr">
        <is>
          <t>2026升级版！经典九分直筒牛仔裤</t>
        </is>
      </c>
      <c r="B4361" t="inlineStr">
        <is>
          <t>__upload_recvgMo2ZY7Buk.jpg</t>
        </is>
      </c>
      <c r="C4361" s="2" t="str">
        <f>=HYPERLINK("https://xhslink.com/m/7BPcP79veuD", "https://xhslink.com/m/7BPcP79veuD")</f>
        <v>https://xhslink.com/m/7BPcP79veuD</v>
      </c>
      <c r="D4361"/>
      <c r="E4361">
        <v>16000</v>
      </c>
      <c r="F4361">
        <v>388</v>
      </c>
      <c r="G4361"/>
      <c r="H4361">
        <v>100</v>
      </c>
      <c r="I4361" t="inlineStr">
        <is>
          <t>牛仔裤</t>
        </is>
      </c>
      <c r="J4361" t="inlineStr">
        <is>
          <t>0.01</t>
        </is>
      </c>
      <c r="K4361"/>
      <c r="L4361" t="inlineStr">
        <is>
          <t>高坂大叔的店</t>
        </is>
      </c>
      <c r="M4361">
        <v>115000</v>
      </c>
      <c r="N4361">
        <v>4.76</v>
      </c>
      <c r="O4361">
        <v>468000</v>
      </c>
      <c r="P4361" t="inlineStr">
        <is>
          <t>6854c3efd67cc200010faa5a</t>
        </is>
      </c>
      <c r="Q4361" t="inlineStr">
        <is>
          <t>🚫重复</t>
        </is>
      </c>
      <c r="R4361" t="inlineStr">
        <is>
          <t>16周</t>
        </is>
      </c>
      <c r="S4361" t="inlineStr">
        <is>
          <t>0.14</t>
        </is>
      </c>
      <c r="T4361" t="inlineStr">
        <is>
          <t>服饰穿搭</t>
        </is>
      </c>
      <c r="U4361" t="inlineStr">
        <is>
          <t>女装</t>
        </is>
      </c>
      <c r="V4361" s="3">
        <v>46126.97719907408</v>
      </c>
      <c r="W4361" t="inlineStr">
        <is>
          <t>2026-Q2</t>
        </is>
      </c>
    </row>
    <row r="4362" ht="25.5" customHeight="1">
      <c r="A4362" t="inlineStr">
        <is>
          <t>TailorMom【女团牛仔裤】不加绒韩系水洗猫须纹微喇牛仔裤女春显</t>
        </is>
      </c>
      <c r="B4362" t="inlineStr">
        <is>
          <t>__upload_recvgMo2ZYr7oV.jpg</t>
        </is>
      </c>
      <c r="C4362" s="2" t="str">
        <f>=HYPERLINK("https://xhslink.com/m/4S3RKGuUMV2", "https://xhslink.com/m/4S3RKGuUMV2")</f>
        <v>https://xhslink.com/m/4S3RKGuUMV2</v>
      </c>
      <c r="D4362"/>
      <c r="E4362">
        <v>4571</v>
      </c>
      <c r="F4362">
        <v>223</v>
      </c>
      <c r="G4362">
        <v>198.47</v>
      </c>
      <c r="H4362">
        <v>100</v>
      </c>
      <c r="I4362" t="inlineStr">
        <is>
          <t>牛仔裤</t>
        </is>
      </c>
      <c r="J4362" t="inlineStr">
        <is>
          <t>0.02</t>
        </is>
      </c>
      <c r="K4362"/>
      <c r="L4362" t="inlineStr">
        <is>
          <t>TailorMom的店</t>
        </is>
      </c>
      <c r="M4362">
        <v>73000</v>
      </c>
      <c r="N4362">
        <v>4.71</v>
      </c>
      <c r="O4362">
        <v>138000</v>
      </c>
      <c r="P4362" t="inlineStr">
        <is>
          <t>6960dd33f7aaae000168a0a8</t>
        </is>
      </c>
      <c r="Q4362"/>
      <c r="R4362" t="inlineStr">
        <is>
          <t>16周</t>
        </is>
      </c>
      <c r="S4362" t="inlineStr">
        <is>
          <t>0.06</t>
        </is>
      </c>
      <c r="T4362" t="inlineStr">
        <is>
          <t>服饰穿搭</t>
        </is>
      </c>
      <c r="U4362" t="inlineStr">
        <is>
          <t>女装</t>
        </is>
      </c>
      <c r="V4362" s="3">
        <v>46126.97719907408</v>
      </c>
      <c r="W4362" t="inlineStr">
        <is>
          <t>2026-Q2</t>
        </is>
      </c>
    </row>
    <row r="4363" ht="25.5" customHeight="1">
      <c r="A4363" t="inlineStr">
        <is>
          <t>AUTUZCCI · 松弛感|裸感软面料新款牛仔裤女宽松垂感拖地阔腿裤小个子7498</t>
        </is>
      </c>
      <c r="B4363" t="inlineStr">
        <is>
          <t>__upload_recvgMo2ZYpCVi.jpg</t>
        </is>
      </c>
      <c r="C4363" s="2" t="str">
        <f>=HYPERLINK("https://xhslink.com/m/2kCa2lK6hFK", "https://xhslink.com/m/2kCa2lK6hFK")</f>
        <v>https://xhslink.com/m/2kCa2lK6hFK</v>
      </c>
      <c r="D4363"/>
      <c r="E4363">
        <v>5708</v>
      </c>
      <c r="F4363">
        <v>179</v>
      </c>
      <c r="G4363"/>
      <c r="H4363">
        <v>100</v>
      </c>
      <c r="I4363" t="inlineStr">
        <is>
          <t>牛仔裤</t>
        </is>
      </c>
      <c r="J4363" t="inlineStr">
        <is>
          <t>0.02</t>
        </is>
      </c>
      <c r="K4363"/>
      <c r="L4363" t="inlineStr">
        <is>
          <t>AUTUZCCI的店</t>
        </is>
      </c>
      <c r="M4363">
        <v>32000</v>
      </c>
      <c r="N4363">
        <v>4.54</v>
      </c>
      <c r="O4363">
        <v>86000</v>
      </c>
      <c r="P4363" t="inlineStr">
        <is>
          <t>6898673602d7b00001809ada</t>
        </is>
      </c>
      <c r="Q4363" t="inlineStr">
        <is>
          <t>🚫重复</t>
        </is>
      </c>
      <c r="R4363" t="inlineStr">
        <is>
          <t>16周</t>
        </is>
      </c>
      <c r="S4363" t="inlineStr">
        <is>
          <t>0.18</t>
        </is>
      </c>
      <c r="T4363" t="inlineStr">
        <is>
          <t>服饰穿搭</t>
        </is>
      </c>
      <c r="U4363" t="inlineStr">
        <is>
          <t>女装</t>
        </is>
      </c>
      <c r="V4363" s="3">
        <v>46126.97719907408</v>
      </c>
      <c r="W4363" t="inlineStr">
        <is>
          <t>2026-Q2</t>
        </is>
      </c>
    </row>
    <row r="4364" ht="25.5" customHeight="1">
      <c r="A4364" t="inlineStr">
        <is>
          <t>意大利原色直筒牛仔裤</t>
        </is>
      </c>
      <c r="B4364" t="inlineStr">
        <is>
          <t>__upload_recvgMo2ZYRDHI.jpg</t>
        </is>
      </c>
      <c r="C4364" s="2" t="str">
        <f>=HYPERLINK("https://xhslink.com/m/5jwgfSMpuzq", "https://xhslink.com/m/5jwgfSMpuzq")</f>
        <v>https://xhslink.com/m/5jwgfSMpuzq</v>
      </c>
      <c r="D4364"/>
      <c r="E4364">
        <v>10000</v>
      </c>
      <c r="F4364">
        <v>588</v>
      </c>
      <c r="G4364"/>
      <c r="H4364">
        <v>100</v>
      </c>
      <c r="I4364" t="inlineStr">
        <is>
          <t>牛仔裤</t>
        </is>
      </c>
      <c r="J4364" t="inlineStr">
        <is>
          <t>0.01</t>
        </is>
      </c>
      <c r="K4364"/>
      <c r="L4364" t="inlineStr">
        <is>
          <t>高坂大叔的店</t>
        </is>
      </c>
      <c r="M4364">
        <v>115000</v>
      </c>
      <c r="N4364">
        <v>4.76</v>
      </c>
      <c r="O4364">
        <v>468000</v>
      </c>
      <c r="P4364" t="inlineStr">
        <is>
          <t>686215c26256090001d272b0</t>
        </is>
      </c>
      <c r="Q4364" t="inlineStr">
        <is>
          <t>🚫重复</t>
        </is>
      </c>
      <c r="R4364" t="inlineStr">
        <is>
          <t>16周</t>
        </is>
      </c>
      <c r="S4364" t="inlineStr">
        <is>
          <t>0.09</t>
        </is>
      </c>
      <c r="T4364" t="inlineStr">
        <is>
          <t>服饰穿搭</t>
        </is>
      </c>
      <c r="U4364" t="inlineStr">
        <is>
          <t>女装</t>
        </is>
      </c>
      <c r="V4364" s="3">
        <v>46126.97719907408</v>
      </c>
      <c r="W4364" t="inlineStr">
        <is>
          <t>2026-Q2</t>
        </is>
      </c>
    </row>
    <row r="4365" ht="25.5" customHeight="1">
      <c r="A4365" t="inlineStr">
        <is>
          <t>【微喇牛仔裤】提臀高端浅深蓝版型好修身瘦腿喇叭白色裤子女春季</t>
        </is>
      </c>
      <c r="B4365" t="inlineStr">
        <is>
          <t>__upload_recvgMo2ZYSweM.jpg</t>
        </is>
      </c>
      <c r="C4365" s="2" t="str">
        <f>=HYPERLINK("https://xhslink.com/m/3Ml7WJ1PkKl", "https://xhslink.com/m/3Ml7WJ1PkKl")</f>
        <v>https://xhslink.com/m/3Ml7WJ1PkKl</v>
      </c>
      <c r="D4365"/>
      <c r="E4365">
        <v>15000</v>
      </c>
      <c r="F4365">
        <v>288</v>
      </c>
      <c r="G4365"/>
      <c r="H4365">
        <v>100</v>
      </c>
      <c r="I4365" t="inlineStr">
        <is>
          <t>牛仔裤</t>
        </is>
      </c>
      <c r="J4365" t="inlineStr">
        <is>
          <t>0.01</t>
        </is>
      </c>
      <c r="K4365" t="inlineStr">
        <is>
          <t>🔥低粉爆款</t>
        </is>
      </c>
      <c r="L4365" t="inlineStr">
        <is>
          <t>泡儿的店</t>
        </is>
      </c>
      <c r="M4365">
        <v>3638</v>
      </c>
      <c r="N4365">
        <v>4.56</v>
      </c>
      <c r="O4365">
        <v>39000</v>
      </c>
      <c r="P4365" t="inlineStr">
        <is>
          <t>673f0e20c14a2d0001ff52a3</t>
        </is>
      </c>
      <c r="Q4365" t="inlineStr">
        <is>
          <t>🚫重复</t>
        </is>
      </c>
      <c r="R4365" t="inlineStr">
        <is>
          <t>16周</t>
        </is>
      </c>
      <c r="S4365" t="inlineStr">
        <is>
          <t>4.12</t>
        </is>
      </c>
      <c r="T4365" t="inlineStr">
        <is>
          <t>服饰穿搭</t>
        </is>
      </c>
      <c r="U4365" t="inlineStr">
        <is>
          <t>女装</t>
        </is>
      </c>
      <c r="V4365" s="3">
        <v>46126.97719907408</v>
      </c>
      <c r="W4365" t="inlineStr">
        <is>
          <t>2026-Q2</t>
        </is>
      </c>
    </row>
    <row r="4366" ht="25.5" customHeight="1">
      <c r="A4366" t="inlineStr">
        <is>
          <t>美式复古微喇牛仔裤女低腰修身显瘦铆钉设计感不贴腿拖地马蹄长裤</t>
        </is>
      </c>
      <c r="B4366" t="inlineStr">
        <is>
          <t>__upload_recvgMo2ZY1Uqb.jpg</t>
        </is>
      </c>
      <c r="C4366" s="2" t="str">
        <f>=HYPERLINK("https://xhslink.com/m/OKeqEm80A4", "https://xhslink.com/m/OKeqEm80A4")</f>
        <v>https://xhslink.com/m/OKeqEm80A4</v>
      </c>
      <c r="D4366"/>
      <c r="E4366">
        <v>2119</v>
      </c>
      <c r="F4366">
        <v>139</v>
      </c>
      <c r="G4366"/>
      <c r="H4366">
        <v>100</v>
      </c>
      <c r="I4366" t="inlineStr">
        <is>
          <t>牛仔裤</t>
        </is>
      </c>
      <c r="J4366" t="inlineStr">
        <is>
          <t>0.05</t>
        </is>
      </c>
      <c r="K4366"/>
      <c r="L4366" t="inlineStr">
        <is>
          <t>LILI历历-的店</t>
        </is>
      </c>
      <c r="M4366">
        <v>3924</v>
      </c>
      <c r="N4366">
        <v>4.62</v>
      </c>
      <c r="O4366">
        <v>8229</v>
      </c>
      <c r="P4366" t="inlineStr">
        <is>
          <t>693d11ab79e4100015704105</t>
        </is>
      </c>
      <c r="Q4366"/>
      <c r="R4366" t="inlineStr">
        <is>
          <t>16周</t>
        </is>
      </c>
      <c r="S4366" t="inlineStr">
        <is>
          <t>0.54</t>
        </is>
      </c>
      <c r="T4366" t="inlineStr">
        <is>
          <t>服饰穿搭</t>
        </is>
      </c>
      <c r="U4366" t="inlineStr">
        <is>
          <t>女装</t>
        </is>
      </c>
      <c r="V4366" s="3">
        <v>46126.97719907408</v>
      </c>
      <c r="W4366" t="inlineStr">
        <is>
          <t>2026-Q2</t>
        </is>
      </c>
    </row>
    <row r="4367" ht="25.5" customHeight="1">
      <c r="A4367" t="inlineStr">
        <is>
          <t>WR · 镇店之宝!显瘦～春季休闲风高腰宽松阔腿九分牛仔裤女显瘦奶奶裤</t>
        </is>
      </c>
      <c r="B4367" t="inlineStr">
        <is>
          <t>__upload_recvgMo2ZYlxJH.jpg</t>
        </is>
      </c>
      <c r="C4367" s="2" t="str">
        <f>=HYPERLINK("https://xhslink.com/m/1idrEMixpvZ", "https://xhslink.com/m/1idrEMixpvZ")</f>
        <v>https://xhslink.com/m/1idrEMixpvZ</v>
      </c>
      <c r="D4367"/>
      <c r="E4367">
        <v>9095</v>
      </c>
      <c r="F4367">
        <v>325</v>
      </c>
      <c r="G4367"/>
      <c r="H4367">
        <v>100</v>
      </c>
      <c r="I4367" t="inlineStr">
        <is>
          <t>牛仔裤</t>
        </is>
      </c>
      <c r="J4367" t="inlineStr">
        <is>
          <t>0.01</t>
        </is>
      </c>
      <c r="K4367"/>
      <c r="L4367" t="inlineStr">
        <is>
          <t>WR旗舰店</t>
        </is>
      </c>
      <c r="M4367">
        <v>10000</v>
      </c>
      <c r="N4367">
        <v>4.48</v>
      </c>
      <c r="O4367">
        <v>72000</v>
      </c>
      <c r="P4367" t="inlineStr">
        <is>
          <t>68a486cfb7465e0001469e4f</t>
        </is>
      </c>
      <c r="Q4367"/>
      <c r="R4367" t="inlineStr">
        <is>
          <t>16周</t>
        </is>
      </c>
      <c r="S4367" t="inlineStr">
        <is>
          <t>0.91</t>
        </is>
      </c>
      <c r="T4367" t="inlineStr">
        <is>
          <t>服饰穿搭</t>
        </is>
      </c>
      <c r="U4367" t="inlineStr">
        <is>
          <t>女装</t>
        </is>
      </c>
      <c r="V4367" s="3">
        <v>46126.97719907408</v>
      </c>
      <c r="W4367" t="inlineStr">
        <is>
          <t>2026-Q2</t>
        </is>
      </c>
    </row>
    <row r="4368" ht="25.5" customHeight="1">
      <c r="A4368" t="inlineStr">
        <is>
          <t>张张自喜【做旧感】美式复古水洗做旧直筒百搭显瘦牛仔裤</t>
        </is>
      </c>
      <c r="B4368" t="inlineStr">
        <is>
          <t>__upload_recvgMo2ZYU0Bp.jpg</t>
        </is>
      </c>
      <c r="C4368" s="2" t="str">
        <f>=HYPERLINK("https://xhslink.com/m/HPNR1PJNin", "https://xhslink.com/m/HPNR1PJNin")</f>
        <v>https://xhslink.com/m/HPNR1PJNin</v>
      </c>
      <c r="D4368"/>
      <c r="E4368">
        <v>1404</v>
      </c>
      <c r="F4368">
        <v>459</v>
      </c>
      <c r="G4368">
        <v>169</v>
      </c>
      <c r="H4368">
        <v>100</v>
      </c>
      <c r="I4368" t="inlineStr">
        <is>
          <t>牛仔裤</t>
        </is>
      </c>
      <c r="J4368" t="inlineStr">
        <is>
          <t>0.07</t>
        </is>
      </c>
      <c r="K4368"/>
      <c r="L4368" t="inlineStr">
        <is>
          <t>张张自喜studio的店</t>
        </is>
      </c>
      <c r="M4368">
        <v>86000</v>
      </c>
      <c r="N4368">
        <v>4.5</v>
      </c>
      <c r="O4368">
        <v>153000</v>
      </c>
      <c r="P4368" t="inlineStr">
        <is>
          <t>69c928cb51d7aa00016ff196</t>
        </is>
      </c>
      <c r="Q4368" t="inlineStr">
        <is>
          <t>🚫重复</t>
        </is>
      </c>
      <c r="R4368" t="inlineStr">
        <is>
          <t>16周</t>
        </is>
      </c>
      <c r="S4368" t="inlineStr">
        <is>
          <t>0.02</t>
        </is>
      </c>
      <c r="T4368" t="inlineStr">
        <is>
          <t>服饰穿搭</t>
        </is>
      </c>
      <c r="U4368" t="inlineStr">
        <is>
          <t>女装</t>
        </is>
      </c>
      <c r="V4368" s="3">
        <v>46126.97719907408</v>
      </c>
      <c r="W4368" t="inlineStr">
        <is>
          <t>2026-Q2</t>
        </is>
      </c>
    </row>
    <row r="4369" ht="25.5" customHeight="1">
      <c r="A4369" t="inlineStr">
        <is>
          <t>春夏新款美式复古水洗做旧高腰阔腿牛仔裤女显瘦垂感微喇拖地裤</t>
        </is>
      </c>
      <c r="B4369" t="inlineStr">
        <is>
          <t>__upload_recvgMo2ZY1EI8.jpg</t>
        </is>
      </c>
      <c r="C4369" s="2" t="str">
        <f>=HYPERLINK("https://xhslink.com/m/1rnTO9OKHVh", "https://xhslink.com/m/1rnTO9OKHVh")</f>
        <v>https://xhslink.com/m/1rnTO9OKHVh</v>
      </c>
      <c r="D4369"/>
      <c r="E4369">
        <v>684</v>
      </c>
      <c r="F4369">
        <v>135</v>
      </c>
      <c r="G4369"/>
      <c r="H4369">
        <v>100</v>
      </c>
      <c r="I4369" t="inlineStr">
        <is>
          <t>牛仔裤</t>
        </is>
      </c>
      <c r="J4369" t="inlineStr">
        <is>
          <t>0.15</t>
        </is>
      </c>
      <c r="K4369"/>
      <c r="L4369" t="inlineStr">
        <is>
          <t>UUUU米的店</t>
        </is>
      </c>
      <c r="M4369">
        <v>2507</v>
      </c>
      <c r="N4369">
        <v>4.52</v>
      </c>
      <c r="O4369">
        <v>2905</v>
      </c>
      <c r="P4369" t="inlineStr">
        <is>
          <t>6937d18919f8df00152766d0</t>
        </is>
      </c>
      <c r="Q4369" t="inlineStr">
        <is>
          <t>🚫重复</t>
        </is>
      </c>
      <c r="R4369" t="inlineStr">
        <is>
          <t>16周</t>
        </is>
      </c>
      <c r="S4369" t="inlineStr">
        <is>
          <t>0.27</t>
        </is>
      </c>
      <c r="T4369" t="inlineStr">
        <is>
          <t>服饰穿搭</t>
        </is>
      </c>
      <c r="U4369" t="inlineStr">
        <is>
          <t>女装</t>
        </is>
      </c>
      <c r="V4369" s="3">
        <v>46126.97719907408</v>
      </c>
      <c r="W4369" t="inlineStr">
        <is>
          <t>2026-Q2</t>
        </is>
      </c>
    </row>
    <row r="4370" ht="25.5" customHeight="1">
      <c r="A4370" t="inlineStr">
        <is>
          <t>LISADENG“夏日马拉松”夏日天丝棉法棍牛仔裤九分直筒垂坠阔腿裤</t>
        </is>
      </c>
      <c r="B4370" t="inlineStr">
        <is>
          <t>__upload_recvgMo2ZYeXES.jpg</t>
        </is>
      </c>
      <c r="C4370" s="2" t="str">
        <f>=HYPERLINK("https://xhslink.com/m/4ViPVzy5L3B", "https://xhslink.com/m/4ViPVzy5L3B")</f>
        <v>https://xhslink.com/m/4ViPVzy5L3B</v>
      </c>
      <c r="D4370"/>
      <c r="E4370">
        <v>2973</v>
      </c>
      <c r="F4370">
        <v>378</v>
      </c>
      <c r="G4370">
        <v>299</v>
      </c>
      <c r="H4370">
        <v>100</v>
      </c>
      <c r="I4370" t="inlineStr">
        <is>
          <t>牛仔裤</t>
        </is>
      </c>
      <c r="J4370" t="inlineStr">
        <is>
          <t>0.03</t>
        </is>
      </c>
      <c r="K4370"/>
      <c r="L4370" t="inlineStr">
        <is>
          <t>LISADENGEE的店</t>
        </is>
      </c>
      <c r="M4370">
        <v>382000</v>
      </c>
      <c r="N4370">
        <v>4.56</v>
      </c>
      <c r="O4370">
        <v>610000</v>
      </c>
      <c r="P4370" t="inlineStr">
        <is>
          <t>69b24d3dab6d1e0001673063</t>
        </is>
      </c>
      <c r="Q4370" t="inlineStr">
        <is>
          <t>🚫重复</t>
        </is>
      </c>
      <c r="R4370" t="inlineStr">
        <is>
          <t>16周</t>
        </is>
      </c>
      <c r="S4370" t="inlineStr">
        <is>
          <t>0.01</t>
        </is>
      </c>
      <c r="T4370" t="inlineStr">
        <is>
          <t>服饰穿搭</t>
        </is>
      </c>
      <c r="U4370" t="inlineStr">
        <is>
          <t>女装</t>
        </is>
      </c>
      <c r="V4370" s="3">
        <v>46126.97719907408</v>
      </c>
      <c r="W4370" t="inlineStr">
        <is>
          <t>2026-Q2</t>
        </is>
      </c>
    </row>
    <row r="4371" ht="25.5" customHeight="1">
      <c r="A4371" t="inlineStr">
        <is>
          <t>蝴蝶结烫钻重工高腰直筒拖地牛仔裤～8213</t>
        </is>
      </c>
      <c r="B4371" t="inlineStr">
        <is>
          <t>__upload_recvgMo2ZYOf21.jpg</t>
        </is>
      </c>
      <c r="C4371" s="2" t="str">
        <f>=HYPERLINK("https://xhslink.com/m/2EUmf0lievo", "https://xhslink.com/m/2EUmf0lievo")</f>
        <v>https://xhslink.com/m/2EUmf0lievo</v>
      </c>
      <c r="D4371"/>
      <c r="E4371">
        <v>803</v>
      </c>
      <c r="F4371">
        <v>119</v>
      </c>
      <c r="G4371"/>
      <c r="H4371">
        <v>100</v>
      </c>
      <c r="I4371" t="inlineStr">
        <is>
          <t>牛仔裤</t>
        </is>
      </c>
      <c r="J4371" t="inlineStr">
        <is>
          <t>0.12</t>
        </is>
      </c>
      <c r="K4371"/>
      <c r="L4371" t="inlineStr">
        <is>
          <t>ootd 十三行 每日穿搭👖的店</t>
        </is>
      </c>
      <c r="M4371">
        <v>300000</v>
      </c>
      <c r="N4371">
        <v>4.47</v>
      </c>
      <c r="O4371">
        <v>685000</v>
      </c>
      <c r="P4371" t="inlineStr">
        <is>
          <t>69b829d2259fe40001496e8a</t>
        </is>
      </c>
      <c r="Q4371" t="inlineStr">
        <is>
          <t>🚫重复</t>
        </is>
      </c>
      <c r="R4371" t="inlineStr">
        <is>
          <t>16周</t>
        </is>
      </c>
      <c r="S4371" t="inlineStr">
        <is>
          <t>0.00</t>
        </is>
      </c>
      <c r="T4371" t="inlineStr">
        <is>
          <t>服饰穿搭</t>
        </is>
      </c>
      <c r="U4371" t="inlineStr">
        <is>
          <t>女装</t>
        </is>
      </c>
      <c r="V4371" s="3">
        <v>46126.97719907408</v>
      </c>
      <c r="W4371" t="inlineStr">
        <is>
          <t>2026-Q2</t>
        </is>
      </c>
    </row>
    <row r="4372" ht="25.5" customHeight="1">
      <c r="A4372" t="inlineStr">
        <is>
          <t>FunZee 【超模裤】莱赛尔弹力 穿出大长腿 显瘦牛仔裤</t>
        </is>
      </c>
      <c r="B4372" t="inlineStr">
        <is>
          <t>__upload_recvgMo2ZYzEBk.jpg</t>
        </is>
      </c>
      <c r="C4372" s="2" t="str">
        <f>=HYPERLINK("https://xhslink.com/m/3tbs2swxj0r", "https://xhslink.com/m/3tbs2swxj0r")</f>
        <v>https://xhslink.com/m/3tbs2swxj0r</v>
      </c>
      <c r="D4372"/>
      <c r="E4372">
        <v>1707</v>
      </c>
      <c r="F4372">
        <v>399</v>
      </c>
      <c r="G4372">
        <v>299</v>
      </c>
      <c r="H4372">
        <v>100</v>
      </c>
      <c r="I4372" t="inlineStr">
        <is>
          <t>牛仔裤</t>
        </is>
      </c>
      <c r="J4372" t="inlineStr">
        <is>
          <t>0.06</t>
        </is>
      </c>
      <c r="K4372"/>
      <c r="L4372" t="inlineStr">
        <is>
          <t>郑在玩FunZee的店</t>
        </is>
      </c>
      <c r="M4372">
        <v>39000</v>
      </c>
      <c r="N4372">
        <v>4.69</v>
      </c>
      <c r="O4372">
        <v>10000</v>
      </c>
      <c r="P4372" t="inlineStr">
        <is>
          <t>69b3fba4e1751600012e6aad</t>
        </is>
      </c>
      <c r="Q4372"/>
      <c r="R4372" t="inlineStr">
        <is>
          <t>16周</t>
        </is>
      </c>
      <c r="S4372" t="inlineStr">
        <is>
          <t>0.04</t>
        </is>
      </c>
      <c r="T4372" t="inlineStr">
        <is>
          <t>服饰穿搭</t>
        </is>
      </c>
      <c r="U4372" t="inlineStr">
        <is>
          <t>女装</t>
        </is>
      </c>
      <c r="V4372" s="3">
        <v>46126.97719907408</v>
      </c>
      <c r="W4372" t="inlineStr">
        <is>
          <t>2026-Q2</t>
        </is>
      </c>
    </row>
    <row r="4373" ht="25.5" customHeight="1">
      <c r="A4373" t="inlineStr">
        <is>
          <t>【牛仔蓝薄款来啦！】窄版直筒牛仔裤高腰弹力长裤春秋款显瘦百搭</t>
        </is>
      </c>
      <c r="B4373" t="inlineStr">
        <is>
          <t>__upload_recvgMo2ZYC70m.jpg</t>
        </is>
      </c>
      <c r="C4373" s="2" t="str">
        <f>=HYPERLINK("https://xhslink.com/m/6YX5dOtLcxB", "https://xhslink.com/m/6YX5dOtLcxB")</f>
        <v>https://xhslink.com/m/6YX5dOtLcxB</v>
      </c>
      <c r="D4373"/>
      <c r="E4373">
        <v>1403</v>
      </c>
      <c r="F4373">
        <v>189</v>
      </c>
      <c r="G4373">
        <v>159</v>
      </c>
      <c r="H4373">
        <v>100</v>
      </c>
      <c r="I4373" t="inlineStr">
        <is>
          <t>牛仔裤</t>
        </is>
      </c>
      <c r="J4373" t="inlineStr">
        <is>
          <t>0.07</t>
        </is>
      </c>
      <c r="K4373"/>
      <c r="L4373" t="inlineStr">
        <is>
          <t>150斤的小陈的店</t>
        </is>
      </c>
      <c r="M4373">
        <v>26000</v>
      </c>
      <c r="N4373">
        <v>4.72</v>
      </c>
      <c r="O4373">
        <v>74000</v>
      </c>
      <c r="P4373" t="inlineStr">
        <is>
          <t>69ba0cdae6196b000168e5d9</t>
        </is>
      </c>
      <c r="Q4373" t="inlineStr">
        <is>
          <t>🚫重复</t>
        </is>
      </c>
      <c r="R4373" t="inlineStr">
        <is>
          <t>16周</t>
        </is>
      </c>
      <c r="S4373" t="inlineStr">
        <is>
          <t>0.05</t>
        </is>
      </c>
      <c r="T4373" t="inlineStr">
        <is>
          <t>服饰穿搭</t>
        </is>
      </c>
      <c r="U4373" t="inlineStr">
        <is>
          <t>女装</t>
        </is>
      </c>
      <c r="V4373" s="3">
        <v>46126.97719907408</v>
      </c>
      <c r="W4373" t="inlineStr">
        <is>
          <t>2026-Q2</t>
        </is>
      </c>
    </row>
    <row r="4374" ht="25.5" customHeight="1">
      <c r="A4374" t="inlineStr">
        <is>
          <t>洋气毛边遮胯裤~2026春季新款弹力直筒牛仔裤女小个子高腰九分裤</t>
        </is>
      </c>
      <c r="B4374" t="inlineStr">
        <is>
          <t>__upload_recvgMo2ZYJ0QX.jpg</t>
        </is>
      </c>
      <c r="C4374" s="2" t="str">
        <f>=HYPERLINK("https://xhslink.com/m/zS1p7sBk67", "https://xhslink.com/m/zS1p7sBk67")</f>
        <v>https://xhslink.com/m/zS1p7sBk67</v>
      </c>
      <c r="D4374"/>
      <c r="E4374">
        <v>701</v>
      </c>
      <c r="F4374">
        <v>89.9</v>
      </c>
      <c r="G4374"/>
      <c r="H4374">
        <v>100</v>
      </c>
      <c r="I4374" t="inlineStr">
        <is>
          <t>牛仔裤</t>
        </is>
      </c>
      <c r="J4374" t="inlineStr">
        <is>
          <t>0.14</t>
        </is>
      </c>
      <c r="K4374"/>
      <c r="L4374" t="inlineStr">
        <is>
          <t>麦麦穿搭日记的店</t>
        </is>
      </c>
      <c r="M4374">
        <v>6637</v>
      </c>
      <c r="N4374">
        <v>4.6</v>
      </c>
      <c r="O4374">
        <v>43000</v>
      </c>
      <c r="P4374" t="inlineStr">
        <is>
          <t>69b8f5f59c14650001cd6c9f</t>
        </is>
      </c>
      <c r="Q4374"/>
      <c r="R4374" t="inlineStr">
        <is>
          <t>16周</t>
        </is>
      </c>
      <c r="S4374" t="inlineStr">
        <is>
          <t>0.11</t>
        </is>
      </c>
      <c r="T4374" t="inlineStr">
        <is>
          <t>服饰穿搭</t>
        </is>
      </c>
      <c r="U4374" t="inlineStr">
        <is>
          <t>女装</t>
        </is>
      </c>
      <c r="V4374" s="3">
        <v>46126.97719907408</v>
      </c>
      <c r="W4374" t="inlineStr">
        <is>
          <t>2026-Q2</t>
        </is>
      </c>
    </row>
    <row r="4375" ht="25.5" customHeight="1">
      <c r="A4375" t="inlineStr">
        <is>
          <t>26春季看着就耐穿防掉色松紧腰原牛色休闲裤</t>
        </is>
      </c>
      <c r="B4375" t="inlineStr">
        <is>
          <t>__upload_recvgMo2ZYDSQ3.jpg</t>
        </is>
      </c>
      <c r="C4375" s="2" t="str">
        <f>=HYPERLINK("https://xhslink.com/m/1McHMtsYBWY", "https://xhslink.com/m/1McHMtsYBWY")</f>
        <v>https://xhslink.com/m/1McHMtsYBWY</v>
      </c>
      <c r="D4375"/>
      <c r="E4375">
        <v>1054</v>
      </c>
      <c r="F4375">
        <v>160</v>
      </c>
      <c r="G4375"/>
      <c r="H4375">
        <v>100</v>
      </c>
      <c r="I4375" t="inlineStr">
        <is>
          <t>牛仔裤</t>
        </is>
      </c>
      <c r="J4375" t="inlineStr">
        <is>
          <t>0.09</t>
        </is>
      </c>
      <c r="K4375"/>
      <c r="L4375" t="inlineStr">
        <is>
          <t>是HULK小姨的店</t>
        </is>
      </c>
      <c r="M4375">
        <v>11000</v>
      </c>
      <c r="N4375">
        <v>4.58</v>
      </c>
      <c r="O4375">
        <v>76000</v>
      </c>
      <c r="P4375" t="inlineStr">
        <is>
          <t>697319b7f5bc340001d39ba9</t>
        </is>
      </c>
      <c r="Q4375"/>
      <c r="R4375" t="inlineStr">
        <is>
          <t>16周</t>
        </is>
      </c>
      <c r="S4375" t="inlineStr">
        <is>
          <t>0.10</t>
        </is>
      </c>
      <c r="T4375" t="inlineStr">
        <is>
          <t>服饰穿搭</t>
        </is>
      </c>
      <c r="U4375" t="inlineStr">
        <is>
          <t>女装</t>
        </is>
      </c>
      <c r="V4375" s="3">
        <v>46126.97719907408</v>
      </c>
      <c r="W4375" t="inlineStr">
        <is>
          <t>2026-Q2</t>
        </is>
      </c>
    </row>
    <row r="4376" ht="25.5" customHeight="1">
      <c r="A4376" t="inlineStr">
        <is>
          <t>【实穿主义】四面弹直筒微喇阔腿高腰牛仔裤长裤显瘦百搭宽松大码</t>
        </is>
      </c>
      <c r="B4376" t="inlineStr">
        <is>
          <t>__upload_recvgMo2ZYX4ce.jpg</t>
        </is>
      </c>
      <c r="C4376" s="2" t="str">
        <f>=HYPERLINK("https://xhslink.com/m/4K1CGOirYvB", "https://xhslink.com/m/4K1CGOirYvB")</f>
        <v>https://xhslink.com/m/4K1CGOirYvB</v>
      </c>
      <c r="D4376"/>
      <c r="E4376">
        <v>1051</v>
      </c>
      <c r="F4376">
        <v>199</v>
      </c>
      <c r="G4376"/>
      <c r="H4376">
        <v>100</v>
      </c>
      <c r="I4376" t="inlineStr">
        <is>
          <t>牛仔裤</t>
        </is>
      </c>
      <c r="J4376" t="inlineStr">
        <is>
          <t>0.10</t>
        </is>
      </c>
      <c r="K4376"/>
      <c r="L4376" t="inlineStr">
        <is>
          <t>梅阿水的店</t>
        </is>
      </c>
      <c r="M4376">
        <v>119000</v>
      </c>
      <c r="N4376">
        <v>4.64</v>
      </c>
      <c r="O4376">
        <v>21000</v>
      </c>
      <c r="P4376" t="inlineStr">
        <is>
          <t>697b1b9d265eb90001873445</t>
        </is>
      </c>
      <c r="Q4376"/>
      <c r="R4376" t="inlineStr">
        <is>
          <t>16周</t>
        </is>
      </c>
      <c r="S4376" t="inlineStr">
        <is>
          <t>0.01</t>
        </is>
      </c>
      <c r="T4376" t="inlineStr">
        <is>
          <t>服饰穿搭</t>
        </is>
      </c>
      <c r="U4376" t="inlineStr">
        <is>
          <t>女装</t>
        </is>
      </c>
      <c r="V4376" s="3">
        <v>46126.97719907408</v>
      </c>
      <c r="W4376" t="inlineStr">
        <is>
          <t>2026-Q2</t>
        </is>
      </c>
    </row>
    <row r="4377" ht="25.5" customHeight="1">
      <c r="A4377" t="inlineStr">
        <is>
          <t>尽显大长腿！超好穿四面弹遮胯显瘦百搭直筒牛仔裤女 新款</t>
        </is>
      </c>
      <c r="B4377" t="inlineStr">
        <is>
          <t>__upload_recvgMo2ZYiI30.jpg</t>
        </is>
      </c>
      <c r="C4377" s="2" t="str">
        <f>=HYPERLINK("https://xhslink.com/m/jnG4Cy826g", "https://xhslink.com/m/jnG4Cy826g")</f>
        <v>https://xhslink.com/m/jnG4Cy826g</v>
      </c>
      <c r="D4377"/>
      <c r="E4377">
        <v>478</v>
      </c>
      <c r="F4377">
        <v>298</v>
      </c>
      <c r="G4377">
        <v>288</v>
      </c>
      <c r="H4377">
        <v>100</v>
      </c>
      <c r="I4377" t="inlineStr">
        <is>
          <t>牛仔裤</t>
        </is>
      </c>
      <c r="J4377" t="inlineStr">
        <is>
          <t>0.21</t>
        </is>
      </c>
      <c r="K4377"/>
      <c r="L4377" t="inlineStr">
        <is>
          <t>jiajia凝的店</t>
        </is>
      </c>
      <c r="M4377">
        <v>6382</v>
      </c>
      <c r="N4377">
        <v>4.57</v>
      </c>
      <c r="O4377">
        <v>41000</v>
      </c>
      <c r="P4377" t="inlineStr">
        <is>
          <t>68905b28fa847600154d8f00</t>
        </is>
      </c>
      <c r="Q4377" t="inlineStr">
        <is>
          <t>🚫重复</t>
        </is>
      </c>
      <c r="R4377" t="inlineStr">
        <is>
          <t>16周</t>
        </is>
      </c>
      <c r="S4377" t="inlineStr">
        <is>
          <t>0.07</t>
        </is>
      </c>
      <c r="T4377" t="inlineStr">
        <is>
          <t>服饰穿搭</t>
        </is>
      </c>
      <c r="U4377" t="inlineStr">
        <is>
          <t>女装</t>
        </is>
      </c>
      <c r="V4377" s="3">
        <v>46126.97719907408</v>
      </c>
      <c r="W4377" t="inlineStr">
        <is>
          <t>2026-Q2</t>
        </is>
      </c>
    </row>
    <row r="4378" ht="25.5" customHeight="1">
      <c r="A4378" t="inlineStr">
        <is>
          <t>超模裤老钱风卡其色微喇牛仔裤 莱赛尔四面弹通勤神裤515-1</t>
        </is>
      </c>
      <c r="B4378" t="inlineStr">
        <is>
          <t>__upload_recvgMo2ZYTNj9.jpg</t>
        </is>
      </c>
      <c r="C4378" s="2" t="str">
        <f>=HYPERLINK("https://xhslink.com/m/5krdxmNdP9J", "https://xhslink.com/m/5krdxmNdP9J")</f>
        <v>https://xhslink.com/m/5krdxmNdP9J</v>
      </c>
      <c r="D4378"/>
      <c r="E4378">
        <v>416</v>
      </c>
      <c r="F4378">
        <v>305</v>
      </c>
      <c r="G4378">
        <v>259.25</v>
      </c>
      <c r="H4378">
        <v>100</v>
      </c>
      <c r="I4378" t="inlineStr">
        <is>
          <t>牛仔裤</t>
        </is>
      </c>
      <c r="J4378" t="inlineStr">
        <is>
          <t>0.24</t>
        </is>
      </c>
      <c r="K4378"/>
      <c r="L4378" t="inlineStr">
        <is>
          <t>卖大衣的阿黄黄的店</t>
        </is>
      </c>
      <c r="M4378">
        <v>39000</v>
      </c>
      <c r="N4378">
        <v>4.77</v>
      </c>
      <c r="O4378">
        <v>162000</v>
      </c>
      <c r="P4378" t="inlineStr">
        <is>
          <t>69a9663d970f00000189c7af</t>
        </is>
      </c>
      <c r="Q4378" t="inlineStr">
        <is>
          <t>🚫重复</t>
        </is>
      </c>
      <c r="R4378" t="inlineStr">
        <is>
          <t>16周</t>
        </is>
      </c>
      <c r="S4378" t="inlineStr">
        <is>
          <t>0.01</t>
        </is>
      </c>
      <c r="T4378" t="inlineStr">
        <is>
          <t>服饰穿搭</t>
        </is>
      </c>
      <c r="U4378" t="inlineStr">
        <is>
          <t>女装</t>
        </is>
      </c>
      <c r="V4378" s="3">
        <v>46126.97719907408</v>
      </c>
      <c r="W4378" t="inlineStr">
        <is>
          <t>2026-Q2</t>
        </is>
      </c>
    </row>
    <row r="4379" ht="25.5" customHeight="1">
      <c r="A4379" t="inlineStr">
        <is>
          <t>GLYNNA · 好闪!blackpink同款网球手链圆钻满钻镀18k白金2mm3m新年礼物</t>
        </is>
      </c>
      <c r="B4379" t="inlineStr">
        <is>
          <t>__upload_recvgMo2ZYrkOf.jpg</t>
        </is>
      </c>
      <c r="C4379" s="2" t="str">
        <f>=HYPERLINK("https://xhslink.com/m/4TYaxYEd78R", "https://xhslink.com/m/4TYaxYEd78R")</f>
        <v>https://xhslink.com/m/4TYaxYEd78R</v>
      </c>
      <c r="D4379"/>
      <c r="E4379">
        <v>4414</v>
      </c>
      <c r="F4379">
        <v>208</v>
      </c>
      <c r="G4379">
        <v>168</v>
      </c>
      <c r="H4379">
        <v>100</v>
      </c>
      <c r="I4379" t="inlineStr">
        <is>
          <t>配饰</t>
        </is>
      </c>
      <c r="J4379" t="inlineStr">
        <is>
          <t>0.02</t>
        </is>
      </c>
      <c r="K4379"/>
      <c r="L4379" t="inlineStr">
        <is>
          <t>GLYNNA格林娜旗舰店</t>
        </is>
      </c>
      <c r="M4379">
        <v>13000</v>
      </c>
      <c r="N4379">
        <v>4.62</v>
      </c>
      <c r="O4379">
        <v>67000</v>
      </c>
      <c r="P4379" t="inlineStr">
        <is>
          <t>696b4810eb2ffb00016e157d</t>
        </is>
      </c>
      <c r="Q4379" t="inlineStr">
        <is>
          <t>🚫重复</t>
        </is>
      </c>
      <c r="R4379" t="inlineStr">
        <is>
          <t>16周</t>
        </is>
      </c>
      <c r="S4379" t="inlineStr">
        <is>
          <t>0.34</t>
        </is>
      </c>
      <c r="T4379" t="inlineStr">
        <is>
          <t>服饰穿搭</t>
        </is>
      </c>
      <c r="U4379" t="inlineStr">
        <is>
          <t>配饰</t>
        </is>
      </c>
      <c r="V4379" s="3">
        <v>46126.97719907408</v>
      </c>
      <c r="W4379" t="inlineStr">
        <is>
          <t>2026-Q2</t>
        </is>
      </c>
    </row>
    <row r="4380" ht="25.5" customHeight="1">
      <c r="A4380" t="inlineStr">
        <is>
          <t>【CHERRY】认准我们～温感变色宽版choker项圈（手工制品默认微瑕</t>
        </is>
      </c>
      <c r="B4380" t="inlineStr">
        <is>
          <t>__upload_recvgMo2ZYewl1.jpg</t>
        </is>
      </c>
      <c r="C4380" s="2" t="str">
        <f>=HYPERLINK("https://xhslink.com/m/6sQ75Ki3td1", "https://xhslink.com/m/6sQ75Ki3td1")</f>
        <v>https://xhslink.com/m/6sQ75Ki3td1</v>
      </c>
      <c r="D4380"/>
      <c r="E4380">
        <v>19000</v>
      </c>
      <c r="F4380">
        <v>24</v>
      </c>
      <c r="G4380">
        <v>18.9</v>
      </c>
      <c r="H4380">
        <v>100</v>
      </c>
      <c r="I4380" t="inlineStr">
        <is>
          <t>配饰</t>
        </is>
      </c>
      <c r="J4380" t="inlineStr">
        <is>
          <t>0.01</t>
        </is>
      </c>
      <c r="K4380"/>
      <c r="L4380" t="inlineStr">
        <is>
          <t>LostCherry 迷失樱桃的店</t>
        </is>
      </c>
      <c r="M4380">
        <v>13000</v>
      </c>
      <c r="N4380">
        <v>4.76</v>
      </c>
      <c r="O4380">
        <v>40000</v>
      </c>
      <c r="P4380" t="inlineStr">
        <is>
          <t>693bb56e69110000015cbccd</t>
        </is>
      </c>
      <c r="Q4380" t="inlineStr">
        <is>
          <t>🚫重复</t>
        </is>
      </c>
      <c r="R4380" t="inlineStr">
        <is>
          <t>16周</t>
        </is>
      </c>
      <c r="S4380" t="inlineStr">
        <is>
          <t>1.46</t>
        </is>
      </c>
      <c r="T4380" t="inlineStr">
        <is>
          <t>服饰穿搭</t>
        </is>
      </c>
      <c r="U4380" t="inlineStr">
        <is>
          <t>配饰</t>
        </is>
      </c>
      <c r="V4380" s="3">
        <v>46126.97719907408</v>
      </c>
      <c r="W4380" t="inlineStr">
        <is>
          <t>2026-Q2</t>
        </is>
      </c>
    </row>
    <row r="4381" ht="25.5" customHeight="1">
      <c r="A4381" t="inlineStr">
        <is>
          <t>徐徐四序 · 一世繁花s925纯银锁骨链莫桑钻轻奢高级生日礼物女高级</t>
        </is>
      </c>
      <c r="B4381" t="inlineStr">
        <is>
          <t>__upload_recvgMo2ZYsn3U.jpg</t>
        </is>
      </c>
      <c r="C4381" s="2" t="str">
        <f>=HYPERLINK("https://xhslink.com/m/7UsbaaE2TMi", "https://xhslink.com/m/7UsbaaE2TMi")</f>
        <v>https://xhslink.com/m/7UsbaaE2TMi</v>
      </c>
      <c r="D4381"/>
      <c r="E4381">
        <v>1766</v>
      </c>
      <c r="F4381">
        <v>173.6</v>
      </c>
      <c r="G4381"/>
      <c r="H4381">
        <v>100</v>
      </c>
      <c r="I4381" t="inlineStr">
        <is>
          <t>配饰</t>
        </is>
      </c>
      <c r="J4381" t="inlineStr">
        <is>
          <t>0.06</t>
        </is>
      </c>
      <c r="K4381"/>
      <c r="L4381" t="inlineStr">
        <is>
          <t>徐徐四序的店</t>
        </is>
      </c>
      <c r="M4381">
        <v>28000</v>
      </c>
      <c r="N4381">
        <v>4.54</v>
      </c>
      <c r="O4381">
        <v>29000</v>
      </c>
      <c r="P4381" t="inlineStr">
        <is>
          <t>67e0049eb230170001042452</t>
        </is>
      </c>
      <c r="Q4381"/>
      <c r="R4381" t="inlineStr">
        <is>
          <t>16周</t>
        </is>
      </c>
      <c r="S4381" t="inlineStr">
        <is>
          <t>0.06</t>
        </is>
      </c>
      <c r="T4381" t="inlineStr">
        <is>
          <t>服饰穿搭</t>
        </is>
      </c>
      <c r="U4381" t="inlineStr">
        <is>
          <t>配饰</t>
        </is>
      </c>
      <c r="V4381" s="3">
        <v>46126.97719907408</v>
      </c>
      <c r="W4381" t="inlineStr">
        <is>
          <t>2026-Q2</t>
        </is>
      </c>
    </row>
    <row r="4382" ht="25.5" customHeight="1">
      <c r="A4382" t="inlineStr">
        <is>
          <t>TUNJINSHOU · 细柔基础款八角蛇骨链不挑人显贵秀气衬衣T恤高级感搭配925纯银</t>
        </is>
      </c>
      <c r="B4382" t="inlineStr">
        <is>
          <t>__upload_recvgMo2ZYZjBb.jpg</t>
        </is>
      </c>
      <c r="C4382" s="2" t="str">
        <f>=HYPERLINK("https://xhslink.com/m/6gDhVafuBnN", "https://xhslink.com/m/6gDhVafuBnN")</f>
        <v>https://xhslink.com/m/6gDhVafuBnN</v>
      </c>
      <c r="D4382"/>
      <c r="E4382">
        <v>1254</v>
      </c>
      <c r="F4382">
        <v>99</v>
      </c>
      <c r="G4382"/>
      <c r="H4382">
        <v>100</v>
      </c>
      <c r="I4382" t="inlineStr">
        <is>
          <t>配饰</t>
        </is>
      </c>
      <c r="J4382" t="inlineStr">
        <is>
          <t>0.08</t>
        </is>
      </c>
      <c r="K4382"/>
      <c r="L4382" t="inlineStr">
        <is>
          <t>TUNJINSHOU的店</t>
        </is>
      </c>
      <c r="M4382">
        <v>4588</v>
      </c>
      <c r="N4382">
        <v>4.66</v>
      </c>
      <c r="O4382">
        <v>8846</v>
      </c>
      <c r="P4382" t="inlineStr">
        <is>
          <t>69a6e0b60635fd0001d4ff96</t>
        </is>
      </c>
      <c r="Q4382"/>
      <c r="R4382" t="inlineStr">
        <is>
          <t>16周</t>
        </is>
      </c>
      <c r="S4382" t="inlineStr">
        <is>
          <t>0.27</t>
        </is>
      </c>
      <c r="T4382" t="inlineStr">
        <is>
          <t>服饰穿搭</t>
        </is>
      </c>
      <c r="U4382" t="inlineStr">
        <is>
          <t>女装</t>
        </is>
      </c>
      <c r="V4382" s="3">
        <v>46126.97719907408</v>
      </c>
      <c r="W4382" t="inlineStr">
        <is>
          <t>2026-Q2</t>
        </is>
      </c>
    </row>
    <row r="4383" ht="25.5" customHeight="1">
      <c r="A4383" t="inlineStr">
        <is>
          <t>【缪妙·原创设计】仿日本天女樱花粉akoya珍珠项链温柔感</t>
        </is>
      </c>
      <c r="B4383" t="inlineStr">
        <is>
          <t>__upload_recvgMo2ZY2r7I.jpg</t>
        </is>
      </c>
      <c r="C4383" s="2" t="str">
        <f>=HYPERLINK("https://xhslink.com/m/6OVBAohUPwv", "https://xhslink.com/m/6OVBAohUPwv")</f>
        <v>https://xhslink.com/m/6OVBAohUPwv</v>
      </c>
      <c r="D4383"/>
      <c r="E4383">
        <v>2264</v>
      </c>
      <c r="F4383">
        <v>335</v>
      </c>
      <c r="G4383">
        <v>268</v>
      </c>
      <c r="H4383">
        <v>100</v>
      </c>
      <c r="I4383" t="inlineStr">
        <is>
          <t>配饰</t>
        </is>
      </c>
      <c r="J4383" t="inlineStr">
        <is>
          <t>0.04</t>
        </is>
      </c>
      <c r="K4383"/>
      <c r="L4383" t="inlineStr">
        <is>
          <t>缪妙爱人造珍珠的店</t>
        </is>
      </c>
      <c r="M4383">
        <v>2618</v>
      </c>
      <c r="N4383">
        <v>4.54</v>
      </c>
      <c r="O4383">
        <v>7316</v>
      </c>
      <c r="P4383" t="inlineStr">
        <is>
          <t>6821e970d0f043000127767b</t>
        </is>
      </c>
      <c r="Q4383" t="inlineStr">
        <is>
          <t>🚫重复</t>
        </is>
      </c>
      <c r="R4383" t="inlineStr">
        <is>
          <t>16周</t>
        </is>
      </c>
      <c r="S4383" t="inlineStr">
        <is>
          <t>0.86</t>
        </is>
      </c>
      <c r="T4383" t="inlineStr">
        <is>
          <t>服饰穿搭</t>
        </is>
      </c>
      <c r="U4383" t="inlineStr">
        <is>
          <t>配饰</t>
        </is>
      </c>
      <c r="V4383" s="3">
        <v>46126.97719907408</v>
      </c>
      <c r="W4383" t="inlineStr">
        <is>
          <t>2026-Q2</t>
        </is>
      </c>
    </row>
    <row r="4384" ht="25.5" customHeight="1">
      <c r="A4384" t="inlineStr">
        <is>
          <t>【10-15cm发圈合集】[7r/2件][9r/3件][15r/5件]大肠发圈韩系发绳</t>
        </is>
      </c>
      <c r="B4384" t="inlineStr">
        <is>
          <t>__upload_recvgMo2ZYCxaN.jpg</t>
        </is>
      </c>
      <c r="C4384" s="2" t="str">
        <f>=HYPERLINK("https://xhslink.com/m/RiNgBdQleL", "https://xhslink.com/m/RiNgBdQleL")</f>
        <v>https://xhslink.com/m/RiNgBdQleL</v>
      </c>
      <c r="D4384"/>
      <c r="E4384">
        <v>2930</v>
      </c>
      <c r="F4384">
        <v>4</v>
      </c>
      <c r="G4384"/>
      <c r="H4384">
        <v>100</v>
      </c>
      <c r="I4384" t="inlineStr">
        <is>
          <t>配饰</t>
        </is>
      </c>
      <c r="J4384" t="inlineStr">
        <is>
          <t>0.03</t>
        </is>
      </c>
      <c r="K4384"/>
      <c r="L4384" t="inlineStr">
        <is>
          <t>青提啵啵兔的店</t>
        </is>
      </c>
      <c r="M4384">
        <v>6617</v>
      </c>
      <c r="N4384">
        <v>4.51</v>
      </c>
      <c r="O4384">
        <v>23000</v>
      </c>
      <c r="P4384" t="inlineStr">
        <is>
          <t>69bfc8ef7c9c8f0001279833</t>
        </is>
      </c>
      <c r="Q4384" t="inlineStr">
        <is>
          <t>🚫重复</t>
        </is>
      </c>
      <c r="R4384" t="inlineStr">
        <is>
          <t>16周</t>
        </is>
      </c>
      <c r="S4384" t="inlineStr">
        <is>
          <t>0.44</t>
        </is>
      </c>
      <c r="T4384" t="inlineStr">
        <is>
          <t>服饰穿搭</t>
        </is>
      </c>
      <c r="U4384" t="inlineStr">
        <is>
          <t>配饰</t>
        </is>
      </c>
      <c r="V4384" s="3">
        <v>46126.97719907408</v>
      </c>
      <c r="W4384" t="inlineStr">
        <is>
          <t>2026-Q2</t>
        </is>
      </c>
    </row>
    <row r="4385" ht="25.5" customHeight="1">
      <c r="A4385" t="inlineStr">
        <is>
          <t>小苹果50g 厚奶油泥 硅胶捏捏 默认微瑕 无开箱不售后</t>
        </is>
      </c>
      <c r="B4385" t="inlineStr">
        <is>
          <t>__upload_recvgMo2ZYTRKZ.jpg</t>
        </is>
      </c>
      <c r="C4385" s="2" t="str">
        <f>=HYPERLINK("https://xhslink.com/m/36eoo8WLdvh", "https://xhslink.com/m/36eoo8WLdvh")</f>
        <v>https://xhslink.com/m/36eoo8WLdvh</v>
      </c>
      <c r="D4385"/>
      <c r="E4385">
        <v>12000</v>
      </c>
      <c r="F4385">
        <v>37</v>
      </c>
      <c r="G4385">
        <v>26</v>
      </c>
      <c r="H4385">
        <v>100</v>
      </c>
      <c r="I4385" t="inlineStr">
        <is>
          <t>硅胶捏捏</t>
        </is>
      </c>
      <c r="J4385" t="inlineStr">
        <is>
          <t>0.01</t>
        </is>
      </c>
      <c r="K4385"/>
      <c r="L4385" t="inlineStr">
        <is>
          <t>小抒君的店</t>
        </is>
      </c>
      <c r="M4385">
        <v>18000</v>
      </c>
      <c r="N4385">
        <v>4.35</v>
      </c>
      <c r="O4385">
        <v>35000</v>
      </c>
      <c r="P4385" t="inlineStr">
        <is>
          <t>692b5b22b70fce000100d7e3</t>
        </is>
      </c>
      <c r="Q4385" t="inlineStr">
        <is>
          <t>🚫重复</t>
        </is>
      </c>
      <c r="R4385" t="inlineStr">
        <is>
          <t>16周</t>
        </is>
      </c>
      <c r="S4385" t="inlineStr">
        <is>
          <t>0.67</t>
        </is>
      </c>
      <c r="T4385" t="inlineStr">
        <is>
          <t>运动潮玩</t>
        </is>
      </c>
      <c r="U4385" t="inlineStr">
        <is>
          <t>潮玩手办</t>
        </is>
      </c>
      <c r="V4385" s="3">
        <v>46126.97719907408</v>
      </c>
      <c r="W4385" t="inlineStr">
        <is>
          <t>2026-Q2</t>
        </is>
      </c>
    </row>
    <row r="4386" ht="25.5" customHeight="1">
      <c r="A4386" t="inlineStr">
        <is>
          <t>166g奶油脆脆卷捏捏泥感慢回弹食品级硅胶</t>
        </is>
      </c>
      <c r="B4386" t="inlineStr">
        <is>
          <t>__upload_recvgMo2ZYDKPN.jpg</t>
        </is>
      </c>
      <c r="C4386" s="2" t="str">
        <f>=HYPERLINK("https://xhslink.com/m/5m00hzvn9iK", "https://xhslink.com/m/5m00hzvn9iK")</f>
        <v>https://xhslink.com/m/5m00hzvn9iK</v>
      </c>
      <c r="D4386"/>
      <c r="E4386">
        <v>3635</v>
      </c>
      <c r="F4386">
        <v>10.8</v>
      </c>
      <c r="G4386"/>
      <c r="H4386">
        <v>100</v>
      </c>
      <c r="I4386" t="inlineStr">
        <is>
          <t>硅胶捏捏</t>
        </is>
      </c>
      <c r="J4386" t="inlineStr">
        <is>
          <t>0.03</t>
        </is>
      </c>
      <c r="K4386"/>
      <c r="L4386" t="inlineStr">
        <is>
          <t>蟹老板捏捏的店</t>
        </is>
      </c>
      <c r="M4386">
        <v>25000</v>
      </c>
      <c r="N4386">
        <v>4.4</v>
      </c>
      <c r="O4386">
        <v>166000</v>
      </c>
      <c r="P4386" t="inlineStr">
        <is>
          <t>68d7be909176f50001d73eef</t>
        </is>
      </c>
      <c r="Q4386" t="inlineStr">
        <is>
          <t>🚫重复</t>
        </is>
      </c>
      <c r="R4386" t="inlineStr">
        <is>
          <t>16周</t>
        </is>
      </c>
      <c r="S4386" t="inlineStr">
        <is>
          <t>0.15</t>
        </is>
      </c>
      <c r="T4386" t="inlineStr">
        <is>
          <t>运动潮玩</t>
        </is>
      </c>
      <c r="U4386" t="inlineStr">
        <is>
          <t>潮玩手办</t>
        </is>
      </c>
      <c r="V4386" s="3">
        <v>46126.97719907408</v>
      </c>
      <c r="W4386" t="inlineStr">
        <is>
          <t>2026-Q2</t>
        </is>
      </c>
    </row>
    <row r="4387" ht="25.5" customHeight="1">
      <c r="A4387" t="inlineStr">
        <is>
          <t>【微缩迷你全系列汇总】捏捏硅胶软可塑黏糊泥默认微瑕满2件包邮</t>
        </is>
      </c>
      <c r="B4387" t="inlineStr">
        <is>
          <t>__upload_recvgMo2ZYl8HK.jpg</t>
        </is>
      </c>
      <c r="C4387" s="2" t="str">
        <f>=HYPERLINK("https://xhslink.com/m/6Jrooyw2apL", "https://xhslink.com/m/6Jrooyw2apL")</f>
        <v>https://xhslink.com/m/6Jrooyw2apL</v>
      </c>
      <c r="D4387"/>
      <c r="E4387">
        <v>4335</v>
      </c>
      <c r="F4387">
        <v>62.8</v>
      </c>
      <c r="G4387"/>
      <c r="H4387">
        <v>100</v>
      </c>
      <c r="I4387" t="inlineStr">
        <is>
          <t>硅胶捏捏</t>
        </is>
      </c>
      <c r="J4387" t="inlineStr">
        <is>
          <t>0.02</t>
        </is>
      </c>
      <c r="K4387"/>
      <c r="L4387" t="inlineStr">
        <is>
          <t>我一定会爆单的！！（捏捏版）的店</t>
        </is>
      </c>
      <c r="M4387">
        <v>31000</v>
      </c>
      <c r="N4387">
        <v>4.49</v>
      </c>
      <c r="O4387">
        <v>102000</v>
      </c>
      <c r="P4387" t="inlineStr">
        <is>
          <t>69676dd63067f40001e71419</t>
        </is>
      </c>
      <c r="Q4387" t="inlineStr">
        <is>
          <t>🚫重复</t>
        </is>
      </c>
      <c r="R4387" t="inlineStr">
        <is>
          <t>16周</t>
        </is>
      </c>
      <c r="S4387" t="inlineStr">
        <is>
          <t>0.14</t>
        </is>
      </c>
      <c r="T4387" t="inlineStr">
        <is>
          <t>运动潮玩</t>
        </is>
      </c>
      <c r="U4387" t="inlineStr">
        <is>
          <t>潮玩手办</t>
        </is>
      </c>
      <c r="V4387" s="3">
        <v>46126.97719907408</v>
      </c>
      <c r="W4387" t="inlineStr">
        <is>
          <t>2026-Q2</t>
        </is>
      </c>
    </row>
    <row r="4388" ht="25.5" customHeight="1">
      <c r="A4388" t="inlineStr">
        <is>
          <t>【微缩第二期汇总】捏捏硅胶软可塑黏糊泥默认微瑕克重±5</t>
        </is>
      </c>
      <c r="B4388" t="inlineStr">
        <is>
          <t>__upload_recvgMo2ZYSVJ8.jpg</t>
        </is>
      </c>
      <c r="C4388" s="2" t="str">
        <f>=HYPERLINK("https://xhslink.com/m/AfQIfym7UPV", "https://xhslink.com/m/AfQIfym7UPV")</f>
        <v>https://xhslink.com/m/AfQIfym7UPV</v>
      </c>
      <c r="D4388"/>
      <c r="E4388">
        <v>1251</v>
      </c>
      <c r="F4388">
        <v>29.8</v>
      </c>
      <c r="G4388">
        <v>19.8</v>
      </c>
      <c r="H4388">
        <v>100</v>
      </c>
      <c r="I4388" t="inlineStr">
        <is>
          <t>硅胶捏捏</t>
        </is>
      </c>
      <c r="J4388" t="inlineStr">
        <is>
          <t>0.08</t>
        </is>
      </c>
      <c r="K4388"/>
      <c r="L4388" t="inlineStr">
        <is>
          <t>我一定会爆单的！！（捏捏版）的店</t>
        </is>
      </c>
      <c r="M4388">
        <v>31000</v>
      </c>
      <c r="N4388">
        <v>4.49</v>
      </c>
      <c r="O4388">
        <v>102000</v>
      </c>
      <c r="P4388" t="inlineStr">
        <is>
          <t>69b8517858e9630001ed2d6c</t>
        </is>
      </c>
      <c r="Q4388" t="inlineStr">
        <is>
          <t>🚫重复</t>
        </is>
      </c>
      <c r="R4388" t="inlineStr">
        <is>
          <t>16周</t>
        </is>
      </c>
      <c r="S4388" t="inlineStr">
        <is>
          <t>0.04</t>
        </is>
      </c>
      <c r="T4388" t="inlineStr">
        <is>
          <t>运动潮玩</t>
        </is>
      </c>
      <c r="U4388" t="inlineStr">
        <is>
          <t>潮玩手办</t>
        </is>
      </c>
      <c r="V4388" s="3">
        <v>46126.97719907408</v>
      </c>
      <c r="W4388" t="inlineStr">
        <is>
          <t>2026-Q2</t>
        </is>
      </c>
    </row>
    <row r="4389" ht="25.5" customHeight="1">
      <c r="A4389" t="inlineStr">
        <is>
          <t>糯米饭系列捏捏食品级硅胶捏捏乐默认微瑕留胶可塑黏糊泥</t>
        </is>
      </c>
      <c r="B4389" t="inlineStr">
        <is>
          <t>__upload_recvgMo2ZYBc5V.jpg</t>
        </is>
      </c>
      <c r="C4389" s="2" t="str">
        <f>=HYPERLINK("https://xhslink.com/m/4JJNFOnWRyQ", "https://xhslink.com/m/4JJNFOnWRyQ")</f>
        <v>https://xhslink.com/m/4JJNFOnWRyQ</v>
      </c>
      <c r="D4389"/>
      <c r="E4389">
        <v>590</v>
      </c>
      <c r="F4389">
        <v>29.9</v>
      </c>
      <c r="G4389"/>
      <c r="H4389">
        <v>100</v>
      </c>
      <c r="I4389" t="inlineStr">
        <is>
          <t>硅胶捏捏</t>
        </is>
      </c>
      <c r="J4389" t="inlineStr">
        <is>
          <t>0.17</t>
        </is>
      </c>
      <c r="K4389"/>
      <c r="L4389" t="inlineStr">
        <is>
          <t>我一定会爆单的！！（捏捏版）的店</t>
        </is>
      </c>
      <c r="M4389">
        <v>31000</v>
      </c>
      <c r="N4389">
        <v>4.49</v>
      </c>
      <c r="O4389">
        <v>102000</v>
      </c>
      <c r="P4389" t="inlineStr">
        <is>
          <t>69c90a9846fe2a00018fb523</t>
        </is>
      </c>
      <c r="Q4389" t="inlineStr">
        <is>
          <t>🚫重复</t>
        </is>
      </c>
      <c r="R4389" t="inlineStr">
        <is>
          <t>16周</t>
        </is>
      </c>
      <c r="S4389" t="inlineStr">
        <is>
          <t>0.02</t>
        </is>
      </c>
      <c r="T4389" t="inlineStr">
        <is>
          <t>运动潮玩</t>
        </is>
      </c>
      <c r="U4389" t="inlineStr">
        <is>
          <t>潮玩手办</t>
        </is>
      </c>
      <c r="V4389" s="3">
        <v>46126.97719907408</v>
      </c>
      <c r="W4389" t="inlineStr">
        <is>
          <t>2026-Q2</t>
        </is>
      </c>
    </row>
    <row r="4390" ht="25.5" customHeight="1">
      <c r="A4390" t="inlineStr">
        <is>
          <t>足银手链女生转运珠手绳简约学生小众设计手工编绳红绳送闺蜜礼物</t>
        </is>
      </c>
      <c r="B4390" t="inlineStr">
        <is>
          <t>__upload_recvgMo2ZYAX2z.jpg</t>
        </is>
      </c>
      <c r="C4390" s="2" t="str">
        <f>=HYPERLINK("https://xhslink.com/m/5L9ohpcdnN4", "https://xhslink.com/m/5L9ohpcdnN4")</f>
        <v>https://xhslink.com/m/5L9ohpcdnN4</v>
      </c>
      <c r="D4390"/>
      <c r="E4390">
        <v>14000</v>
      </c>
      <c r="F4390">
        <v>9.9</v>
      </c>
      <c r="G4390"/>
      <c r="H4390">
        <v>100</v>
      </c>
      <c r="I4390" t="inlineStr">
        <is>
          <t>手工</t>
        </is>
      </c>
      <c r="J4390" t="inlineStr">
        <is>
          <t>0.01</t>
        </is>
      </c>
      <c r="K4390"/>
      <c r="L4390" t="inlineStr">
        <is>
          <t>茉恬的店</t>
        </is>
      </c>
      <c r="M4390">
        <v>7573</v>
      </c>
      <c r="N4390">
        <v>3.82</v>
      </c>
      <c r="O4390">
        <v>21000</v>
      </c>
      <c r="P4390" t="inlineStr">
        <is>
          <t>67ffa33ef369b20001b0e22c</t>
        </is>
      </c>
      <c r="Q4390"/>
      <c r="R4390" t="inlineStr">
        <is>
          <t>16周</t>
        </is>
      </c>
      <c r="S4390" t="inlineStr">
        <is>
          <t>1.85</t>
        </is>
      </c>
      <c r="T4390" t="inlineStr">
        <is>
          <t>服饰穿搭</t>
        </is>
      </c>
      <c r="U4390" t="inlineStr">
        <is>
          <t>配饰</t>
        </is>
      </c>
      <c r="V4390" s="3">
        <v>46126.97719907408</v>
      </c>
      <c r="W4390" t="inlineStr">
        <is>
          <t>2026-Q2</t>
        </is>
      </c>
    </row>
    <row r="4391" ht="25.5" customHeight="1">
      <c r="A4391" t="inlineStr">
        <is>
          <t>开袋即食零食冰烤蜜薯紫薯大学生减脂期代餐轻食健康早餐速食推荐</t>
        </is>
      </c>
      <c r="B4391" t="inlineStr">
        <is>
          <t>__upload_recvgSimhWj7E5.jpg</t>
        </is>
      </c>
      <c r="C4391" s="2" t="str">
        <f>=HYPERLINK("https://xhslink.com/m/54PcCGqpuOp", "https://xhslink.com/m/54PcCGqpuOp")</f>
        <v>https://xhslink.com/m/54PcCGqpuOp</v>
      </c>
      <c r="D4391"/>
      <c r="E4391">
        <v>32000</v>
      </c>
      <c r="F4391">
        <v>18.8</v>
      </c>
      <c r="G4391">
        <v>8.8</v>
      </c>
      <c r="H4391">
        <v>100</v>
      </c>
      <c r="I4391" t="inlineStr">
        <is>
          <t>坚果果干</t>
        </is>
      </c>
      <c r="J4391" t="inlineStr">
        <is>
          <t>0.00</t>
        </is>
      </c>
      <c r="K4391" t="inlineStr">
        <is>
          <t>🔥低粉爆款</t>
        </is>
      </c>
      <c r="L4391" t="inlineStr">
        <is>
          <t>麦味零食坊的店</t>
        </is>
      </c>
      <c r="M4391">
        <v>6041</v>
      </c>
      <c r="N4391">
        <v>4.76</v>
      </c>
      <c r="O4391">
        <v>136000</v>
      </c>
      <c r="P4391" t="inlineStr">
        <is>
          <t>670bc03d4cd28900014f1073</t>
        </is>
      </c>
      <c r="Q4391" t="inlineStr">
        <is>
          <t>🚫重复</t>
        </is>
      </c>
      <c r="R4391" t="inlineStr">
        <is>
          <t>16周</t>
        </is>
      </c>
      <c r="S4391" t="inlineStr">
        <is>
          <t>5.30</t>
        </is>
      </c>
      <c r="T4391" t="inlineStr">
        <is>
          <t>美食滋补</t>
        </is>
      </c>
      <c r="U4391" t="inlineStr">
        <is>
          <t>休闲零食</t>
        </is>
      </c>
      <c r="V4391" s="3">
        <v>46127.98767361111</v>
      </c>
      <c r="W4391" t="inlineStr">
        <is>
          <t>2026-Q2</t>
        </is>
      </c>
    </row>
    <row r="4392" ht="25.5" customHeight="1">
      <c r="A4392" t="inlineStr">
        <is>
          <t>美登高 · 【四盒装】小矮人坚果巧克力脆皮冰淇淋草莓柠檬味雪糕</t>
        </is>
      </c>
      <c r="B4392" t="inlineStr">
        <is>
          <t>__upload_recvgSimhWQ0pr.jpg</t>
        </is>
      </c>
      <c r="C4392" s="2" t="str">
        <f>=HYPERLINK("https://xhslink.com/m/3kuCuEMKSDy", "https://xhslink.com/m/3kuCuEMKSDy")</f>
        <v>https://xhslink.com/m/3kuCuEMKSDy</v>
      </c>
      <c r="D4392"/>
      <c r="E4392">
        <v>769</v>
      </c>
      <c r="F4392">
        <v>128</v>
      </c>
      <c r="G4392">
        <v>99</v>
      </c>
      <c r="H4392">
        <v>100</v>
      </c>
      <c r="I4392" t="inlineStr">
        <is>
          <t>冰淇淋</t>
        </is>
      </c>
      <c r="J4392" t="inlineStr">
        <is>
          <t>0.13</t>
        </is>
      </c>
      <c r="K4392"/>
      <c r="L4392" t="inlineStr">
        <is>
          <t>皇太后御食生活的店</t>
        </is>
      </c>
      <c r="M4392">
        <v>37000</v>
      </c>
      <c r="N4392">
        <v>4.61</v>
      </c>
      <c r="O4392">
        <v>245000</v>
      </c>
      <c r="P4392" t="inlineStr">
        <is>
          <t>69c6241315bd74000144ea0d</t>
        </is>
      </c>
      <c r="Q4392" t="inlineStr">
        <is>
          <t>🚫重复</t>
        </is>
      </c>
      <c r="R4392" t="inlineStr">
        <is>
          <t>16周</t>
        </is>
      </c>
      <c r="S4392" t="inlineStr">
        <is>
          <t>0.02</t>
        </is>
      </c>
      <c r="T4392" t="inlineStr">
        <is>
          <t>美食滋补</t>
        </is>
      </c>
      <c r="U4392" t="inlineStr">
        <is>
          <t>休闲零食</t>
        </is>
      </c>
      <c r="V4392" s="3">
        <v>46127.98767361111</v>
      </c>
      <c r="W4392" t="inlineStr">
        <is>
          <t>2026-Q2</t>
        </is>
      </c>
    </row>
    <row r="4393" ht="25.5" customHeight="1">
      <c r="A4393" t="inlineStr">
        <is>
          <t>植物燃料 · VC充电 冷压柠檬汁 夏日柠檬水 大餐解腻0水0糖 全家安心喝</t>
        </is>
      </c>
      <c r="B4393" t="inlineStr">
        <is>
          <t>__upload_recvgSimhWiAP2.jpg</t>
        </is>
      </c>
      <c r="C4393" s="2" t="str">
        <f>=HYPERLINK("https://xhslink.com/m/2PkvJt4yqAJ", "https://xhslink.com/m/2PkvJt4yqAJ")</f>
        <v>https://xhslink.com/m/2PkvJt4yqAJ</v>
      </c>
      <c r="D4393"/>
      <c r="E4393">
        <v>9557</v>
      </c>
      <c r="F4393">
        <v>159</v>
      </c>
      <c r="G4393">
        <v>149</v>
      </c>
      <c r="H4393">
        <v>100</v>
      </c>
      <c r="I4393" t="inlineStr">
        <is>
          <t>夏日饮品</t>
        </is>
      </c>
      <c r="J4393" t="inlineStr">
        <is>
          <t>0.01</t>
        </is>
      </c>
      <c r="K4393"/>
      <c r="L4393" t="inlineStr">
        <is>
          <t>植物燃料旗舰店</t>
        </is>
      </c>
      <c r="M4393">
        <v>47000</v>
      </c>
      <c r="N4393">
        <v>4.43</v>
      </c>
      <c r="O4393">
        <v>61000</v>
      </c>
      <c r="P4393" t="inlineStr">
        <is>
          <t>643ce86d95fc7c000121719a</t>
        </is>
      </c>
      <c r="Q4393"/>
      <c r="R4393" t="inlineStr">
        <is>
          <t>16周</t>
        </is>
      </c>
      <c r="S4393" t="inlineStr">
        <is>
          <t>0.20</t>
        </is>
      </c>
      <c r="T4393" t="inlineStr">
        <is>
          <t>家居生活</t>
        </is>
      </c>
      <c r="U4393" t="inlineStr">
        <is>
          <t>家具家装</t>
        </is>
      </c>
      <c r="V4393" s="3">
        <v>46127.98767361111</v>
      </c>
      <c r="W4393" t="inlineStr">
        <is>
          <t>2026-Q2</t>
        </is>
      </c>
    </row>
    <row r="4394" ht="25.5" customHeight="1">
      <c r="A4394" t="inlineStr">
        <is>
          <t>【宠粉福利】花果茶29.9元10包（前5000单）</t>
        </is>
      </c>
      <c r="B4394" t="inlineStr">
        <is>
          <t>__upload_recvgSimhWn5oe.jpg</t>
        </is>
      </c>
      <c r="C4394" s="2" t="str">
        <f>=HYPERLINK("https://xhslink.com/m/2kQThfromwo", "https://xhslink.com/m/2kQThfromwo")</f>
        <v>https://xhslink.com/m/2kQThfromwo</v>
      </c>
      <c r="D4394"/>
      <c r="E4394">
        <v>22000</v>
      </c>
      <c r="F4394">
        <v>33.9</v>
      </c>
      <c r="G4394">
        <v>28.9</v>
      </c>
      <c r="H4394">
        <v>100</v>
      </c>
      <c r="I4394" t="inlineStr">
        <is>
          <t>夏日饮品</t>
        </is>
      </c>
      <c r="J4394" t="inlineStr">
        <is>
          <t>0.00</t>
        </is>
      </c>
      <c r="K4394" t="inlineStr">
        <is>
          <t>🔥低粉爆款</t>
        </is>
      </c>
      <c r="L4394" t="inlineStr">
        <is>
          <t>旭笙与茶的店</t>
        </is>
      </c>
      <c r="M4394">
        <v>2726</v>
      </c>
      <c r="N4394">
        <v>4.4</v>
      </c>
      <c r="O4394">
        <v>26000</v>
      </c>
      <c r="P4394" t="inlineStr">
        <is>
          <t>681c9b04c9e749000144be74</t>
        </is>
      </c>
      <c r="Q4394"/>
      <c r="R4394" t="inlineStr">
        <is>
          <t>16周</t>
        </is>
      </c>
      <c r="S4394" t="inlineStr">
        <is>
          <t>8.07</t>
        </is>
      </c>
      <c r="T4394" t="inlineStr">
        <is>
          <t>美食滋补</t>
        </is>
      </c>
      <c r="U4394" t="inlineStr">
        <is>
          <t>酒水冲饮</t>
        </is>
      </c>
      <c r="V4394" s="3">
        <v>46127.98767361111</v>
      </c>
      <c r="W4394" t="inlineStr">
        <is>
          <t>2026-Q2</t>
        </is>
      </c>
    </row>
    <row r="4395" ht="25.5" customHeight="1">
      <c r="A4395" t="inlineStr">
        <is>
          <t>人参蜜片/红参蜜片/西洋参蜜片（代客分装，需指定铁盒请备注）</t>
        </is>
      </c>
      <c r="B4395" t="inlineStr">
        <is>
          <t>__upload_recvgSimhW24Wu.jpg</t>
        </is>
      </c>
      <c r="C4395" s="2" t="str">
        <f>=HYPERLINK("https://xhslink.com/m/7yKaCCDkqkr", "https://xhslink.com/m/7yKaCCDkqkr")</f>
        <v>https://xhslink.com/m/7yKaCCDkqkr</v>
      </c>
      <c r="D4395"/>
      <c r="E4395">
        <v>52000</v>
      </c>
      <c r="F4395">
        <v>63.8</v>
      </c>
      <c r="G4395"/>
      <c r="H4395">
        <v>100</v>
      </c>
      <c r="I4395" t="inlineStr">
        <is>
          <t>气血滋补</t>
        </is>
      </c>
      <c r="J4395" t="inlineStr">
        <is>
          <t>0.00</t>
        </is>
      </c>
      <c r="K4395"/>
      <c r="L4395" t="inlineStr">
        <is>
          <t>奔燕的滋补小铺的店</t>
        </is>
      </c>
      <c r="M4395">
        <v>37000</v>
      </c>
      <c r="N4395">
        <v>4.76</v>
      </c>
      <c r="O4395">
        <v>126000</v>
      </c>
      <c r="P4395" t="inlineStr">
        <is>
          <t>67345b0428ba0100012b415a</t>
        </is>
      </c>
      <c r="Q4395" t="inlineStr">
        <is>
          <t>🚫重复</t>
        </is>
      </c>
      <c r="R4395" t="inlineStr">
        <is>
          <t>16周</t>
        </is>
      </c>
      <c r="S4395" t="inlineStr">
        <is>
          <t>1.41</t>
        </is>
      </c>
      <c r="T4395" t="inlineStr">
        <is>
          <t>美食滋补</t>
        </is>
      </c>
      <c r="U4395" t="inlineStr">
        <is>
          <t>营养滋补</t>
        </is>
      </c>
      <c r="V4395" s="3">
        <v>46127.98767361111</v>
      </c>
      <c r="W4395" t="inlineStr">
        <is>
          <t>2026-Q2</t>
        </is>
      </c>
    </row>
    <row r="4396" ht="25.5" customHeight="1">
      <c r="A4396" t="inlineStr">
        <is>
          <t>【五红粉】三蒸三晒红枣红花生红豆红米枸杞即食代餐不上火五红汤</t>
        </is>
      </c>
      <c r="B4396" t="inlineStr">
        <is>
          <t>__upload_recvgSimhW7Vvv.jpg</t>
        </is>
      </c>
      <c r="C4396" s="2" t="str">
        <f>=HYPERLINK("https://xhslink.com/m/8rvMHmAsIqG", "https://xhslink.com/m/8rvMHmAsIqG")</f>
        <v>https://xhslink.com/m/8rvMHmAsIqG</v>
      </c>
      <c r="D4396"/>
      <c r="E4396">
        <v>4845</v>
      </c>
      <c r="F4396">
        <v>16.9</v>
      </c>
      <c r="G4396">
        <v>11.9</v>
      </c>
      <c r="H4396">
        <v>100</v>
      </c>
      <c r="I4396" t="inlineStr">
        <is>
          <t>气血滋补</t>
        </is>
      </c>
      <c r="J4396" t="inlineStr">
        <is>
          <t>0.02</t>
        </is>
      </c>
      <c r="K4396" t="inlineStr">
        <is>
          <t>🔥低粉爆款</t>
        </is>
      </c>
      <c r="L4396" t="inlineStr">
        <is>
          <t>曈昽小记轻食养的店</t>
        </is>
      </c>
      <c r="M4396">
        <v>395</v>
      </c>
      <c r="N4396">
        <v>4.67</v>
      </c>
      <c r="O4396">
        <v>18000</v>
      </c>
      <c r="P4396" t="inlineStr">
        <is>
          <t>68ce081e24f1f800010585ab</t>
        </is>
      </c>
      <c r="Q4396"/>
      <c r="R4396" t="inlineStr">
        <is>
          <t>16周</t>
        </is>
      </c>
      <c r="S4396" t="inlineStr">
        <is>
          <t>12.27</t>
        </is>
      </c>
      <c r="T4396" t="inlineStr">
        <is>
          <t>美食滋补</t>
        </is>
      </c>
      <c r="U4396" t="inlineStr">
        <is>
          <t>休闲零食</t>
        </is>
      </c>
      <c r="V4396" s="3">
        <v>46127.98767361111</v>
      </c>
      <c r="W4396" t="inlineStr">
        <is>
          <t>2026-Q2</t>
        </is>
      </c>
    </row>
    <row r="4397" ht="25.5" customHeight="1">
      <c r="A4397" t="inlineStr">
        <is>
          <t>HARIBO · 现货！限量联名德国哈瑞宝小熊橡皮软糖哈利波特联名限定款</t>
        </is>
      </c>
      <c r="B4397" t="inlineStr">
        <is>
          <t>__upload_recvgSimhWNUV9.jpg</t>
        </is>
      </c>
      <c r="C4397" s="2" t="str">
        <f>=HYPERLINK("https://xhslink.com/m/8H05S4EjXTv", "https://xhslink.com/m/8H05S4EjXTv")</f>
        <v>https://xhslink.com/m/8H05S4EjXTv</v>
      </c>
      <c r="D4397"/>
      <c r="E4397">
        <v>41000</v>
      </c>
      <c r="F4397">
        <v>21.9</v>
      </c>
      <c r="G4397"/>
      <c r="H4397">
        <v>100</v>
      </c>
      <c r="I4397" t="inlineStr">
        <is>
          <t>棉花糖</t>
        </is>
      </c>
      <c r="J4397" t="inlineStr">
        <is>
          <t>0.00</t>
        </is>
      </c>
      <c r="K4397" t="inlineStr">
        <is>
          <t>🔥低粉爆款</t>
        </is>
      </c>
      <c r="L4397" t="inlineStr">
        <is>
          <t>榛子🌰的店</t>
        </is>
      </c>
      <c r="M4397">
        <v>1724</v>
      </c>
      <c r="N4397">
        <v>4.5</v>
      </c>
      <c r="O4397">
        <v>47000</v>
      </c>
      <c r="P4397" t="inlineStr">
        <is>
          <t>67e798a784aef500010fcc1a</t>
        </is>
      </c>
      <c r="Q4397" t="inlineStr">
        <is>
          <t>🚫重复</t>
        </is>
      </c>
      <c r="R4397" t="inlineStr">
        <is>
          <t>16周</t>
        </is>
      </c>
      <c r="S4397" t="inlineStr">
        <is>
          <t>23.78</t>
        </is>
      </c>
      <c r="T4397" t="inlineStr">
        <is>
          <t>美食滋补</t>
        </is>
      </c>
      <c r="U4397" t="inlineStr">
        <is>
          <t>休闲零食</t>
        </is>
      </c>
      <c r="V4397" s="3">
        <v>46127.98767361111</v>
      </c>
      <c r="W4397" t="inlineStr">
        <is>
          <t>2026-Q2</t>
        </is>
      </c>
    </row>
    <row r="4398" ht="25.5" customHeight="1">
      <c r="A4398" t="inlineStr">
        <is>
          <t>PGIT · 【军训鞋垫】【吸汗防臭】推荐舒服运动久站不累皮鞋防滑踩屎感夏</t>
        </is>
      </c>
      <c r="B4398" t="inlineStr">
        <is>
          <t>__upload_recvgSimhW9XkC.jpg</t>
        </is>
      </c>
      <c r="C4398" s="2" t="str">
        <f>=HYPERLINK("https://xhslink.com/m/99Vhpk9WaYP", "https://xhslink.com/m/99Vhpk9WaYP")</f>
        <v>https://xhslink.com/m/99Vhpk9WaYP</v>
      </c>
      <c r="D4398"/>
      <c r="E4398">
        <v>36000</v>
      </c>
      <c r="F4398">
        <v>74</v>
      </c>
      <c r="G4398"/>
      <c r="H4398">
        <v>100</v>
      </c>
      <c r="I4398" t="inlineStr">
        <is>
          <t>鞋垫</t>
        </is>
      </c>
      <c r="J4398" t="inlineStr">
        <is>
          <t>0.00</t>
        </is>
      </c>
      <c r="K4398" t="inlineStr">
        <is>
          <t>🔥低粉爆款</t>
        </is>
      </c>
      <c r="L4398" t="inlineStr">
        <is>
          <t>PGIT旗舰店</t>
        </is>
      </c>
      <c r="M4398">
        <v>9863</v>
      </c>
      <c r="N4398">
        <v>4.74</v>
      </c>
      <c r="O4398">
        <v>352000</v>
      </c>
      <c r="P4398" t="inlineStr">
        <is>
          <t>6789f6f9eefe64000126276e</t>
        </is>
      </c>
      <c r="Q4398"/>
      <c r="R4398" t="inlineStr">
        <is>
          <t>16周</t>
        </is>
      </c>
      <c r="S4398" t="inlineStr">
        <is>
          <t>3.65</t>
        </is>
      </c>
      <c r="T4398" t="inlineStr">
        <is>
          <t>服饰穿搭</t>
        </is>
      </c>
      <c r="U4398" t="inlineStr">
        <is>
          <t>鞋靴箱包</t>
        </is>
      </c>
      <c r="V4398" s="3">
        <v>46127.98767361111</v>
      </c>
      <c r="W4398" t="inlineStr">
        <is>
          <t>2026-Q2</t>
        </is>
      </c>
    </row>
    <row r="4399" ht="25.5" customHeight="1">
      <c r="A4399" t="inlineStr">
        <is>
          <t>吴茱萸足贴上热下寒膏贴肉桂足底贴引火下行暖身足贴</t>
        </is>
      </c>
      <c r="B4399" t="inlineStr">
        <is>
          <t>__upload_recvgSimhWWsEq.jpg</t>
        </is>
      </c>
      <c r="C4399" s="2" t="str">
        <f>=HYPERLINK("https://xhslink.com/m/tzaWYrejfX", "https://xhslink.com/m/tzaWYrejfX")</f>
        <v>https://xhslink.com/m/tzaWYrejfX</v>
      </c>
      <c r="D4399"/>
      <c r="E4399">
        <v>795</v>
      </c>
      <c r="F4399">
        <v>159.9</v>
      </c>
      <c r="G4399"/>
      <c r="H4399">
        <v>100</v>
      </c>
      <c r="I4399" t="inlineStr">
        <is>
          <t>上热下寒</t>
        </is>
      </c>
      <c r="J4399" t="inlineStr">
        <is>
          <t>0.13</t>
        </is>
      </c>
      <c r="K4399"/>
      <c r="L4399" t="inlineStr">
        <is>
          <t>沐春枫的店</t>
        </is>
      </c>
      <c r="M4399">
        <v>2066</v>
      </c>
      <c r="N4399">
        <v>4.29</v>
      </c>
      <c r="O4399">
        <v>1092</v>
      </c>
      <c r="P4399" t="inlineStr">
        <is>
          <t>697c31b3ab9b880001a58cf2</t>
        </is>
      </c>
      <c r="Q4399"/>
      <c r="R4399" t="inlineStr">
        <is>
          <t>16周</t>
        </is>
      </c>
      <c r="S4399" t="inlineStr">
        <is>
          <t>0.38</t>
        </is>
      </c>
      <c r="T4399" t="inlineStr">
        <is>
          <t>美食滋补</t>
        </is>
      </c>
      <c r="U4399" t="inlineStr">
        <is>
          <t>营养滋补</t>
        </is>
      </c>
      <c r="V4399" s="3">
        <v>46127.98767361111</v>
      </c>
      <c r="W4399" t="inlineStr">
        <is>
          <t>2026-Q2</t>
        </is>
      </c>
    </row>
    <row r="4400" ht="25.5" customHeight="1">
      <c r="A4400" t="inlineStr">
        <is>
          <t>3.16春季新款韩版宽松休闲拉链纯色运动防shai连帽外套D805911</t>
        </is>
      </c>
      <c r="B4400" t="inlineStr">
        <is>
          <t>__upload_recvgSimhW3iUw.jpg</t>
        </is>
      </c>
      <c r="C4400" s="2" t="str">
        <f>=HYPERLINK("https://xhslink.com/m/6P7CO16zpWk", "https://xhslink.com/m/6P7CO16zpWk")</f>
        <v>https://xhslink.com/m/6P7CO16zpWk</v>
      </c>
      <c r="D4400"/>
      <c r="E4400">
        <v>1065</v>
      </c>
      <c r="F4400">
        <v>45</v>
      </c>
      <c r="G4400"/>
      <c r="H4400">
        <v>100</v>
      </c>
      <c r="I4400" t="inlineStr">
        <is>
          <t>防晒衣</t>
        </is>
      </c>
      <c r="J4400" t="inlineStr">
        <is>
          <t>0.09</t>
        </is>
      </c>
      <c r="K4400"/>
      <c r="L4400" t="inlineStr">
        <is>
          <t>裂诺888的店</t>
        </is>
      </c>
      <c r="M4400">
        <v>29000</v>
      </c>
      <c r="N4400">
        <v>4.65</v>
      </c>
      <c r="O4400">
        <v>171000</v>
      </c>
      <c r="P4400" t="inlineStr">
        <is>
          <t>69b7fd515e5f050001cf11fc</t>
        </is>
      </c>
      <c r="Q4400" t="inlineStr">
        <is>
          <t>🚫重复</t>
        </is>
      </c>
      <c r="R4400" t="inlineStr">
        <is>
          <t>16周</t>
        </is>
      </c>
      <c r="S4400" t="inlineStr">
        <is>
          <t>0.04</t>
        </is>
      </c>
      <c r="T4400" t="inlineStr">
        <is>
          <t>服饰穿搭</t>
        </is>
      </c>
      <c r="U4400" t="inlineStr">
        <is>
          <t>女装</t>
        </is>
      </c>
      <c r="V4400" s="3">
        <v>46127.98767361111</v>
      </c>
      <c r="W4400" t="inlineStr">
        <is>
          <t>2026-Q2</t>
        </is>
      </c>
    </row>
    <row r="4401" ht="25.5" customHeight="1">
      <c r="A4401" t="inlineStr">
        <is>
          <t>26春夏！亚麻金丝条纹短袖</t>
        </is>
      </c>
      <c r="B4401" t="inlineStr">
        <is>
          <t>__upload_recvgSimhWFSZa.jpg</t>
        </is>
      </c>
      <c r="C4401" s="2" t="str">
        <f>=HYPERLINK("https://xhslink.com/m/9WLaLJXYVCi", "https://xhslink.com/m/9WLaLJXYVCi")</f>
        <v>https://xhslink.com/m/9WLaLJXYVCi</v>
      </c>
      <c r="D4401"/>
      <c r="E4401">
        <v>2612</v>
      </c>
      <c r="F4401">
        <v>298</v>
      </c>
      <c r="G4401"/>
      <c r="H4401">
        <v>100</v>
      </c>
      <c r="I4401" t="inlineStr">
        <is>
          <t>短袖</t>
        </is>
      </c>
      <c r="J4401" t="inlineStr">
        <is>
          <t>0.04</t>
        </is>
      </c>
      <c r="K4401"/>
      <c r="L4401" t="inlineStr">
        <is>
          <t>高坂大叔的店</t>
        </is>
      </c>
      <c r="M4401">
        <v>116000</v>
      </c>
      <c r="N4401">
        <v>4.76</v>
      </c>
      <c r="O4401">
        <v>470000</v>
      </c>
      <c r="P4401" t="inlineStr">
        <is>
          <t>69ba13d415bd740001da9005</t>
        </is>
      </c>
      <c r="Q4401" t="inlineStr">
        <is>
          <t>🚫重复</t>
        </is>
      </c>
      <c r="R4401" t="inlineStr">
        <is>
          <t>16周</t>
        </is>
      </c>
      <c r="S4401" t="inlineStr">
        <is>
          <t>0.02</t>
        </is>
      </c>
      <c r="T4401" t="inlineStr">
        <is>
          <t>服饰穿搭</t>
        </is>
      </c>
      <c r="U4401" t="inlineStr">
        <is>
          <t>女装</t>
        </is>
      </c>
      <c r="V4401" s="3">
        <v>46127.98767361111</v>
      </c>
      <c r="W4401" t="inlineStr">
        <is>
          <t>2026-Q2</t>
        </is>
      </c>
    </row>
    <row r="4402" ht="25.5" customHeight="1">
      <c r="A4402" t="inlineStr">
        <is>
          <t>mont·bell · 速干外套轻薄连帽衫夏季户外舒适时尚百搭ootd外套女1114637</t>
        </is>
      </c>
      <c r="B4402" t="inlineStr">
        <is>
          <t>__upload_recvgSimhWKPks.jpg</t>
        </is>
      </c>
      <c r="C4402" s="2" t="str">
        <f>=HYPERLINK("https://xhslink.com/m/20TDZDTJ7m5", "https://xhslink.com/m/20TDZDTJ7m5")</f>
        <v>https://xhslink.com/m/20TDZDTJ7m5</v>
      </c>
      <c r="D4402"/>
      <c r="E4402">
        <v>1538</v>
      </c>
      <c r="F4402">
        <v>769</v>
      </c>
      <c r="G4402">
        <v>653.65</v>
      </c>
      <c r="H4402">
        <v>100</v>
      </c>
      <c r="I4402" t="inlineStr">
        <is>
          <t>短袖</t>
        </is>
      </c>
      <c r="J4402" t="inlineStr">
        <is>
          <t>0.07</t>
        </is>
      </c>
      <c r="K4402"/>
      <c r="L4402" t="inlineStr">
        <is>
          <t>montbell旗舰店</t>
        </is>
      </c>
      <c r="M4402">
        <v>94000</v>
      </c>
      <c r="N4402">
        <v>4.64</v>
      </c>
      <c r="O4402">
        <v>141000</v>
      </c>
      <c r="P4402" t="inlineStr">
        <is>
          <t>64d5aa87de662e00013f096e</t>
        </is>
      </c>
      <c r="Q4402"/>
      <c r="R4402" t="inlineStr">
        <is>
          <t>16周</t>
        </is>
      </c>
      <c r="S4402" t="inlineStr">
        <is>
          <t>0.02</t>
        </is>
      </c>
      <c r="T4402" t="inlineStr">
        <is>
          <t>服饰穿搭</t>
        </is>
      </c>
      <c r="U4402" t="inlineStr">
        <is>
          <t>女装</t>
        </is>
      </c>
      <c r="V4402" s="3">
        <v>46127.98767361111</v>
      </c>
      <c r="W4402" t="inlineStr">
        <is>
          <t>2026-Q2</t>
        </is>
      </c>
    </row>
    <row r="4403" ht="25.5" customHeight="1">
      <c r="A4403" t="inlineStr">
        <is>
          <t>2026春夏新款小个子正肩纯色短袖T恤女小众设计圆领休闲百搭上衣</t>
        </is>
      </c>
      <c r="B4403" t="inlineStr">
        <is>
          <t>__upload_recvgSimhWOxYl.jpg</t>
        </is>
      </c>
      <c r="C4403" s="2" t="str">
        <f>=HYPERLINK("https://xhslink.com/m/srrNj7UGff", "https://xhslink.com/m/srrNj7UGff")</f>
        <v>https://xhslink.com/m/srrNj7UGff</v>
      </c>
      <c r="D4403"/>
      <c r="E4403">
        <v>9133</v>
      </c>
      <c r="F4403">
        <v>34</v>
      </c>
      <c r="G4403">
        <v>28.9</v>
      </c>
      <c r="H4403">
        <v>100</v>
      </c>
      <c r="I4403" t="inlineStr">
        <is>
          <t>短袖</t>
        </is>
      </c>
      <c r="J4403" t="inlineStr">
        <is>
          <t>0.01</t>
        </is>
      </c>
      <c r="K4403"/>
      <c r="L4403" t="inlineStr">
        <is>
          <t>葵秋潮牌的店</t>
        </is>
      </c>
      <c r="M4403">
        <v>54000</v>
      </c>
      <c r="N4403">
        <v>4.64</v>
      </c>
      <c r="O4403">
        <v>420000</v>
      </c>
      <c r="P4403" t="inlineStr">
        <is>
          <t>63e9ddd094975b000145fd4d</t>
        </is>
      </c>
      <c r="Q4403" t="inlineStr">
        <is>
          <t>🚫重复</t>
        </is>
      </c>
      <c r="R4403" t="inlineStr">
        <is>
          <t>16周</t>
        </is>
      </c>
      <c r="S4403" t="inlineStr">
        <is>
          <t>0.17</t>
        </is>
      </c>
      <c r="T4403" t="inlineStr">
        <is>
          <t>服饰穿搭</t>
        </is>
      </c>
      <c r="U4403" t="inlineStr">
        <is>
          <t>女装</t>
        </is>
      </c>
      <c r="V4403" s="3">
        <v>46127.98767361111</v>
      </c>
      <c r="W4403" t="inlineStr">
        <is>
          <t>2026-Q2</t>
        </is>
      </c>
    </row>
    <row r="4404" ht="25.5" customHeight="1">
      <c r="A4404" t="inlineStr">
        <is>
          <t>首发/小精灵纯棉印花短袖T恤水洗破坏做旧男女同款</t>
        </is>
      </c>
      <c r="B4404" t="inlineStr">
        <is>
          <t>__upload_recvgSimhWJ2Tb.jpg</t>
        </is>
      </c>
      <c r="C4404" s="2" t="str">
        <f>=HYPERLINK("https://xhslink.com/m/2brwFRbhvI", "https://xhslink.com/m/2brwFRbhvI")</f>
        <v>https://xhslink.com/m/2brwFRbhvI</v>
      </c>
      <c r="D4404"/>
      <c r="E4404">
        <v>2650</v>
      </c>
      <c r="F4404">
        <v>149</v>
      </c>
      <c r="G4404"/>
      <c r="H4404">
        <v>100</v>
      </c>
      <c r="I4404" t="inlineStr">
        <is>
          <t>短袖</t>
        </is>
      </c>
      <c r="J4404" t="inlineStr">
        <is>
          <t>0.04</t>
        </is>
      </c>
      <c r="K4404"/>
      <c r="L4404" t="inlineStr">
        <is>
          <t>毛线momo的店</t>
        </is>
      </c>
      <c r="M4404">
        <v>7680</v>
      </c>
      <c r="N4404">
        <v>4.74</v>
      </c>
      <c r="O4404">
        <v>32000</v>
      </c>
      <c r="P4404" t="inlineStr">
        <is>
          <t>6989c0035b50a300013c9130</t>
        </is>
      </c>
      <c r="Q4404" t="inlineStr">
        <is>
          <t>🚫重复</t>
        </is>
      </c>
      <c r="R4404" t="inlineStr">
        <is>
          <t>16周</t>
        </is>
      </c>
      <c r="S4404" t="inlineStr">
        <is>
          <t>0.35</t>
        </is>
      </c>
      <c r="T4404" t="inlineStr">
        <is>
          <t>服饰穿搭</t>
        </is>
      </c>
      <c r="U4404" t="inlineStr">
        <is>
          <t>女装</t>
        </is>
      </c>
      <c r="V4404" s="3">
        <v>46127.98767361111</v>
      </c>
      <c r="W4404" t="inlineStr">
        <is>
          <t>2026-Q2</t>
        </is>
      </c>
    </row>
    <row r="4405" ht="25.5" customHeight="1">
      <c r="A4405" t="inlineStr">
        <is>
          <t>【前1500单减30】美式正肩高街亨利领短袖t恤男女夏季短款上衣</t>
        </is>
      </c>
      <c r="B4405" t="inlineStr">
        <is>
          <t>__upload_recvgSimhWvuVd.jpg</t>
        </is>
      </c>
      <c r="C4405" s="2" t="str">
        <f>=HYPERLINK("https://xhslink.com/m/46kEPnp04iu", "https://xhslink.com/m/46kEPnp04iu")</f>
        <v>https://xhslink.com/m/46kEPnp04iu</v>
      </c>
      <c r="D4405"/>
      <c r="E4405">
        <v>1251</v>
      </c>
      <c r="F4405">
        <v>86.9</v>
      </c>
      <c r="G4405">
        <v>56.9</v>
      </c>
      <c r="H4405">
        <v>100</v>
      </c>
      <c r="I4405" t="inlineStr">
        <is>
          <t>短袖</t>
        </is>
      </c>
      <c r="J4405" t="inlineStr">
        <is>
          <t>0.08</t>
        </is>
      </c>
      <c r="K4405"/>
      <c r="L4405" t="inlineStr">
        <is>
          <t>雪雪搭子户外的店</t>
        </is>
      </c>
      <c r="M4405">
        <v>2110</v>
      </c>
      <c r="N4405">
        <v>4.55</v>
      </c>
      <c r="O4405">
        <v>30000</v>
      </c>
      <c r="P4405" t="inlineStr">
        <is>
          <t>694b8d82110a7f0001bffd74</t>
        </is>
      </c>
      <c r="Q4405" t="inlineStr">
        <is>
          <t>🚫重复</t>
        </is>
      </c>
      <c r="R4405" t="inlineStr">
        <is>
          <t>16周</t>
        </is>
      </c>
      <c r="S4405" t="inlineStr">
        <is>
          <t>0.59</t>
        </is>
      </c>
      <c r="T4405" t="inlineStr">
        <is>
          <t>服饰穿搭</t>
        </is>
      </c>
      <c r="U4405" t="inlineStr">
        <is>
          <t>女装</t>
        </is>
      </c>
      <c r="V4405" s="3">
        <v>46127.98767361111</v>
      </c>
      <c r="W4405" t="inlineStr">
        <is>
          <t>2026-Q2</t>
        </is>
      </c>
    </row>
    <row r="4406" ht="25.5" customHeight="1">
      <c r="A4406" t="inlineStr">
        <is>
          <t>简约黑色正肩短袖女2026新款夏季纯棉t恤显高显瘦小个子修身上衣</t>
        </is>
      </c>
      <c r="B4406" t="inlineStr">
        <is>
          <t>__upload_recvgSimhW2uND.jpg</t>
        </is>
      </c>
      <c r="C4406" s="2" t="str">
        <f>=HYPERLINK("https://xhslink.com/m/18oVMBZ7VKY", "https://xhslink.com/m/18oVMBZ7VKY")</f>
        <v>https://xhslink.com/m/18oVMBZ7VKY</v>
      </c>
      <c r="D4406"/>
      <c r="E4406">
        <v>17000</v>
      </c>
      <c r="F4406">
        <v>35.9</v>
      </c>
      <c r="G4406">
        <v>34.9</v>
      </c>
      <c r="H4406">
        <v>100</v>
      </c>
      <c r="I4406" t="inlineStr">
        <is>
          <t>短袖</t>
        </is>
      </c>
      <c r="J4406" t="inlineStr">
        <is>
          <t>0.01</t>
        </is>
      </c>
      <c r="K4406"/>
      <c r="L4406" t="inlineStr">
        <is>
          <t>HSYE原创工作室的店</t>
        </is>
      </c>
      <c r="M4406">
        <v>86000</v>
      </c>
      <c r="N4406">
        <v>4.69</v>
      </c>
      <c r="O4406">
        <v>470000</v>
      </c>
      <c r="P4406" t="inlineStr">
        <is>
          <t>67bc11e67198db000125849c</t>
        </is>
      </c>
      <c r="Q4406" t="inlineStr">
        <is>
          <t>🚫重复</t>
        </is>
      </c>
      <c r="R4406" t="inlineStr">
        <is>
          <t>16周</t>
        </is>
      </c>
      <c r="S4406" t="inlineStr">
        <is>
          <t>0.20</t>
        </is>
      </c>
      <c r="T4406" t="inlineStr">
        <is>
          <t>服饰穿搭</t>
        </is>
      </c>
      <c r="U4406" t="inlineStr">
        <is>
          <t>女装</t>
        </is>
      </c>
      <c r="V4406" s="3">
        <v>46127.98767361111</v>
      </c>
      <c r="W4406" t="inlineStr">
        <is>
          <t>2026-Q2</t>
        </is>
      </c>
    </row>
    <row r="4407" ht="25.5" customHeight="1">
      <c r="A4407" t="inlineStr">
        <is>
          <t>法式白色衬衫女2026夏季新款设计感小众短袖衬衣中袖五分袖上衣</t>
        </is>
      </c>
      <c r="B4407" t="inlineStr">
        <is>
          <t>__upload_recvgSimhWzuDa.jpg</t>
        </is>
      </c>
      <c r="C4407" s="2" t="str">
        <f>=HYPERLINK("https://xhslink.com/m/6lVSDF8DJdn", "https://xhslink.com/m/6lVSDF8DJdn")</f>
        <v>https://xhslink.com/m/6lVSDF8DJdn</v>
      </c>
      <c r="D4407"/>
      <c r="E4407">
        <v>27000</v>
      </c>
      <c r="F4407">
        <v>89</v>
      </c>
      <c r="G4407"/>
      <c r="H4407">
        <v>100</v>
      </c>
      <c r="I4407" t="inlineStr">
        <is>
          <t>短袖</t>
        </is>
      </c>
      <c r="J4407" t="inlineStr">
        <is>
          <t>0.00</t>
        </is>
      </c>
      <c r="K4407"/>
      <c r="L4407" t="inlineStr">
        <is>
          <t>KK穿搭分享~的店</t>
        </is>
      </c>
      <c r="M4407">
        <v>597000</v>
      </c>
      <c r="N4407">
        <v>4.6</v>
      </c>
      <c r="O4407">
        <v>3115000</v>
      </c>
      <c r="P4407" t="inlineStr">
        <is>
          <t>663a3f0c392bd50001b2d968</t>
        </is>
      </c>
      <c r="Q4407" t="inlineStr">
        <is>
          <t>🚫重复</t>
        </is>
      </c>
      <c r="R4407" t="inlineStr">
        <is>
          <t>16周</t>
        </is>
      </c>
      <c r="S4407" t="inlineStr">
        <is>
          <t>0.05</t>
        </is>
      </c>
      <c r="T4407" t="inlineStr">
        <is>
          <t>服饰穿搭</t>
        </is>
      </c>
      <c r="U4407" t="inlineStr">
        <is>
          <t>女装</t>
        </is>
      </c>
      <c r="V4407" s="3">
        <v>46127.98767361111</v>
      </c>
      <c r="W4407" t="inlineStr">
        <is>
          <t>2026-Q2</t>
        </is>
      </c>
    </row>
    <row r="4408" ht="25.5" customHeight="1">
      <c r="A4408" t="inlineStr">
        <is>
          <t>GORRI · 春夏轻薄微透海星印花长袖亚麻T恤宽松空调罩衫慵懒休闲上衣</t>
        </is>
      </c>
      <c r="B4408" t="inlineStr">
        <is>
          <t>__upload_recvgSimhWzMjP.jpg</t>
        </is>
      </c>
      <c r="C4408" s="2" t="str">
        <f>=HYPERLINK("https://xhslink.com/m/A8Giac9ROrk", "https://xhslink.com/m/A8Giac9ROrk")</f>
        <v>https://xhslink.com/m/A8Giac9ROrk</v>
      </c>
      <c r="D4408"/>
      <c r="E4408">
        <v>4206</v>
      </c>
      <c r="F4408">
        <v>298</v>
      </c>
      <c r="G4408"/>
      <c r="H4408">
        <v>100</v>
      </c>
      <c r="I4408" t="inlineStr">
        <is>
          <t>短袖</t>
        </is>
      </c>
      <c r="J4408" t="inlineStr">
        <is>
          <t>0.02</t>
        </is>
      </c>
      <c r="K4408"/>
      <c r="L4408" t="inlineStr">
        <is>
          <t>GORRI的店</t>
        </is>
      </c>
      <c r="M4408">
        <v>3915</v>
      </c>
      <c r="N4408">
        <v>4.47</v>
      </c>
      <c r="O4408">
        <v>27000</v>
      </c>
      <c r="P4408" t="inlineStr">
        <is>
          <t>682ac4a74ba3f000015a2277</t>
        </is>
      </c>
      <c r="Q4408"/>
      <c r="R4408" t="inlineStr">
        <is>
          <t>16周</t>
        </is>
      </c>
      <c r="S4408" t="inlineStr">
        <is>
          <t>1.07</t>
        </is>
      </c>
      <c r="T4408" t="inlineStr">
        <is>
          <t>服饰穿搭</t>
        </is>
      </c>
      <c r="U4408" t="inlineStr">
        <is>
          <t>女装</t>
        </is>
      </c>
      <c r="V4408" s="3">
        <v>46127.98767361111</v>
      </c>
      <c r="W4408" t="inlineStr">
        <is>
          <t>2026-Q2</t>
        </is>
      </c>
    </row>
    <row r="4409" ht="25.5" customHeight="1">
      <c r="A4409" t="inlineStr">
        <is>
          <t>pink amy · 曲线芭比短袖修身收腰显瘦u领甜辣上衣女夏辣妹正肩t恤</t>
        </is>
      </c>
      <c r="B4409" t="inlineStr">
        <is>
          <t>__upload_recvgSimhWiDIc.jpg</t>
        </is>
      </c>
      <c r="C4409" s="2" t="str">
        <f>=HYPERLINK("https://xhslink.com/m/8bJ6oiXE8SJ", "https://xhslink.com/m/8bJ6oiXE8SJ")</f>
        <v>https://xhslink.com/m/8bJ6oiXE8SJ</v>
      </c>
      <c r="D4409"/>
      <c r="E4409">
        <v>1048</v>
      </c>
      <c r="F4409">
        <v>69.9</v>
      </c>
      <c r="G4409">
        <v>61.51</v>
      </c>
      <c r="H4409">
        <v>100</v>
      </c>
      <c r="I4409" t="inlineStr">
        <is>
          <t>短袖</t>
        </is>
      </c>
      <c r="J4409" t="inlineStr">
        <is>
          <t>0.10</t>
        </is>
      </c>
      <c r="K4409"/>
      <c r="L4409" t="inlineStr">
        <is>
          <t>PINK AMY旗舰店</t>
        </is>
      </c>
      <c r="M4409">
        <v>33000</v>
      </c>
      <c r="N4409">
        <v>4.61</v>
      </c>
      <c r="O4409">
        <v>552000</v>
      </c>
      <c r="P4409" t="inlineStr">
        <is>
          <t>69897e033067f40001ea3b28</t>
        </is>
      </c>
      <c r="Q4409" t="inlineStr">
        <is>
          <t>🚫重复</t>
        </is>
      </c>
      <c r="R4409" t="inlineStr">
        <is>
          <t>16周</t>
        </is>
      </c>
      <c r="S4409" t="inlineStr">
        <is>
          <t>0.03</t>
        </is>
      </c>
      <c r="T4409" t="inlineStr">
        <is>
          <t>服饰穿搭</t>
        </is>
      </c>
      <c r="U4409" t="inlineStr">
        <is>
          <t>女装</t>
        </is>
      </c>
      <c r="V4409" s="3">
        <v>46127.98767361111</v>
      </c>
      <c r="W4409" t="inlineStr">
        <is>
          <t>2026-Q2</t>
        </is>
      </c>
    </row>
    <row r="4410" ht="25.5" customHeight="1">
      <c r="A4410" t="inlineStr">
        <is>
          <t>大屿 2026春夏 韩系高级感亚麻针织短袖</t>
        </is>
      </c>
      <c r="B4410" t="inlineStr">
        <is>
          <t>__upload_recvgSimhWNqyo.jpg</t>
        </is>
      </c>
      <c r="C4410" s="2" t="str">
        <f>=HYPERLINK("https://xhslink.com/m/63z3LwV4ffN", "https://xhslink.com/m/63z3LwV4ffN")</f>
        <v>https://xhslink.com/m/63z3LwV4ffN</v>
      </c>
      <c r="D4410"/>
      <c r="E4410">
        <v>837</v>
      </c>
      <c r="F4410">
        <v>298</v>
      </c>
      <c r="G4410">
        <v>198</v>
      </c>
      <c r="H4410">
        <v>100</v>
      </c>
      <c r="I4410" t="inlineStr">
        <is>
          <t>短袖</t>
        </is>
      </c>
      <c r="J4410" t="inlineStr">
        <is>
          <t>0.12</t>
        </is>
      </c>
      <c r="K4410"/>
      <c r="L4410" t="inlineStr">
        <is>
          <t>大屿_studio的店</t>
        </is>
      </c>
      <c r="M4410">
        <v>44000</v>
      </c>
      <c r="N4410">
        <v>4.75</v>
      </c>
      <c r="O4410">
        <v>197000</v>
      </c>
      <c r="P4410" t="inlineStr">
        <is>
          <t>69b256219b4aae0001ee4a50</t>
        </is>
      </c>
      <c r="Q4410" t="inlineStr">
        <is>
          <t>🚫重复</t>
        </is>
      </c>
      <c r="R4410" t="inlineStr">
        <is>
          <t>16周</t>
        </is>
      </c>
      <c r="S4410" t="inlineStr">
        <is>
          <t>0.02</t>
        </is>
      </c>
      <c r="T4410" t="inlineStr">
        <is>
          <t>服饰穿搭</t>
        </is>
      </c>
      <c r="U4410" t="inlineStr">
        <is>
          <t>女装</t>
        </is>
      </c>
      <c r="V4410" s="3">
        <v>46127.98767361111</v>
      </c>
      <c r="W4410" t="inlineStr">
        <is>
          <t>2026-Q2</t>
        </is>
      </c>
    </row>
    <row r="4411" ht="25.5" customHeight="1">
      <c r="A4411" t="inlineStr">
        <is>
          <t>贝壳项链露背t 荡领长袖T恤女春夏珠链宽松堆叠慵懒上衣/连衣裙</t>
        </is>
      </c>
      <c r="B4411" t="inlineStr">
        <is>
          <t>__upload_recvgSimhWxBHy.jpg</t>
        </is>
      </c>
      <c r="C4411" s="2" t="str">
        <f>=HYPERLINK("https://xhslink.com/m/8JVEimDe5gT", "https://xhslink.com/m/8JVEimDe5gT")</f>
        <v>https://xhslink.com/m/8JVEimDe5gT</v>
      </c>
      <c r="D4411"/>
      <c r="E4411">
        <v>6039</v>
      </c>
      <c r="F4411">
        <v>229</v>
      </c>
      <c r="G4411"/>
      <c r="H4411">
        <v>100</v>
      </c>
      <c r="I4411" t="inlineStr">
        <is>
          <t>短袖</t>
        </is>
      </c>
      <c r="J4411" t="inlineStr">
        <is>
          <t>0.02</t>
        </is>
      </c>
      <c r="K4411"/>
      <c r="L4411" t="inlineStr">
        <is>
          <t>CALI陈陈的店</t>
        </is>
      </c>
      <c r="M4411">
        <v>22000</v>
      </c>
      <c r="N4411">
        <v>4.57</v>
      </c>
      <c r="O4411">
        <v>11000</v>
      </c>
      <c r="P4411" t="inlineStr">
        <is>
          <t>69ccbb78a219810001b2d3b0</t>
        </is>
      </c>
      <c r="Q4411"/>
      <c r="R4411" t="inlineStr">
        <is>
          <t>16周</t>
        </is>
      </c>
      <c r="S4411" t="inlineStr">
        <is>
          <t>0.27</t>
        </is>
      </c>
      <c r="T4411" t="inlineStr">
        <is>
          <t>服饰穿搭</t>
        </is>
      </c>
      <c r="U4411" t="inlineStr">
        <is>
          <t>女装</t>
        </is>
      </c>
      <c r="V4411" s="3">
        <v>46127.98767361111</v>
      </c>
      <c r="W4411" t="inlineStr">
        <is>
          <t>2026-Q2</t>
        </is>
      </c>
    </row>
    <row r="4412" ht="25.5" customHeight="1">
      <c r="A4412" t="inlineStr">
        <is>
          <t>【清仓中】防晒衣女夏季修身薄款冰丝骑行运动防晒服外套</t>
        </is>
      </c>
      <c r="B4412" t="inlineStr">
        <is>
          <t>__upload_recvgSimhWSDR0.jpg</t>
        </is>
      </c>
      <c r="C4412" s="2" t="str">
        <f>=HYPERLINK("https://xhslink.com/m/1ctQWTwJPJH", "https://xhslink.com/m/1ctQWTwJPJH")</f>
        <v>https://xhslink.com/m/1ctQWTwJPJH</v>
      </c>
      <c r="D4412"/>
      <c r="E4412">
        <v>9925</v>
      </c>
      <c r="F4412">
        <v>29.9</v>
      </c>
      <c r="G4412">
        <v>19.9</v>
      </c>
      <c r="H4412">
        <v>100</v>
      </c>
      <c r="I4412" t="inlineStr">
        <is>
          <t>短袖</t>
        </is>
      </c>
      <c r="J4412" t="inlineStr">
        <is>
          <t>0.01</t>
        </is>
      </c>
      <c r="K4412" t="inlineStr">
        <is>
          <t>🔥低粉爆款</t>
        </is>
      </c>
      <c r="L4412" t="inlineStr">
        <is>
          <t>Sugarplum糖果的店</t>
        </is>
      </c>
      <c r="M4412">
        <v>1004</v>
      </c>
      <c r="N4412">
        <v>4.5</v>
      </c>
      <c r="O4412">
        <v>38000</v>
      </c>
      <c r="P4412" t="inlineStr">
        <is>
          <t>67d7f5ba52503c0001b041b4</t>
        </is>
      </c>
      <c r="Q4412"/>
      <c r="R4412" t="inlineStr">
        <is>
          <t>16周</t>
        </is>
      </c>
      <c r="S4412" t="inlineStr">
        <is>
          <t>9.89</t>
        </is>
      </c>
      <c r="T4412" t="inlineStr">
        <is>
          <t>服饰穿搭</t>
        </is>
      </c>
      <c r="U4412" t="inlineStr">
        <is>
          <t>女装</t>
        </is>
      </c>
      <c r="V4412" s="3">
        <v>46127.98767361111</v>
      </c>
      <c r="W4412" t="inlineStr">
        <is>
          <t>2026-Q2</t>
        </is>
      </c>
    </row>
    <row r="4413" ht="25.5" customHeight="1">
      <c r="A4413" t="inlineStr">
        <is>
          <t>260克纯棉重磅 夏季新款 好累猫宽松百搭T恤</t>
        </is>
      </c>
      <c r="B4413" t="inlineStr">
        <is>
          <t>__upload_recvgSimhWN50d.jpg</t>
        </is>
      </c>
      <c r="C4413" s="2" t="str">
        <f>=HYPERLINK("https://xhslink.com/m/4p8oEJfKL5j", "https://xhslink.com/m/4p8oEJfKL5j")</f>
        <v>https://xhslink.com/m/4p8oEJfKL5j</v>
      </c>
      <c r="D4413"/>
      <c r="E4413">
        <v>3791</v>
      </c>
      <c r="F4413">
        <v>55</v>
      </c>
      <c r="G4413">
        <v>35</v>
      </c>
      <c r="H4413">
        <v>100</v>
      </c>
      <c r="I4413" t="inlineStr">
        <is>
          <t>短袖</t>
        </is>
      </c>
      <c r="J4413" t="inlineStr">
        <is>
          <t>0.03</t>
        </is>
      </c>
      <c r="K4413"/>
      <c r="L4413" t="inlineStr">
        <is>
          <t>PiXXY的店</t>
        </is>
      </c>
      <c r="M4413">
        <v>7102</v>
      </c>
      <c r="N4413">
        <v>4.73</v>
      </c>
      <c r="O4413">
        <v>71000</v>
      </c>
      <c r="P4413" t="inlineStr">
        <is>
          <t>691609e258a96d0001efe8fe</t>
        </is>
      </c>
      <c r="Q4413" t="inlineStr">
        <is>
          <t>🚫重复</t>
        </is>
      </c>
      <c r="R4413" t="inlineStr">
        <is>
          <t>16周</t>
        </is>
      </c>
      <c r="S4413" t="inlineStr">
        <is>
          <t>0.53</t>
        </is>
      </c>
      <c r="T4413" t="inlineStr">
        <is>
          <t>服饰穿搭</t>
        </is>
      </c>
      <c r="U4413" t="inlineStr">
        <is>
          <t>女装</t>
        </is>
      </c>
      <c r="V4413" s="3">
        <v>46127.98767361111</v>
      </c>
      <c r="W4413" t="inlineStr">
        <is>
          <t>2026-Q2</t>
        </is>
      </c>
    </row>
    <row r="4414" ht="25.5" customHeight="1">
      <c r="A4414" t="inlineStr">
        <is>
          <t>ADFOV · 个性设计感印花卡通短袖t恤女可爱小猫100%纯棉宽松夏季新款上衣</t>
        </is>
      </c>
      <c r="B4414" t="inlineStr">
        <is>
          <t>__upload_recvgSimhW6MO6.jpg</t>
        </is>
      </c>
      <c r="C4414" s="2" t="str">
        <f>=HYPERLINK("https://xhslink.com/m/1UgGBg6XJpM", "https://xhslink.com/m/1UgGBg6XJpM")</f>
        <v>https://xhslink.com/m/1UgGBg6XJpM</v>
      </c>
      <c r="D4414"/>
      <c r="E4414">
        <v>12000</v>
      </c>
      <c r="F4414">
        <v>53.9</v>
      </c>
      <c r="G4414">
        <v>33.9</v>
      </c>
      <c r="H4414">
        <v>100</v>
      </c>
      <c r="I4414" t="inlineStr">
        <is>
          <t>短袖</t>
        </is>
      </c>
      <c r="J4414" t="inlineStr">
        <is>
          <t>0.01</t>
        </is>
      </c>
      <c r="K4414"/>
      <c r="L4414" t="inlineStr">
        <is>
          <t>ADFOV原创的店</t>
        </is>
      </c>
      <c r="M4414">
        <v>8835</v>
      </c>
      <c r="N4414">
        <v>4.68</v>
      </c>
      <c r="O4414">
        <v>33000</v>
      </c>
      <c r="P4414" t="inlineStr">
        <is>
          <t>664396fb778e4b0001143747</t>
        </is>
      </c>
      <c r="Q4414"/>
      <c r="R4414" t="inlineStr">
        <is>
          <t>16周</t>
        </is>
      </c>
      <c r="S4414" t="inlineStr">
        <is>
          <t>1.36</t>
        </is>
      </c>
      <c r="T4414" t="inlineStr">
        <is>
          <t>服饰穿搭</t>
        </is>
      </c>
      <c r="U4414" t="inlineStr">
        <is>
          <t>女装</t>
        </is>
      </c>
      <c r="V4414" s="3">
        <v>46127.98767361111</v>
      </c>
      <c r="W4414" t="inlineStr">
        <is>
          <t>2026-Q2</t>
        </is>
      </c>
    </row>
    <row r="4415" ht="25.5" customHeight="1">
      <c r="A4415" t="inlineStr">
        <is>
          <t>褶皱小飞袖正肩圆领短袖T恤女2025新款设计感收腰上衣打底衫夏季</t>
        </is>
      </c>
      <c r="B4415" t="inlineStr">
        <is>
          <t>__upload_recvgSimhWLRus.jpg</t>
        </is>
      </c>
      <c r="C4415" s="2" t="str">
        <f>=HYPERLINK("https://xhslink.com/m/4vFaSDAftvp", "https://xhslink.com/m/4vFaSDAftvp")</f>
        <v>https://xhslink.com/m/4vFaSDAftvp</v>
      </c>
      <c r="D4415"/>
      <c r="E4415">
        <v>3100</v>
      </c>
      <c r="F4415">
        <v>69</v>
      </c>
      <c r="G4415">
        <v>59</v>
      </c>
      <c r="H4415">
        <v>100</v>
      </c>
      <c r="I4415" t="inlineStr">
        <is>
          <t>短袖</t>
        </is>
      </c>
      <c r="J4415" t="inlineStr">
        <is>
          <t>0.03</t>
        </is>
      </c>
      <c r="K4415" t="inlineStr">
        <is>
          <t>🔥低粉爆款</t>
        </is>
      </c>
      <c r="L4415" t="inlineStr">
        <is>
          <t>靓曼原创女装的店</t>
        </is>
      </c>
      <c r="M4415">
        <v>693</v>
      </c>
      <c r="N4415">
        <v>4.58</v>
      </c>
      <c r="O4415">
        <v>10000</v>
      </c>
      <c r="P4415" t="inlineStr">
        <is>
          <t>6883283ca202e800159d7ab4</t>
        </is>
      </c>
      <c r="Q4415" t="inlineStr">
        <is>
          <t>🚫重复</t>
        </is>
      </c>
      <c r="R4415" t="inlineStr">
        <is>
          <t>16周</t>
        </is>
      </c>
      <c r="S4415" t="inlineStr">
        <is>
          <t>4.47</t>
        </is>
      </c>
      <c r="T4415" t="inlineStr">
        <is>
          <t>服饰穿搭</t>
        </is>
      </c>
      <c r="U4415" t="inlineStr">
        <is>
          <t>女装</t>
        </is>
      </c>
      <c r="V4415" s="3">
        <v>46127.98767361111</v>
      </c>
      <c r="W4415" t="inlineStr">
        <is>
          <t>2026-Q2</t>
        </is>
      </c>
    </row>
    <row r="4416" ht="25.5" customHeight="1">
      <c r="A4416" t="inlineStr">
        <is>
          <t>欧货小衫正肩短袖t恤女2026夏季新款爆款纯棉半袖内搭打底衫ins</t>
        </is>
      </c>
      <c r="B4416" t="inlineStr">
        <is>
          <t>__upload_recvgSimhWQ7p3.jpg</t>
        </is>
      </c>
      <c r="C4416" s="2" t="str">
        <f>=HYPERLINK("https://xhslink.com/m/4TlHBLnjtLe", "https://xhslink.com/m/4TlHBLnjtLe")</f>
        <v>https://xhslink.com/m/4TlHBLnjtLe</v>
      </c>
      <c r="D4416"/>
      <c r="E4416">
        <v>8881</v>
      </c>
      <c r="F4416">
        <v>49.9</v>
      </c>
      <c r="G4416">
        <v>39.9</v>
      </c>
      <c r="H4416">
        <v>100</v>
      </c>
      <c r="I4416" t="inlineStr">
        <is>
          <t>短袖</t>
        </is>
      </c>
      <c r="J4416" t="inlineStr">
        <is>
          <t>0.01</t>
        </is>
      </c>
      <c r="K4416"/>
      <c r="L4416" t="inlineStr">
        <is>
          <t>XIAO桉家原创的店</t>
        </is>
      </c>
      <c r="M4416">
        <v>23000</v>
      </c>
      <c r="N4416">
        <v>4.61</v>
      </c>
      <c r="O4416">
        <v>177000</v>
      </c>
      <c r="P4416" t="inlineStr">
        <is>
          <t>66e9512629e69000016fad59</t>
        </is>
      </c>
      <c r="Q4416" t="inlineStr">
        <is>
          <t>🚫重复</t>
        </is>
      </c>
      <c r="R4416" t="inlineStr">
        <is>
          <t>16周</t>
        </is>
      </c>
      <c r="S4416" t="inlineStr">
        <is>
          <t>0.39</t>
        </is>
      </c>
      <c r="T4416" t="inlineStr">
        <is>
          <t>服饰穿搭</t>
        </is>
      </c>
      <c r="U4416" t="inlineStr">
        <is>
          <t>女装</t>
        </is>
      </c>
      <c r="V4416" s="3">
        <v>46127.98767361111</v>
      </c>
      <c r="W4416" t="inlineStr">
        <is>
          <t>2026-Q2</t>
        </is>
      </c>
    </row>
    <row r="4417" ht="25.5" customHeight="1">
      <c r="A4417" t="inlineStr">
        <is>
          <t>小飞袖收腰圆领短袖t恤女夏季新款小众设计感优质打底衫修身上衣</t>
        </is>
      </c>
      <c r="B4417" t="inlineStr">
        <is>
          <t>__upload_recvgSimhWQjR4.jpg</t>
        </is>
      </c>
      <c r="C4417" s="2" t="str">
        <f>=HYPERLINK("https://xhslink.com/m/9HFSBPIJ5LR", "https://xhslink.com/m/9HFSBPIJ5LR")</f>
        <v>https://xhslink.com/m/9HFSBPIJ5LR</v>
      </c>
      <c r="D4417"/>
      <c r="E4417">
        <v>1238</v>
      </c>
      <c r="F4417">
        <v>69</v>
      </c>
      <c r="G4417">
        <v>59</v>
      </c>
      <c r="H4417">
        <v>100</v>
      </c>
      <c r="I4417" t="inlineStr">
        <is>
          <t>短袖</t>
        </is>
      </c>
      <c r="J4417" t="inlineStr">
        <is>
          <t>0.08</t>
        </is>
      </c>
      <c r="K4417"/>
      <c r="L4417" t="inlineStr">
        <is>
          <t>靓曼原创女装的店</t>
        </is>
      </c>
      <c r="M4417">
        <v>693</v>
      </c>
      <c r="N4417">
        <v>4.58</v>
      </c>
      <c r="O4417">
        <v>10000</v>
      </c>
      <c r="P4417" t="inlineStr">
        <is>
          <t>68907e16ba5a830015701e4f</t>
        </is>
      </c>
      <c r="Q4417" t="inlineStr">
        <is>
          <t>🚫重复</t>
        </is>
      </c>
      <c r="R4417" t="inlineStr">
        <is>
          <t>16周</t>
        </is>
      </c>
      <c r="S4417" t="inlineStr">
        <is>
          <t>1.79</t>
        </is>
      </c>
      <c r="T4417" t="inlineStr">
        <is>
          <t>服饰穿搭</t>
        </is>
      </c>
      <c r="U4417" t="inlineStr">
        <is>
          <t>女装</t>
        </is>
      </c>
      <c r="V4417" s="3">
        <v>46127.98767361111</v>
      </c>
      <c r="W4417" t="inlineStr">
        <is>
          <t>2026-Q2</t>
        </is>
      </c>
    </row>
    <row r="4418" ht="25.5" customHeight="1">
      <c r="A4418" t="inlineStr">
        <is>
          <t>夏季新款 正肩圆领短袖内搭白色修身T恤女收腰显瘦棉上衣百搭</t>
        </is>
      </c>
      <c r="B4418" t="inlineStr">
        <is>
          <t>__upload_recvgSimhWeQdo.jpg</t>
        </is>
      </c>
      <c r="C4418" s="2" t="str">
        <f>=HYPERLINK("https://xhslink.com/m/7wUAZsbL7d6", "https://xhslink.com/m/7wUAZsbL7d6")</f>
        <v>https://xhslink.com/m/7wUAZsbL7d6</v>
      </c>
      <c r="D4418"/>
      <c r="E4418">
        <v>8848</v>
      </c>
      <c r="F4418">
        <v>69.9</v>
      </c>
      <c r="G4418"/>
      <c r="H4418">
        <v>100</v>
      </c>
      <c r="I4418" t="inlineStr">
        <is>
          <t>短袖</t>
        </is>
      </c>
      <c r="J4418" t="inlineStr">
        <is>
          <t>0.01</t>
        </is>
      </c>
      <c r="K4418"/>
      <c r="L4418" t="inlineStr">
        <is>
          <t>是酥酥糖耶～的店</t>
        </is>
      </c>
      <c r="M4418">
        <v>10000</v>
      </c>
      <c r="N4418">
        <v>4.6</v>
      </c>
      <c r="O4418">
        <v>166000</v>
      </c>
      <c r="P4418" t="inlineStr">
        <is>
          <t>67e00f15132df9000150943b</t>
        </is>
      </c>
      <c r="Q4418" t="inlineStr">
        <is>
          <t>🚫重复</t>
        </is>
      </c>
      <c r="R4418" t="inlineStr">
        <is>
          <t>16周</t>
        </is>
      </c>
      <c r="S4418" t="inlineStr">
        <is>
          <t>0.88</t>
        </is>
      </c>
      <c r="T4418" t="inlineStr">
        <is>
          <t>服饰穿搭</t>
        </is>
      </c>
      <c r="U4418" t="inlineStr">
        <is>
          <t>女装</t>
        </is>
      </c>
      <c r="V4418" s="3">
        <v>46127.98767361111</v>
      </c>
      <c r="W4418" t="inlineStr">
        <is>
          <t>2026-Q2</t>
        </is>
      </c>
    </row>
    <row r="4419" ht="25.5" customHeight="1">
      <c r="A4419" t="inlineStr">
        <is>
          <t>韩系高级感绑腰收腰V领短袖T恤女夏季小众设计感修身短袖上衣</t>
        </is>
      </c>
      <c r="B4419" t="inlineStr">
        <is>
          <t>__upload_recvgSimhWKaMK.jpg</t>
        </is>
      </c>
      <c r="C4419" s="2" t="str">
        <f>=HYPERLINK("https://xhslink.com/m/AXzSI9Y4VNH", "https://xhslink.com/m/AXzSI9Y4VNH")</f>
        <v>https://xhslink.com/m/AXzSI9Y4VNH</v>
      </c>
      <c r="D4419"/>
      <c r="E4419">
        <v>3128</v>
      </c>
      <c r="F4419">
        <v>59.9</v>
      </c>
      <c r="G4419">
        <v>39.9</v>
      </c>
      <c r="H4419">
        <v>100</v>
      </c>
      <c r="I4419" t="inlineStr">
        <is>
          <t>短袖</t>
        </is>
      </c>
      <c r="J4419" t="inlineStr">
        <is>
          <t>0.03</t>
        </is>
      </c>
      <c r="K4419"/>
      <c r="L4419" t="inlineStr">
        <is>
          <t>XIAO元爱穿搭的店</t>
        </is>
      </c>
      <c r="M4419">
        <v>1178</v>
      </c>
      <c r="N4419">
        <v>4.46</v>
      </c>
      <c r="O4419">
        <v>22000</v>
      </c>
      <c r="P4419" t="inlineStr">
        <is>
          <t>69a81681befcbd00016f0fc6</t>
        </is>
      </c>
      <c r="Q4419" t="inlineStr">
        <is>
          <t>🚫重复</t>
        </is>
      </c>
      <c r="R4419" t="inlineStr">
        <is>
          <t>16周</t>
        </is>
      </c>
      <c r="S4419" t="inlineStr">
        <is>
          <t>2.66</t>
        </is>
      </c>
      <c r="T4419" t="inlineStr">
        <is>
          <t>服饰穿搭</t>
        </is>
      </c>
      <c r="U4419" t="inlineStr">
        <is>
          <t>女装</t>
        </is>
      </c>
      <c r="V4419" s="3">
        <v>46127.98767361111</v>
      </c>
      <c r="W4419" t="inlineStr">
        <is>
          <t>2026-Q2</t>
        </is>
      </c>
    </row>
    <row r="4420" ht="25.5" customHeight="1">
      <c r="A4420" t="inlineStr">
        <is>
          <t>欧货女士白色正肩鱼骨纹短袖t恤女夏季新款修身显瘦独特圆领上衣</t>
        </is>
      </c>
      <c r="B4420" t="inlineStr">
        <is>
          <t>__upload_recvgSimhWzu4Y.jpg</t>
        </is>
      </c>
      <c r="C4420" s="2" t="str">
        <f>=HYPERLINK("https://xhslink.com/m/6RG3AXWgCpH", "https://xhslink.com/m/6RG3AXWgCpH")</f>
        <v>https://xhslink.com/m/6RG3AXWgCpH</v>
      </c>
      <c r="D4420"/>
      <c r="E4420">
        <v>828</v>
      </c>
      <c r="F4420">
        <v>49.9</v>
      </c>
      <c r="G4420">
        <v>39.9</v>
      </c>
      <c r="H4420">
        <v>100</v>
      </c>
      <c r="I4420" t="inlineStr">
        <is>
          <t>短袖</t>
        </is>
      </c>
      <c r="J4420" t="inlineStr">
        <is>
          <t>0.12</t>
        </is>
      </c>
      <c r="K4420"/>
      <c r="L4420" t="inlineStr">
        <is>
          <t>XIAO桉家原创的店</t>
        </is>
      </c>
      <c r="M4420">
        <v>23000</v>
      </c>
      <c r="N4420">
        <v>4.61</v>
      </c>
      <c r="O4420">
        <v>177000</v>
      </c>
      <c r="P4420" t="inlineStr">
        <is>
          <t>69c90509cf15230001b2d5f7</t>
        </is>
      </c>
      <c r="Q4420" t="inlineStr">
        <is>
          <t>🚫重复</t>
        </is>
      </c>
      <c r="R4420" t="inlineStr">
        <is>
          <t>16周</t>
        </is>
      </c>
      <c r="S4420" t="inlineStr">
        <is>
          <t>0.04</t>
        </is>
      </c>
      <c r="T4420" t="inlineStr">
        <is>
          <t>服饰穿搭</t>
        </is>
      </c>
      <c r="U4420" t="inlineStr">
        <is>
          <t>女装</t>
        </is>
      </c>
      <c r="V4420" s="3">
        <v>46127.98767361111</v>
      </c>
      <c r="W4420" t="inlineStr">
        <is>
          <t>2026-Q2</t>
        </is>
      </c>
    </row>
    <row r="4421" ht="25.5" customHeight="1">
      <c r="A4421" t="inlineStr">
        <is>
          <t>夏季多巴胺日系纯棉短袖t恤女短款修身别致设计感百搭小众上衣</t>
        </is>
      </c>
      <c r="B4421" t="inlineStr">
        <is>
          <t>__upload_recvgSimhWNnHE.jpg</t>
        </is>
      </c>
      <c r="C4421" s="2" t="str">
        <f>=HYPERLINK("https://xhslink.com/m/3xO8cQBzW2T", "https://xhslink.com/m/3xO8cQBzW2T")</f>
        <v>https://xhslink.com/m/3xO8cQBzW2T</v>
      </c>
      <c r="D4421"/>
      <c r="E4421">
        <v>3611</v>
      </c>
      <c r="F4421">
        <v>49.8</v>
      </c>
      <c r="G4421">
        <v>39.8</v>
      </c>
      <c r="H4421">
        <v>100</v>
      </c>
      <c r="I4421" t="inlineStr">
        <is>
          <t>短袖</t>
        </is>
      </c>
      <c r="J4421" t="inlineStr">
        <is>
          <t>0.03</t>
        </is>
      </c>
      <c r="K4421"/>
      <c r="L4421" t="inlineStr">
        <is>
          <t>杨听听原创服装的店</t>
        </is>
      </c>
      <c r="M4421">
        <v>1762</v>
      </c>
      <c r="N4421">
        <v>4.48</v>
      </c>
      <c r="O4421">
        <v>23000</v>
      </c>
      <c r="P4421" t="inlineStr">
        <is>
          <t>684796defab3990001b814d4</t>
        </is>
      </c>
      <c r="Q4421" t="inlineStr">
        <is>
          <t>🚫重复</t>
        </is>
      </c>
      <c r="R4421" t="inlineStr">
        <is>
          <t>16周</t>
        </is>
      </c>
      <c r="S4421" t="inlineStr">
        <is>
          <t>2.05</t>
        </is>
      </c>
      <c r="T4421" t="inlineStr">
        <is>
          <t>服饰穿搭</t>
        </is>
      </c>
      <c r="U4421" t="inlineStr">
        <is>
          <t>女装</t>
        </is>
      </c>
      <c r="V4421" s="3">
        <v>46127.98767361111</v>
      </c>
      <c r="W4421" t="inlineStr">
        <is>
          <t>2026-Q2</t>
        </is>
      </c>
    </row>
    <row r="4422" ht="25.5" customHeight="1">
      <c r="A4422" t="inlineStr">
        <is>
          <t>2026年春夏新款韩版复古破碎字母圆领短袖正肩T恤宽松打底上衣女</t>
        </is>
      </c>
      <c r="B4422" t="inlineStr">
        <is>
          <t>__upload_recvgSimhWEhAE.jpg</t>
        </is>
      </c>
      <c r="C4422" s="2" t="str">
        <f>=HYPERLINK("https://xhslink.com/m/1E9Z0oLwPNS", "https://xhslink.com/m/1E9Z0oLwPNS")</f>
        <v>https://xhslink.com/m/1E9Z0oLwPNS</v>
      </c>
      <c r="D4422"/>
      <c r="E4422">
        <v>5144</v>
      </c>
      <c r="F4422">
        <v>38.9</v>
      </c>
      <c r="G4422"/>
      <c r="H4422">
        <v>100</v>
      </c>
      <c r="I4422" t="inlineStr">
        <is>
          <t>短袖</t>
        </is>
      </c>
      <c r="J4422" t="inlineStr">
        <is>
          <t>0.02</t>
        </is>
      </c>
      <c r="K4422"/>
      <c r="L4422" t="inlineStr">
        <is>
          <t>拾壹 工作室的店</t>
        </is>
      </c>
      <c r="M4422">
        <v>34000</v>
      </c>
      <c r="N4422">
        <v>4.62</v>
      </c>
      <c r="O4422">
        <v>86000</v>
      </c>
      <c r="P4422" t="inlineStr">
        <is>
          <t>69475fb34423c30001c7bfff</t>
        </is>
      </c>
      <c r="Q4422" t="inlineStr">
        <is>
          <t>🚫重复</t>
        </is>
      </c>
      <c r="R4422" t="inlineStr">
        <is>
          <t>16周</t>
        </is>
      </c>
      <c r="S4422" t="inlineStr">
        <is>
          <t>0.15</t>
        </is>
      </c>
      <c r="T4422" t="inlineStr">
        <is>
          <t>服饰穿搭</t>
        </is>
      </c>
      <c r="U4422" t="inlineStr">
        <is>
          <t>女装</t>
        </is>
      </c>
      <c r="V4422" s="3">
        <v>46127.98767361111</v>
      </c>
      <c r="W4422" t="inlineStr">
        <is>
          <t>2026-Q2</t>
        </is>
      </c>
    </row>
    <row r="4423" ht="25.5" customHeight="1">
      <c r="A4423" t="inlineStr">
        <is>
          <t>简约法式polo领短袖T恤春夏百搭别致正肩显瘦百搭上衣插肩袖针织t</t>
        </is>
      </c>
      <c r="B4423" t="inlineStr">
        <is>
          <t>__upload_recvgSimhWDS6T.jpg</t>
        </is>
      </c>
      <c r="C4423" s="2" t="str">
        <f>=HYPERLINK("https://xhslink.com/m/A1vJrgWvpca", "https://xhslink.com/m/A1vJrgWvpca")</f>
        <v>https://xhslink.com/m/A1vJrgWvpca</v>
      </c>
      <c r="D4423"/>
      <c r="E4423">
        <v>42000</v>
      </c>
      <c r="F4423">
        <v>89</v>
      </c>
      <c r="G4423">
        <v>69</v>
      </c>
      <c r="H4423">
        <v>100</v>
      </c>
      <c r="I4423" t="inlineStr">
        <is>
          <t>短袖</t>
        </is>
      </c>
      <c r="J4423" t="inlineStr">
        <is>
          <t>0.00</t>
        </is>
      </c>
      <c r="K4423"/>
      <c r="L4423" t="inlineStr">
        <is>
          <t>胶片日记的店</t>
        </is>
      </c>
      <c r="M4423">
        <v>34000</v>
      </c>
      <c r="N4423">
        <v>4.6</v>
      </c>
      <c r="O4423">
        <v>333000</v>
      </c>
      <c r="P4423" t="inlineStr">
        <is>
          <t>667514c521207c00011806c1</t>
        </is>
      </c>
      <c r="Q4423"/>
      <c r="R4423" t="inlineStr">
        <is>
          <t>16周</t>
        </is>
      </c>
      <c r="S4423" t="inlineStr">
        <is>
          <t>1.24</t>
        </is>
      </c>
      <c r="T4423" t="inlineStr">
        <is>
          <t>服饰穿搭</t>
        </is>
      </c>
      <c r="U4423" t="inlineStr">
        <is>
          <t>女装</t>
        </is>
      </c>
      <c r="V4423" s="3">
        <v>46127.98767361111</v>
      </c>
      <c r="W4423" t="inlineStr">
        <is>
          <t>2026-Q2</t>
        </is>
      </c>
    </row>
    <row r="4424" ht="25.5" customHeight="1">
      <c r="A4424" t="inlineStr">
        <is>
          <t>2026年春夏新款韩版简笔画线条花束短袖正肩T恤宽松打底上衣女</t>
        </is>
      </c>
      <c r="B4424" t="inlineStr">
        <is>
          <t>__upload_recvgSimhWFQJw.jpg</t>
        </is>
      </c>
      <c r="C4424" s="2" t="str">
        <f>=HYPERLINK("https://xhslink.com/m/1oPqDFL9B2g", "https://xhslink.com/m/1oPqDFL9B2g")</f>
        <v>https://xhslink.com/m/1oPqDFL9B2g</v>
      </c>
      <c r="D4424"/>
      <c r="E4424">
        <v>1246</v>
      </c>
      <c r="F4424">
        <v>38.9</v>
      </c>
      <c r="G4424"/>
      <c r="H4424">
        <v>100</v>
      </c>
      <c r="I4424" t="inlineStr">
        <is>
          <t>短袖</t>
        </is>
      </c>
      <c r="J4424" t="inlineStr">
        <is>
          <t>0.08</t>
        </is>
      </c>
      <c r="K4424"/>
      <c r="L4424" t="inlineStr">
        <is>
          <t>拾壹 工作室的店</t>
        </is>
      </c>
      <c r="M4424">
        <v>34000</v>
      </c>
      <c r="N4424">
        <v>4.62</v>
      </c>
      <c r="O4424">
        <v>86000</v>
      </c>
      <c r="P4424" t="inlineStr">
        <is>
          <t>695722964e15d60001f4e3d2</t>
        </is>
      </c>
      <c r="Q4424" t="inlineStr">
        <is>
          <t>🚫重复</t>
        </is>
      </c>
      <c r="R4424" t="inlineStr">
        <is>
          <t>16周</t>
        </is>
      </c>
      <c r="S4424" t="inlineStr">
        <is>
          <t>0.04</t>
        </is>
      </c>
      <c r="T4424" t="inlineStr">
        <is>
          <t>服饰穿搭</t>
        </is>
      </c>
      <c r="U4424" t="inlineStr">
        <is>
          <t>女装</t>
        </is>
      </c>
      <c r="V4424" s="3">
        <v>46127.98767361111</v>
      </c>
      <c r="W4424" t="inlineStr">
        <is>
          <t>2026-Q2</t>
        </is>
      </c>
    </row>
    <row r="4425" ht="25.5" customHeight="1">
      <c r="A4425" t="inlineStr">
        <is>
          <t>麻夫MA·FU 夏季纯亚麻衬衫 水洗毛边细节</t>
        </is>
      </c>
      <c r="B4425" t="inlineStr">
        <is>
          <t>__upload_recvgSimhW5v0V.jpg</t>
        </is>
      </c>
      <c r="C4425" s="2" t="str">
        <f>=HYPERLINK("https://xhslink.com/m/Ai2hhprjDNJ", "https://xhslink.com/m/Ai2hhprjDNJ")</f>
        <v>https://xhslink.com/m/Ai2hhprjDNJ</v>
      </c>
      <c r="D4425"/>
      <c r="E4425">
        <v>3091</v>
      </c>
      <c r="F4425">
        <v>459</v>
      </c>
      <c r="G4425"/>
      <c r="H4425">
        <v>100</v>
      </c>
      <c r="I4425" t="inlineStr">
        <is>
          <t>短袖</t>
        </is>
      </c>
      <c r="J4425" t="inlineStr">
        <is>
          <t>0.03</t>
        </is>
      </c>
      <c r="K4425"/>
      <c r="L4425" t="inlineStr">
        <is>
          <t>麻夫MAFU的店</t>
        </is>
      </c>
      <c r="M4425">
        <v>15000</v>
      </c>
      <c r="N4425">
        <v>4.87</v>
      </c>
      <c r="O4425">
        <v>15000</v>
      </c>
      <c r="P4425" t="inlineStr">
        <is>
          <t>67d1561f52503c00016c205b</t>
        </is>
      </c>
      <c r="Q4425"/>
      <c r="R4425" t="inlineStr">
        <is>
          <t>16周</t>
        </is>
      </c>
      <c r="S4425" t="inlineStr">
        <is>
          <t>0.21</t>
        </is>
      </c>
      <c r="T4425" t="inlineStr">
        <is>
          <t>服饰穿搭</t>
        </is>
      </c>
      <c r="U4425" t="inlineStr">
        <is>
          <t>女装</t>
        </is>
      </c>
      <c r="V4425" s="3">
        <v>46127.98767361111</v>
      </c>
      <c r="W4425" t="inlineStr">
        <is>
          <t>2026-Q2</t>
        </is>
      </c>
    </row>
    <row r="4426" ht="25.5" customHeight="1">
      <c r="A4426" t="inlineStr">
        <is>
          <t>哦米家 娃娃领上衣泡泡袖绑带绑带衬衫女夏季甜美风百搭短袖</t>
        </is>
      </c>
      <c r="B4426" t="inlineStr">
        <is>
          <t>__upload_recvgSimhW4qwr.jpg</t>
        </is>
      </c>
      <c r="C4426" s="2" t="str">
        <f>=HYPERLINK("https://xhslink.com/m/2fUK0IjtMvA", "https://xhslink.com/m/2fUK0IjtMvA")</f>
        <v>https://xhslink.com/m/2fUK0IjtMvA</v>
      </c>
      <c r="D4426"/>
      <c r="E4426">
        <v>1147</v>
      </c>
      <c r="F4426">
        <v>129</v>
      </c>
      <c r="G4426">
        <v>124</v>
      </c>
      <c r="H4426">
        <v>100</v>
      </c>
      <c r="I4426" t="inlineStr">
        <is>
          <t>短袖</t>
        </is>
      </c>
      <c r="J4426" t="inlineStr">
        <is>
          <t>0.09</t>
        </is>
      </c>
      <c r="K4426"/>
      <c r="L4426" t="inlineStr">
        <is>
          <t>哦米不是服装厂的店</t>
        </is>
      </c>
      <c r="M4426">
        <v>35000</v>
      </c>
      <c r="N4426">
        <v>4.63</v>
      </c>
      <c r="O4426">
        <v>45000</v>
      </c>
      <c r="P4426" t="inlineStr">
        <is>
          <t>69a2636f76da220001f8b295</t>
        </is>
      </c>
      <c r="Q4426"/>
      <c r="R4426" t="inlineStr">
        <is>
          <t>16周</t>
        </is>
      </c>
      <c r="S4426" t="inlineStr">
        <is>
          <t>0.03</t>
        </is>
      </c>
      <c r="T4426" t="inlineStr">
        <is>
          <t>服饰穿搭</t>
        </is>
      </c>
      <c r="U4426" t="inlineStr">
        <is>
          <t>女装</t>
        </is>
      </c>
      <c r="V4426" s="3">
        <v>46127.98767361111</v>
      </c>
      <c r="W4426" t="inlineStr">
        <is>
          <t>2026-Q2</t>
        </is>
      </c>
    </row>
    <row r="4427" ht="25.5" customHeight="1">
      <c r="A4427" t="inlineStr">
        <is>
          <t>popchrio · 高级感褶皱荡领短袖收腰T恤不规则显瘦打底V领上衣女春</t>
        </is>
      </c>
      <c r="B4427" t="inlineStr">
        <is>
          <t>__upload_recvgSimhWWRuJ.jpg</t>
        </is>
      </c>
      <c r="C4427" s="2" t="str">
        <f>=HYPERLINK("https://xhslink.com/m/7yxV1MLBhla", "https://xhslink.com/m/7yxV1MLBhla")</f>
        <v>https://xhslink.com/m/7yxV1MLBhla</v>
      </c>
      <c r="D4427"/>
      <c r="E4427">
        <v>571</v>
      </c>
      <c r="F4427">
        <v>265</v>
      </c>
      <c r="G4427"/>
      <c r="H4427">
        <v>100</v>
      </c>
      <c r="I4427" t="inlineStr">
        <is>
          <t>短袖</t>
        </is>
      </c>
      <c r="J4427" t="inlineStr">
        <is>
          <t>0.18</t>
        </is>
      </c>
      <c r="K4427"/>
      <c r="L4427" t="inlineStr">
        <is>
          <t>popchrio旗舰店</t>
        </is>
      </c>
      <c r="M4427">
        <v>23000</v>
      </c>
      <c r="N4427">
        <v>4.64</v>
      </c>
      <c r="O4427">
        <v>110000</v>
      </c>
      <c r="P4427" t="inlineStr">
        <is>
          <t>6982ec91fe4ff500152d01f1</t>
        </is>
      </c>
      <c r="Q4427"/>
      <c r="R4427" t="inlineStr">
        <is>
          <t>16周</t>
        </is>
      </c>
      <c r="S4427" t="inlineStr">
        <is>
          <t>0.02</t>
        </is>
      </c>
      <c r="T4427" t="inlineStr">
        <is>
          <t>服饰穿搭</t>
        </is>
      </c>
      <c r="U4427" t="inlineStr">
        <is>
          <t>女装</t>
        </is>
      </c>
      <c r="V4427" s="3">
        <v>46127.98767361111</v>
      </c>
      <c r="W4427" t="inlineStr">
        <is>
          <t>2026-Q2</t>
        </is>
      </c>
    </row>
    <row r="4428" ht="25.5" customHeight="1">
      <c r="A4428" t="inlineStr">
        <is>
          <t>加长款！云朵感！正肩短袖显瘦大领口百搭纯色T恤</t>
        </is>
      </c>
      <c r="B4428" t="inlineStr">
        <is>
          <t>__upload_recvgSimhW3Tf7.jpg</t>
        </is>
      </c>
      <c r="C4428" s="2" t="str">
        <f>=HYPERLINK("https://xhslink.com/m/37KAbbhrWNq", "https://xhslink.com/m/37KAbbhrWNq")</f>
        <v>https://xhslink.com/m/37KAbbhrWNq</v>
      </c>
      <c r="D4428"/>
      <c r="E4428">
        <v>4410</v>
      </c>
      <c r="F4428">
        <v>39.9</v>
      </c>
      <c r="G4428"/>
      <c r="H4428">
        <v>100</v>
      </c>
      <c r="I4428" t="inlineStr">
        <is>
          <t>短袖</t>
        </is>
      </c>
      <c r="J4428" t="inlineStr">
        <is>
          <t>0.02</t>
        </is>
      </c>
      <c r="K4428"/>
      <c r="L4428" t="inlineStr">
        <is>
          <t>ootxjsh的店</t>
        </is>
      </c>
      <c r="M4428">
        <v>7725</v>
      </c>
      <c r="N4428">
        <v>4.61</v>
      </c>
      <c r="O4428">
        <v>47000</v>
      </c>
      <c r="P4428" t="inlineStr">
        <is>
          <t>682d6b878c3f6d0001aba860</t>
        </is>
      </c>
      <c r="Q4428" t="inlineStr">
        <is>
          <t>🚫重复</t>
        </is>
      </c>
      <c r="R4428" t="inlineStr">
        <is>
          <t>16周</t>
        </is>
      </c>
      <c r="S4428" t="inlineStr">
        <is>
          <t>0.57</t>
        </is>
      </c>
      <c r="T4428" t="inlineStr">
        <is>
          <t>服饰穿搭</t>
        </is>
      </c>
      <c r="U4428" t="inlineStr">
        <is>
          <t>女装</t>
        </is>
      </c>
      <c r="V4428" s="3">
        <v>46127.98767361111</v>
      </c>
      <c r="W4428" t="inlineStr">
        <is>
          <t>2026-Q2</t>
        </is>
      </c>
    </row>
    <row r="4429" ht="25.5" customHeight="1">
      <c r="A4429" t="inlineStr">
        <is>
          <t>【摇滚黑喵】烫银工艺！！插肩袖版型ins风宽松潮流学生短袖T恤女</t>
        </is>
      </c>
      <c r="B4429" t="inlineStr">
        <is>
          <t>__upload_recvgSimhWDIle.jpg</t>
        </is>
      </c>
      <c r="C4429" s="2" t="str">
        <f>=HYPERLINK("https://xhslink.com/m/9XveT7AZayz", "https://xhslink.com/m/9XveT7AZayz")</f>
        <v>https://xhslink.com/m/9XveT7AZayz</v>
      </c>
      <c r="D4429"/>
      <c r="E4429">
        <v>1561</v>
      </c>
      <c r="F4429">
        <v>29.99</v>
      </c>
      <c r="G4429"/>
      <c r="H4429">
        <v>100</v>
      </c>
      <c r="I4429" t="inlineStr">
        <is>
          <t>短袖</t>
        </is>
      </c>
      <c r="J4429" t="inlineStr">
        <is>
          <t>0.06</t>
        </is>
      </c>
      <c r="K4429"/>
      <c r="L4429" t="inlineStr">
        <is>
          <t>A Small点的店</t>
        </is>
      </c>
      <c r="M4429">
        <v>41000</v>
      </c>
      <c r="N4429">
        <v>4.4</v>
      </c>
      <c r="O4429">
        <v>43000</v>
      </c>
      <c r="P4429" t="inlineStr">
        <is>
          <t>69a9b22dc125ae0001851029</t>
        </is>
      </c>
      <c r="Q4429" t="inlineStr">
        <is>
          <t>🚫重复</t>
        </is>
      </c>
      <c r="R4429" t="inlineStr">
        <is>
          <t>16周</t>
        </is>
      </c>
      <c r="S4429" t="inlineStr">
        <is>
          <t>0.04</t>
        </is>
      </c>
      <c r="T4429" t="inlineStr">
        <is>
          <t>服饰穿搭</t>
        </is>
      </c>
      <c r="U4429" t="inlineStr">
        <is>
          <t>女装</t>
        </is>
      </c>
      <c r="V4429" s="3">
        <v>46127.98767361111</v>
      </c>
      <c r="W4429" t="inlineStr">
        <is>
          <t>2026-Q2</t>
        </is>
      </c>
    </row>
    <row r="4430" ht="25.5" customHeight="1">
      <c r="A4430" t="inlineStr">
        <is>
          <t>版型超好，巨巨巨显瘦！松弛感大V领短袖T恤女慵懒休闲上衣</t>
        </is>
      </c>
      <c r="B4430" t="inlineStr">
        <is>
          <t>__upload_recvgSimhWfAvS.jpg</t>
        </is>
      </c>
      <c r="C4430" s="2" t="str">
        <f>=HYPERLINK("https://xhslink.com/m/8S402M2fL62", "https://xhslink.com/m/8S402M2fL62")</f>
        <v>https://xhslink.com/m/8S402M2fL62</v>
      </c>
      <c r="D4430"/>
      <c r="E4430">
        <v>4683</v>
      </c>
      <c r="F4430">
        <v>39.9</v>
      </c>
      <c r="G4430"/>
      <c r="H4430">
        <v>100</v>
      </c>
      <c r="I4430" t="inlineStr">
        <is>
          <t>短袖</t>
        </is>
      </c>
      <c r="J4430" t="inlineStr">
        <is>
          <t>0.02</t>
        </is>
      </c>
      <c r="K4430" t="inlineStr">
        <is>
          <t>🔥低粉爆款</t>
        </is>
      </c>
      <c r="L4430" t="inlineStr">
        <is>
          <t>SeeCi-7的店</t>
        </is>
      </c>
      <c r="M4430">
        <v>1055</v>
      </c>
      <c r="N4430">
        <v>4.63</v>
      </c>
      <c r="O4430">
        <v>5743</v>
      </c>
      <c r="P4430" t="inlineStr">
        <is>
          <t>68c65d930201ec0001546c0c</t>
        </is>
      </c>
      <c r="Q4430" t="inlineStr">
        <is>
          <t>🚫重复</t>
        </is>
      </c>
      <c r="R4430" t="inlineStr">
        <is>
          <t>16周</t>
        </is>
      </c>
      <c r="S4430" t="inlineStr">
        <is>
          <t>4.44</t>
        </is>
      </c>
      <c r="T4430" t="inlineStr">
        <is>
          <t>服饰穿搭</t>
        </is>
      </c>
      <c r="U4430" t="inlineStr">
        <is>
          <t>女装</t>
        </is>
      </c>
      <c r="V4430" s="3">
        <v>46127.98767361111</v>
      </c>
      <c r="W4430" t="inlineStr">
        <is>
          <t>2026-Q2</t>
        </is>
      </c>
    </row>
    <row r="4431" ht="25.5" customHeight="1">
      <c r="A4431" t="inlineStr">
        <is>
          <t>老钱风-天然意大利雪花纱色织宽松休闲短袖T恤</t>
        </is>
      </c>
      <c r="B4431" t="inlineStr">
        <is>
          <t>__upload_recvgSimhWAK6G.jpg</t>
        </is>
      </c>
      <c r="C4431" s="2" t="str">
        <f>=HYPERLINK("https://xhslink.com/m/29p4iko3LS1", "https://xhslink.com/m/29p4iko3LS1")</f>
        <v>https://xhslink.com/m/29p4iko3LS1</v>
      </c>
      <c r="D4431"/>
      <c r="E4431">
        <v>1620</v>
      </c>
      <c r="F4431">
        <v>89.9</v>
      </c>
      <c r="G4431"/>
      <c r="H4431">
        <v>100</v>
      </c>
      <c r="I4431" t="inlineStr">
        <is>
          <t>短袖</t>
        </is>
      </c>
      <c r="J4431" t="inlineStr">
        <is>
          <t>0.06</t>
        </is>
      </c>
      <c r="K4431"/>
      <c r="L4431" t="inlineStr">
        <is>
          <t>卖麻的小姑娘的店</t>
        </is>
      </c>
      <c r="M4431">
        <v>22000</v>
      </c>
      <c r="N4431">
        <v>4.55</v>
      </c>
      <c r="O4431">
        <v>82000</v>
      </c>
      <c r="P4431" t="inlineStr">
        <is>
          <t>69b0e5fe166bc60001abc146</t>
        </is>
      </c>
      <c r="Q4431" t="inlineStr">
        <is>
          <t>🚫重复</t>
        </is>
      </c>
      <c r="R4431" t="inlineStr">
        <is>
          <t>16周</t>
        </is>
      </c>
      <c r="S4431" t="inlineStr">
        <is>
          <t>0.07</t>
        </is>
      </c>
      <c r="T4431" t="inlineStr">
        <is>
          <t>服饰穿搭</t>
        </is>
      </c>
      <c r="U4431" t="inlineStr">
        <is>
          <t>女装</t>
        </is>
      </c>
      <c r="V4431" s="3">
        <v>46127.98767361111</v>
      </c>
      <c r="W4431" t="inlineStr">
        <is>
          <t>2026-Q2</t>
        </is>
      </c>
    </row>
    <row r="4432" ht="25.5" customHeight="1">
      <c r="A4432" t="inlineStr">
        <is>
          <t>洪菁手作 · 1.5皮蜡绳螺纹扣锁骨链玉石黄金吊坠挂绳项链绳男女通用款</t>
        </is>
      </c>
      <c r="B4432" t="inlineStr">
        <is>
          <t>__upload_recvgSimhWIDC9.jpg</t>
        </is>
      </c>
      <c r="C4432" s="2" t="str">
        <f>=HYPERLINK("https://xhslink.com/m/8kmdvaciqvE", "https://xhslink.com/m/8kmdvaciqvE")</f>
        <v>https://xhslink.com/m/8kmdvaciqvE</v>
      </c>
      <c r="D4432"/>
      <c r="E4432">
        <v>9448</v>
      </c>
      <c r="F4432">
        <v>39.9</v>
      </c>
      <c r="G4432"/>
      <c r="H4432">
        <v>100</v>
      </c>
      <c r="I4432" t="inlineStr">
        <is>
          <t>项链</t>
        </is>
      </c>
      <c r="J4432" t="inlineStr">
        <is>
          <t>0.01</t>
        </is>
      </c>
      <c r="K4432"/>
      <c r="L4432" t="inlineStr">
        <is>
          <t>洪菁手作的店</t>
        </is>
      </c>
      <c r="M4432">
        <v>29000</v>
      </c>
      <c r="N4432">
        <v>4.52</v>
      </c>
      <c r="O4432">
        <v>69000</v>
      </c>
      <c r="P4432" t="inlineStr">
        <is>
          <t>686cf33c80b7300001bd1cb5</t>
        </is>
      </c>
      <c r="Q4432"/>
      <c r="R4432" t="inlineStr">
        <is>
          <t>16周</t>
        </is>
      </c>
      <c r="S4432" t="inlineStr">
        <is>
          <t>0.33</t>
        </is>
      </c>
      <c r="T4432" t="inlineStr">
        <is>
          <t>服饰穿搭</t>
        </is>
      </c>
      <c r="U4432" t="inlineStr">
        <is>
          <t>配饰</t>
        </is>
      </c>
      <c r="V4432" s="3">
        <v>46127.98767361111</v>
      </c>
      <c r="W4432" t="inlineStr">
        <is>
          <t>2026-Q2</t>
        </is>
      </c>
    </row>
    <row r="4433" ht="25.5" customHeight="1">
      <c r="A4433" t="inlineStr">
        <is>
          <t>老友记复刻瑞秋水滴项链</t>
        </is>
      </c>
      <c r="B4433" t="inlineStr">
        <is>
          <t>__upload_recvgSimhWHV9i.jpg</t>
        </is>
      </c>
      <c r="C4433" s="2" t="str">
        <f>=HYPERLINK("https://xhslink.com/m/66zHnIdKZSr", "https://xhslink.com/m/66zHnIdKZSr")</f>
        <v>https://xhslink.com/m/66zHnIdKZSr</v>
      </c>
      <c r="D4433"/>
      <c r="E4433">
        <v>2048</v>
      </c>
      <c r="F4433">
        <v>558</v>
      </c>
      <c r="G4433"/>
      <c r="H4433">
        <v>100</v>
      </c>
      <c r="I4433" t="inlineStr">
        <is>
          <t>项链</t>
        </is>
      </c>
      <c r="J4433" t="inlineStr">
        <is>
          <t>0.05</t>
        </is>
      </c>
      <c r="K4433"/>
      <c r="L4433" t="inlineStr">
        <is>
          <t>TAOTAO PARK的店</t>
        </is>
      </c>
      <c r="M4433">
        <v>13000</v>
      </c>
      <c r="N4433">
        <v>4.49</v>
      </c>
      <c r="O4433">
        <v>11000</v>
      </c>
      <c r="P4433" t="inlineStr">
        <is>
          <t>674c049f74731000015c4527</t>
        </is>
      </c>
      <c r="Q4433"/>
      <c r="R4433" t="inlineStr">
        <is>
          <t>16周</t>
        </is>
      </c>
      <c r="S4433" t="inlineStr">
        <is>
          <t>0.16</t>
        </is>
      </c>
      <c r="T4433" t="inlineStr">
        <is>
          <t>服饰穿搭</t>
        </is>
      </c>
      <c r="U4433" t="inlineStr">
        <is>
          <t>配饰</t>
        </is>
      </c>
      <c r="V4433" s="3">
        <v>46127.98767361111</v>
      </c>
      <c r="W4433" t="inlineStr">
        <is>
          <t>2026-Q2</t>
        </is>
      </c>
    </row>
    <row r="4434" ht="25.5" customHeight="1">
      <c r="A4434" t="inlineStr">
        <is>
          <t>《雾蓝絮粉》原创项链显白精致高级小清新温柔项链</t>
        </is>
      </c>
      <c r="B4434" t="inlineStr">
        <is>
          <t>__upload_recvgSimhWWyFn.jpg</t>
        </is>
      </c>
      <c r="C4434" s="2" t="str">
        <f>=HYPERLINK("https://xhslink.com/m/AULmksZnzZb", "https://xhslink.com/m/AULmksZnzZb")</f>
        <v>https://xhslink.com/m/AULmksZnzZb</v>
      </c>
      <c r="D4434"/>
      <c r="E4434">
        <v>4214</v>
      </c>
      <c r="F4434">
        <v>69.9</v>
      </c>
      <c r="G4434"/>
      <c r="H4434">
        <v>100</v>
      </c>
      <c r="I4434" t="inlineStr">
        <is>
          <t>项链</t>
        </is>
      </c>
      <c r="J4434" t="inlineStr">
        <is>
          <t>0.02</t>
        </is>
      </c>
      <c r="K4434"/>
      <c r="L4434" t="inlineStr">
        <is>
          <t>ShiChuanDaiJia.的店</t>
        </is>
      </c>
      <c r="M4434">
        <v>190000</v>
      </c>
      <c r="N4434">
        <v>4.51</v>
      </c>
      <c r="O4434">
        <v>58000</v>
      </c>
      <c r="P4434" t="inlineStr">
        <is>
          <t>68ee5212c753610001ee0e12</t>
        </is>
      </c>
      <c r="Q4434" t="inlineStr">
        <is>
          <t>🚫重复</t>
        </is>
      </c>
      <c r="R4434" t="inlineStr">
        <is>
          <t>16周</t>
        </is>
      </c>
      <c r="S4434" t="inlineStr">
        <is>
          <t>0.02</t>
        </is>
      </c>
      <c r="T4434" t="inlineStr">
        <is>
          <t>服饰穿搭</t>
        </is>
      </c>
      <c r="U4434" t="inlineStr">
        <is>
          <t>配饰</t>
        </is>
      </c>
      <c r="V4434" s="3">
        <v>46127.98767361111</v>
      </c>
      <c r="W4434" t="inlineStr">
        <is>
          <t>2026-Q2</t>
        </is>
      </c>
    </row>
    <row r="4435" ht="25.5" customHeight="1">
      <c r="A4435" t="inlineStr">
        <is>
          <t>QwQ饰品 | 蜜光星闪珍珠 珍珠爆闪锁骨链 重工轻奢气质项链</t>
        </is>
      </c>
      <c r="B4435" t="inlineStr">
        <is>
          <t>__upload_recvgSimhWyJeP.jpg</t>
        </is>
      </c>
      <c r="C4435" s="2" t="str">
        <f>=HYPERLINK("https://xhslink.com/m/4Qtw6hGs5lU", "https://xhslink.com/m/4Qtw6hGs5lU")</f>
        <v>https://xhslink.com/m/4Qtw6hGs5lU</v>
      </c>
      <c r="D4435"/>
      <c r="E4435">
        <v>933</v>
      </c>
      <c r="F4435">
        <v>108</v>
      </c>
      <c r="G4435"/>
      <c r="H4435">
        <v>100</v>
      </c>
      <c r="I4435" t="inlineStr">
        <is>
          <t>项链</t>
        </is>
      </c>
      <c r="J4435" t="inlineStr">
        <is>
          <t>0.11</t>
        </is>
      </c>
      <c r="K4435"/>
      <c r="L4435" t="inlineStr">
        <is>
          <t>QuteWink蔻琦吻可的店</t>
        </is>
      </c>
      <c r="M4435">
        <v>12000</v>
      </c>
      <c r="N4435">
        <v>4.2</v>
      </c>
      <c r="O4435">
        <v>10000</v>
      </c>
      <c r="P4435" t="inlineStr">
        <is>
          <t>6926f31fdd329c0001d6a062</t>
        </is>
      </c>
      <c r="Q4435"/>
      <c r="R4435" t="inlineStr">
        <is>
          <t>16周</t>
        </is>
      </c>
      <c r="S4435" t="inlineStr">
        <is>
          <t>0.08</t>
        </is>
      </c>
      <c r="T4435" t="inlineStr">
        <is>
          <t>服饰穿搭</t>
        </is>
      </c>
      <c r="U4435" t="inlineStr">
        <is>
          <t>配饰</t>
        </is>
      </c>
      <c r="V4435" s="3">
        <v>46127.98767361111</v>
      </c>
      <c r="W4435" t="inlineStr">
        <is>
          <t>2026-Q2</t>
        </is>
      </c>
    </row>
    <row r="4436" ht="25.5" customHeight="1">
      <c r="A4436" t="inlineStr">
        <is>
          <t>Petrichor.yu原创设计时光镜花可调节长款项链</t>
        </is>
      </c>
      <c r="B4436" t="inlineStr">
        <is>
          <t>__upload_recvgSimhWLWjI.jpg</t>
        </is>
      </c>
      <c r="C4436" s="2" t="str">
        <f>=HYPERLINK("https://xhslink.com/m/2jIEwlCxUE2", "https://xhslink.com/m/2jIEwlCxUE2")</f>
        <v>https://xhslink.com/m/2jIEwlCxUE2</v>
      </c>
      <c r="D4436"/>
      <c r="E4436">
        <v>2331</v>
      </c>
      <c r="F4436">
        <v>98</v>
      </c>
      <c r="G4436"/>
      <c r="H4436">
        <v>100</v>
      </c>
      <c r="I4436" t="inlineStr">
        <is>
          <t>项链</t>
        </is>
      </c>
      <c r="J4436" t="inlineStr">
        <is>
          <t>0.04</t>
        </is>
      </c>
      <c r="K4436"/>
      <c r="L4436" t="inlineStr">
        <is>
          <t>Petrichor yu的店</t>
        </is>
      </c>
      <c r="M4436">
        <v>16000</v>
      </c>
      <c r="N4436">
        <v>4.52</v>
      </c>
      <c r="O4436">
        <v>24000</v>
      </c>
      <c r="P4436" t="inlineStr">
        <is>
          <t>67b6e158acc82c0001b955a9</t>
        </is>
      </c>
      <c r="Q4436" t="inlineStr">
        <is>
          <t>🚫重复</t>
        </is>
      </c>
      <c r="R4436" t="inlineStr">
        <is>
          <t>16周</t>
        </is>
      </c>
      <c r="S4436" t="inlineStr">
        <is>
          <t>0.15</t>
        </is>
      </c>
      <c r="T4436" t="inlineStr">
        <is>
          <t>服饰穿搭</t>
        </is>
      </c>
      <c r="U4436" t="inlineStr">
        <is>
          <t>配饰</t>
        </is>
      </c>
      <c r="V4436" s="3">
        <v>46127.98767361111</v>
      </c>
      <c r="W4436" t="inlineStr">
        <is>
          <t>2026-Q2</t>
        </is>
      </c>
    </row>
    <row r="4437" ht="25.5" customHeight="1">
      <c r="A4437" t="inlineStr">
        <is>
          <t>格小梵 · 春夏出游遮阳帽纯手工草编渔夫帽仙女出游草帽大头围帽子女显脸小</t>
        </is>
      </c>
      <c r="B4437" t="inlineStr">
        <is>
          <t>__upload_recvgSimhWvJSb.jpg</t>
        </is>
      </c>
      <c r="C4437" s="2" t="str">
        <f>=HYPERLINK("https://xhslink.com/m/AojKPWocTf7", "https://xhslink.com/m/AojKPWocTf7")</f>
        <v>https://xhslink.com/m/AojKPWocTf7</v>
      </c>
      <c r="D4437"/>
      <c r="E4437">
        <v>43000</v>
      </c>
      <c r="F4437">
        <v>89.9</v>
      </c>
      <c r="G4437">
        <v>79.9</v>
      </c>
      <c r="H4437">
        <v>100</v>
      </c>
      <c r="I4437" t="inlineStr">
        <is>
          <t>遮阳帽</t>
        </is>
      </c>
      <c r="J4437" t="inlineStr">
        <is>
          <t>0.00</t>
        </is>
      </c>
      <c r="K4437"/>
      <c r="L4437" t="inlineStr">
        <is>
          <t>格小梵服配的店</t>
        </is>
      </c>
      <c r="M4437">
        <v>261000</v>
      </c>
      <c r="N4437">
        <v>4.56</v>
      </c>
      <c r="O4437">
        <v>236000</v>
      </c>
      <c r="P4437" t="inlineStr">
        <is>
          <t>663b969ef3152700018a75bc</t>
        </is>
      </c>
      <c r="Q4437"/>
      <c r="R4437" t="inlineStr">
        <is>
          <t>16周</t>
        </is>
      </c>
      <c r="S4437" t="inlineStr">
        <is>
          <t>0.16</t>
        </is>
      </c>
      <c r="T4437" t="inlineStr">
        <is>
          <t>服饰穿搭</t>
        </is>
      </c>
      <c r="U4437" t="inlineStr">
        <is>
          <t>配饰</t>
        </is>
      </c>
      <c r="V4437" s="3">
        <v>46127.98767361111</v>
      </c>
      <c r="W4437" t="inlineStr">
        <is>
          <t>2026-Q2</t>
        </is>
      </c>
    </row>
    <row r="4438" ht="25.5" customHeight="1">
      <c r="A4438" t="inlineStr">
        <is>
          <t>【无痕一体防晒帽】2026款遮阳帽空顶帽女夏季防紫外线遮脸太阳帽</t>
        </is>
      </c>
      <c r="B4438" t="inlineStr">
        <is>
          <t>__upload_recvgSimhWusb5.jpg</t>
        </is>
      </c>
      <c r="C4438" s="2" t="str">
        <f>=HYPERLINK("https://xhslink.com/m/9XZP1sqfqb8", "https://xhslink.com/m/9XZP1sqfqb8")</f>
        <v>https://xhslink.com/m/9XZP1sqfqb8</v>
      </c>
      <c r="D4438"/>
      <c r="E4438">
        <v>147000</v>
      </c>
      <c r="F4438">
        <v>49.9</v>
      </c>
      <c r="G4438">
        <v>39.9</v>
      </c>
      <c r="H4438">
        <v>100</v>
      </c>
      <c r="I4438" t="inlineStr">
        <is>
          <t>遮阳帽</t>
        </is>
      </c>
      <c r="J4438" t="inlineStr">
        <is>
          <t>0.00</t>
        </is>
      </c>
      <c r="K4438" t="inlineStr">
        <is>
          <t>🔥低粉爆款</t>
        </is>
      </c>
      <c r="L4438" t="inlineStr">
        <is>
          <t>MoonBEN慕白的店</t>
        </is>
      </c>
      <c r="M4438">
        <v>20000</v>
      </c>
      <c r="N4438">
        <v>4.56</v>
      </c>
      <c r="O4438">
        <v>208000</v>
      </c>
      <c r="P4438" t="inlineStr">
        <is>
          <t>67ee47aa84d56b000140024a</t>
        </is>
      </c>
      <c r="Q4438"/>
      <c r="R4438" t="inlineStr">
        <is>
          <t>16周</t>
        </is>
      </c>
      <c r="S4438" t="inlineStr">
        <is>
          <t>7.35</t>
        </is>
      </c>
      <c r="T4438" t="inlineStr">
        <is>
          <t>服饰穿搭</t>
        </is>
      </c>
      <c r="U4438" t="inlineStr">
        <is>
          <t>鞋靴箱包</t>
        </is>
      </c>
      <c r="V4438" s="3">
        <v>46127.98767361111</v>
      </c>
      <c r="W4438" t="inlineStr">
        <is>
          <t>2026-Q2</t>
        </is>
      </c>
    </row>
    <row r="4439" ht="25.5" customHeight="1">
      <c r="A4439" t="inlineStr">
        <is>
          <t>轻盈版跑步运动无痕防晒帽全脸遮阳帽显脸小夏季骑行空顶太阳帽子</t>
        </is>
      </c>
      <c r="B4439" t="inlineStr">
        <is>
          <t>__upload_recvgSimhW1Dgp.jpg</t>
        </is>
      </c>
      <c r="C4439" s="2" t="str">
        <f>=HYPERLINK("https://xhslink.com/m/6xItUhVAhrE", "https://xhslink.com/m/6xItUhVAhrE")</f>
        <v>https://xhslink.com/m/6xItUhVAhrE</v>
      </c>
      <c r="D4439"/>
      <c r="E4439">
        <v>42000</v>
      </c>
      <c r="F4439">
        <v>39.9</v>
      </c>
      <c r="G4439"/>
      <c r="H4439">
        <v>100</v>
      </c>
      <c r="I4439" t="inlineStr">
        <is>
          <t>遮阳帽</t>
        </is>
      </c>
      <c r="J4439" t="inlineStr">
        <is>
          <t>0.00</t>
        </is>
      </c>
      <c r="K4439"/>
      <c r="L4439" t="inlineStr">
        <is>
          <t>多肉脸橙子的店的店</t>
        </is>
      </c>
      <c r="M4439">
        <v>84000</v>
      </c>
      <c r="N4439">
        <v>4.47</v>
      </c>
      <c r="O4439">
        <v>1329000</v>
      </c>
      <c r="P4439" t="inlineStr">
        <is>
          <t>67079ecf30fccd0001cff8cf</t>
        </is>
      </c>
      <c r="Q4439" t="inlineStr">
        <is>
          <t>🚫重复</t>
        </is>
      </c>
      <c r="R4439" t="inlineStr">
        <is>
          <t>16周</t>
        </is>
      </c>
      <c r="S4439" t="inlineStr">
        <is>
          <t>0.50</t>
        </is>
      </c>
      <c r="T4439" t="inlineStr">
        <is>
          <t>运动潮玩</t>
        </is>
      </c>
      <c r="U4439" t="inlineStr">
        <is>
          <t>运动户外装备</t>
        </is>
      </c>
      <c r="V4439" s="3">
        <v>46127.98767361111</v>
      </c>
      <c r="W4439" t="inlineStr">
        <is>
          <t>2026-Q2</t>
        </is>
      </c>
    </row>
    <row r="4440" ht="25.5" customHeight="1">
      <c r="A4440" t="inlineStr">
        <is>
          <t>Ins高级复古十二色色纯棉简约休闲百搭显瘦素颜神器男女同款</t>
        </is>
      </c>
      <c r="B4440" t="inlineStr">
        <is>
          <t>__upload_recvgSimhWU320.jpg</t>
        </is>
      </c>
      <c r="C4440" s="2" t="str">
        <f>=HYPERLINK("https://xhslink.com/m/6MFk5t5n7", "https://xhslink.com/m/6MFk5t5n7")</f>
        <v>https://xhslink.com/m/6MFk5t5n7</v>
      </c>
      <c r="D4440"/>
      <c r="E4440">
        <v>32000</v>
      </c>
      <c r="F4440">
        <v>56</v>
      </c>
      <c r="G4440"/>
      <c r="H4440">
        <v>100</v>
      </c>
      <c r="I4440" t="inlineStr">
        <is>
          <t>遮阳帽</t>
        </is>
      </c>
      <c r="J4440" t="inlineStr">
        <is>
          <t>0.00</t>
        </is>
      </c>
      <c r="K4440"/>
      <c r="L4440" t="inlineStr">
        <is>
          <t>黛表姐的店</t>
        </is>
      </c>
      <c r="M4440">
        <v>39000</v>
      </c>
      <c r="N4440">
        <v>4.6</v>
      </c>
      <c r="O4440">
        <v>84000</v>
      </c>
      <c r="P4440" t="inlineStr">
        <is>
          <t>66c213bbb902bf00011513f5</t>
        </is>
      </c>
      <c r="Q4440"/>
      <c r="R4440" t="inlineStr">
        <is>
          <t>16周</t>
        </is>
      </c>
      <c r="S4440" t="inlineStr">
        <is>
          <t>0.82</t>
        </is>
      </c>
      <c r="T4440" t="inlineStr">
        <is>
          <t>服饰穿搭</t>
        </is>
      </c>
      <c r="U4440" t="inlineStr">
        <is>
          <t>鞋靴箱包</t>
        </is>
      </c>
      <c r="V4440" s="3">
        <v>46127.98767361111</v>
      </c>
      <c r="W4440" t="inlineStr">
        <is>
          <t>2026-Q2</t>
        </is>
      </c>
    </row>
    <row r="4441" ht="25.5" customHeight="1">
      <c r="A4441" t="inlineStr">
        <is>
          <t>法式平顶帽草帽草编织镂空平沿礼帽遮阳帽子纸草太阳帽</t>
        </is>
      </c>
      <c r="B4441" t="inlineStr">
        <is>
          <t>__upload_recvgSimhWgf8k.jpg</t>
        </is>
      </c>
      <c r="C4441" s="2" t="str">
        <f>=HYPERLINK("https://xhslink.com/m/3vVf86Rz8f6", "https://xhslink.com/m/3vVf86Rz8f6")</f>
        <v>https://xhslink.com/m/3vVf86Rz8f6</v>
      </c>
      <c r="D4441"/>
      <c r="E4441">
        <v>4404</v>
      </c>
      <c r="F4441">
        <v>31.9</v>
      </c>
      <c r="G4441"/>
      <c r="H4441">
        <v>100</v>
      </c>
      <c r="I4441" t="inlineStr">
        <is>
          <t>遮阳帽</t>
        </is>
      </c>
      <c r="J4441" t="inlineStr">
        <is>
          <t>0.02</t>
        </is>
      </c>
      <c r="K4441" t="inlineStr">
        <is>
          <t>🔥低粉爆款</t>
        </is>
      </c>
      <c r="L4441" t="inlineStr">
        <is>
          <t>Doris茉莉的店</t>
        </is>
      </c>
      <c r="M4441">
        <v>721</v>
      </c>
      <c r="N4441">
        <v>4.53</v>
      </c>
      <c r="O4441">
        <v>9579</v>
      </c>
      <c r="P4441" t="inlineStr">
        <is>
          <t>68300e46fde0e20001eab309</t>
        </is>
      </c>
      <c r="Q4441"/>
      <c r="R4441" t="inlineStr">
        <is>
          <t>16周</t>
        </is>
      </c>
      <c r="S4441" t="inlineStr">
        <is>
          <t>6.11</t>
        </is>
      </c>
      <c r="T4441" t="inlineStr">
        <is>
          <t>服饰穿搭</t>
        </is>
      </c>
      <c r="U4441" t="inlineStr">
        <is>
          <t>配饰</t>
        </is>
      </c>
      <c r="V4441" s="3">
        <v>46127.98767361111</v>
      </c>
      <c r="W4441" t="inlineStr">
        <is>
          <t>2026-Q2</t>
        </is>
      </c>
    </row>
    <row r="4442" ht="25.5" customHeight="1">
      <c r="A4442" t="inlineStr">
        <is>
          <t>帽子女款鸭舌帽空顶遮阳帽大头围显脸小扎马尾网红款户外女士</t>
        </is>
      </c>
      <c r="B4442" t="inlineStr">
        <is>
          <t>__upload_recvgSimhW51Ib.jpg</t>
        </is>
      </c>
      <c r="C4442" s="2" t="str">
        <f>=HYPERLINK("https://xhslink.com/m/A1K2jnetZlw", "https://xhslink.com/m/A1K2jnetZlw")</f>
        <v>https://xhslink.com/m/A1K2jnetZlw</v>
      </c>
      <c r="D4442"/>
      <c r="E4442">
        <v>9865</v>
      </c>
      <c r="F4442">
        <v>46.8</v>
      </c>
      <c r="G4442">
        <v>41.8</v>
      </c>
      <c r="H4442">
        <v>100</v>
      </c>
      <c r="I4442" t="inlineStr">
        <is>
          <t>遮阳帽</t>
        </is>
      </c>
      <c r="J4442" t="inlineStr">
        <is>
          <t>0.01</t>
        </is>
      </c>
      <c r="K4442" t="inlineStr">
        <is>
          <t>🔥低粉爆款</t>
        </is>
      </c>
      <c r="L4442" t="inlineStr">
        <is>
          <t>麻辣香锅呦的店</t>
        </is>
      </c>
      <c r="M4442">
        <v>192</v>
      </c>
      <c r="N4442">
        <v>4.43</v>
      </c>
      <c r="O4442">
        <v>32000</v>
      </c>
      <c r="P4442" t="inlineStr">
        <is>
          <t>67f51d4cec1374000101a9e0</t>
        </is>
      </c>
      <c r="Q4442"/>
      <c r="R4442" t="inlineStr">
        <is>
          <t>16周</t>
        </is>
      </c>
      <c r="S4442" t="inlineStr">
        <is>
          <t>51.38</t>
        </is>
      </c>
      <c r="T4442" t="inlineStr">
        <is>
          <t>服饰穿搭</t>
        </is>
      </c>
      <c r="U4442" t="inlineStr">
        <is>
          <t>配饰</t>
        </is>
      </c>
      <c r="V4442" s="3">
        <v>46127.98767361111</v>
      </c>
      <c r="W4442" t="inlineStr">
        <is>
          <t>2026-Q2</t>
        </is>
      </c>
    </row>
    <row r="4443" ht="25.5" customHeight="1">
      <c r="A4443" t="inlineStr">
        <is>
          <t>敲韩！绿色字母刺绣特调色软顶鸭舌帽棒球帽女遮阳情侣小众百搭</t>
        </is>
      </c>
      <c r="B4443" t="inlineStr">
        <is>
          <t>__upload_recvgSimhWVv2F.jpg</t>
        </is>
      </c>
      <c r="C4443" s="2" t="str">
        <f>=HYPERLINK("https://xhslink.com/m/MmsmF4QyfI", "https://xhslink.com/m/MmsmF4QyfI")</f>
        <v>https://xhslink.com/m/MmsmF4QyfI</v>
      </c>
      <c r="D4443"/>
      <c r="E4443">
        <v>2118</v>
      </c>
      <c r="F4443">
        <v>38</v>
      </c>
      <c r="G4443"/>
      <c r="H4443">
        <v>100</v>
      </c>
      <c r="I4443" t="inlineStr">
        <is>
          <t>遮阳帽</t>
        </is>
      </c>
      <c r="J4443" t="inlineStr">
        <is>
          <t>0.05</t>
        </is>
      </c>
      <c r="K4443"/>
      <c r="L4443" t="inlineStr">
        <is>
          <t>our hats的店</t>
        </is>
      </c>
      <c r="M4443">
        <v>3613</v>
      </c>
      <c r="N4443">
        <v>4.53</v>
      </c>
      <c r="O4443">
        <v>57000</v>
      </c>
      <c r="P4443" t="inlineStr">
        <is>
          <t>69bb74a823faf80001642cb1</t>
        </is>
      </c>
      <c r="Q4443"/>
      <c r="R4443" t="inlineStr">
        <is>
          <t>16周</t>
        </is>
      </c>
      <c r="S4443" t="inlineStr">
        <is>
          <t>0.59</t>
        </is>
      </c>
      <c r="T4443" t="inlineStr">
        <is>
          <t>服饰穿搭</t>
        </is>
      </c>
      <c r="U4443" t="inlineStr">
        <is>
          <t>鞋靴箱包</t>
        </is>
      </c>
      <c r="V4443" s="3">
        <v>46127.98767361111</v>
      </c>
      <c r="W4443" t="inlineStr">
        <is>
          <t>2026-Q2</t>
        </is>
      </c>
    </row>
    <row r="4444" ht="25.5" customHeight="1">
      <c r="A4444" t="inlineStr">
        <is>
          <t>大檐水桶帽子女夏季遮脸防晒渔夫出游遮阳草帽防紫外线灯罩帽</t>
        </is>
      </c>
      <c r="B4444" t="inlineStr">
        <is>
          <t>__upload_recvgSimhWxXEU.jpg</t>
        </is>
      </c>
      <c r="C4444" s="2" t="str">
        <f>=HYPERLINK("https://xhslink.com/m/AIfwRextxy1", "https://xhslink.com/m/AIfwRextxy1")</f>
        <v>https://xhslink.com/m/AIfwRextxy1</v>
      </c>
      <c r="D4444"/>
      <c r="E4444">
        <v>1311</v>
      </c>
      <c r="F4444">
        <v>54.9</v>
      </c>
      <c r="G4444">
        <v>44.9</v>
      </c>
      <c r="H4444">
        <v>100</v>
      </c>
      <c r="I4444" t="inlineStr">
        <is>
          <t>遮阳帽</t>
        </is>
      </c>
      <c r="J4444" t="inlineStr">
        <is>
          <t>0.08</t>
        </is>
      </c>
      <c r="K4444"/>
      <c r="L4444" t="inlineStr">
        <is>
          <t>六六帽子铺的店</t>
        </is>
      </c>
      <c r="M4444">
        <v>319000</v>
      </c>
      <c r="N4444">
        <v>4.39</v>
      </c>
      <c r="O4444">
        <v>292000</v>
      </c>
      <c r="P4444" t="inlineStr">
        <is>
          <t>69c28926ff00dc000117c9ca</t>
        </is>
      </c>
      <c r="Q4444"/>
      <c r="R4444" t="inlineStr">
        <is>
          <t>16周</t>
        </is>
      </c>
      <c r="S4444" t="inlineStr">
        <is>
          <t>0.00</t>
        </is>
      </c>
      <c r="T4444" t="inlineStr">
        <is>
          <t>服饰穿搭</t>
        </is>
      </c>
      <c r="U4444" t="inlineStr">
        <is>
          <t>配饰</t>
        </is>
      </c>
      <c r="V4444" s="3">
        <v>46127.98767361111</v>
      </c>
      <c r="W4444" t="inlineStr">
        <is>
          <t>2026-Q2</t>
        </is>
      </c>
    </row>
    <row r="4445" ht="25.5" customHeight="1">
      <c r="A4445" t="inlineStr">
        <is>
          <t>自然色·AYESHA 26SS 天然咸草编织复古春夏海边遮阳定型</t>
        </is>
      </c>
      <c r="B4445" t="inlineStr">
        <is>
          <t>__upload_recvgSimhWwJHV.jpg</t>
        </is>
      </c>
      <c r="C4445" s="2" t="str">
        <f>=HYPERLINK("https://xhslink.com/m/7rBB6ouhAxt", "https://xhslink.com/m/7rBB6ouhAxt")</f>
        <v>https://xhslink.com/m/7rBB6ouhAxt</v>
      </c>
      <c r="D4445"/>
      <c r="E4445">
        <v>773</v>
      </c>
      <c r="F4445">
        <v>229</v>
      </c>
      <c r="G4445">
        <v>219</v>
      </c>
      <c r="H4445">
        <v>100</v>
      </c>
      <c r="I4445" t="inlineStr">
        <is>
          <t>遮阳帽</t>
        </is>
      </c>
      <c r="J4445" t="inlineStr">
        <is>
          <t>0.13</t>
        </is>
      </c>
      <c r="K4445"/>
      <c r="L4445" t="inlineStr">
        <is>
          <t>Ayesha的店</t>
        </is>
      </c>
      <c r="M4445">
        <v>6323</v>
      </c>
      <c r="N4445">
        <v>4.74</v>
      </c>
      <c r="O4445">
        <v>4859</v>
      </c>
      <c r="P4445" t="inlineStr">
        <is>
          <t>689098ceebefca0001c5f210</t>
        </is>
      </c>
      <c r="Q4445"/>
      <c r="R4445" t="inlineStr">
        <is>
          <t>16周</t>
        </is>
      </c>
      <c r="S4445" t="inlineStr">
        <is>
          <t>0.12</t>
        </is>
      </c>
      <c r="T4445" t="inlineStr">
        <is>
          <t>服饰穿搭</t>
        </is>
      </c>
      <c r="U4445" t="inlineStr">
        <is>
          <t>鞋靴箱包</t>
        </is>
      </c>
      <c r="V4445" s="3">
        <v>46127.98767361111</v>
      </c>
      <c r="W4445" t="inlineStr">
        <is>
          <t>2026-Q2</t>
        </is>
      </c>
    </row>
    <row r="4446" ht="25.5" customHeight="1">
      <c r="A4446" t="inlineStr">
        <is>
          <t>原创自制Kitty大号蝴蝶结·冰丝遮阳帽（抽带调节头围）</t>
        </is>
      </c>
      <c r="B4446" t="inlineStr">
        <is>
          <t>__upload_recvgSimhW0zDe.jpg</t>
        </is>
      </c>
      <c r="C4446" s="2" t="str">
        <f>=HYPERLINK("https://xhslink.com/m/5EyRw6Q1MRJ", "https://xhslink.com/m/5EyRw6Q1MRJ")</f>
        <v>https://xhslink.com/m/5EyRw6Q1MRJ</v>
      </c>
      <c r="D4446"/>
      <c r="E4446">
        <v>1275</v>
      </c>
      <c r="F4446">
        <v>32.8</v>
      </c>
      <c r="G4446">
        <v>22.8</v>
      </c>
      <c r="H4446">
        <v>100</v>
      </c>
      <c r="I4446" t="inlineStr">
        <is>
          <t>遮阳帽</t>
        </is>
      </c>
      <c r="J4446" t="inlineStr">
        <is>
          <t>0.08</t>
        </is>
      </c>
      <c r="K4446"/>
      <c r="L4446" t="inlineStr">
        <is>
          <t>The Girl's Diary的店</t>
        </is>
      </c>
      <c r="M4446">
        <v>2158</v>
      </c>
      <c r="N4446">
        <v>4.63</v>
      </c>
      <c r="O4446">
        <v>4613</v>
      </c>
      <c r="P4446" t="inlineStr">
        <is>
          <t>69b231b205ddcd0001b3b4d3</t>
        </is>
      </c>
      <c r="Q4446" t="inlineStr">
        <is>
          <t>🚫重复</t>
        </is>
      </c>
      <c r="R4446" t="inlineStr">
        <is>
          <t>16周</t>
        </is>
      </c>
      <c r="S4446" t="inlineStr">
        <is>
          <t>0.59</t>
        </is>
      </c>
      <c r="T4446" t="inlineStr">
        <is>
          <t>服饰穿搭</t>
        </is>
      </c>
      <c r="U4446" t="inlineStr">
        <is>
          <t>鞋靴箱包</t>
        </is>
      </c>
      <c r="V4446" s="3">
        <v>46127.98767361111</v>
      </c>
      <c r="W4446" t="inlineStr">
        <is>
          <t>2026-Q2</t>
        </is>
      </c>
    </row>
    <row r="4447" ht="25.5" customHeight="1">
      <c r="A4447" t="inlineStr">
        <is>
          <t>可爱大眼小猫薄荷蓝绿大眼仔空顶帽女生夏季可爱小猫耳朵遮阳帽潮</t>
        </is>
      </c>
      <c r="B4447" t="inlineStr">
        <is>
          <t>__upload_recvgSimhWqZ6E.jpg</t>
        </is>
      </c>
      <c r="C4447" s="2" t="str">
        <f>=HYPERLINK("https://xhslink.com/m/7hYsVLllthk", "https://xhslink.com/m/7hYsVLllthk")</f>
        <v>https://xhslink.com/m/7hYsVLllthk</v>
      </c>
      <c r="D4447"/>
      <c r="E4447">
        <v>6998</v>
      </c>
      <c r="F4447">
        <v>47.9</v>
      </c>
      <c r="G4447">
        <v>27.9</v>
      </c>
      <c r="H4447">
        <v>100</v>
      </c>
      <c r="I4447" t="inlineStr">
        <is>
          <t>遮阳帽</t>
        </is>
      </c>
      <c r="J4447" t="inlineStr">
        <is>
          <t>0.01</t>
        </is>
      </c>
      <c r="K4447"/>
      <c r="L4447" t="inlineStr">
        <is>
          <t>伤心黄油面包的店</t>
        </is>
      </c>
      <c r="M4447">
        <v>33000</v>
      </c>
      <c r="N4447">
        <v>4.55</v>
      </c>
      <c r="O4447">
        <v>224000</v>
      </c>
      <c r="P4447" t="inlineStr">
        <is>
          <t>6830974b42360a0001a072df</t>
        </is>
      </c>
      <c r="Q4447"/>
      <c r="R4447" t="inlineStr">
        <is>
          <t>16周</t>
        </is>
      </c>
      <c r="S4447" t="inlineStr">
        <is>
          <t>0.21</t>
        </is>
      </c>
      <c r="T4447" t="inlineStr">
        <is>
          <t>服饰穿搭</t>
        </is>
      </c>
      <c r="U4447" t="inlineStr">
        <is>
          <t>鞋靴箱包</t>
        </is>
      </c>
      <c r="V4447" s="3">
        <v>46127.98767361111</v>
      </c>
      <c r="W4447" t="inlineStr">
        <is>
          <t>2026-Q2</t>
        </is>
      </c>
    </row>
    <row r="4448" ht="25.5" customHeight="1">
      <c r="A4448" t="inlineStr">
        <is>
          <t>Work for my DOG | seenderella| 刺绣软顶纯棉加深棒球帽</t>
        </is>
      </c>
      <c r="B4448" t="inlineStr">
        <is>
          <t>__upload_recvgSimhW4FZc.jpg</t>
        </is>
      </c>
      <c r="C4448" s="2" t="str">
        <f>=HYPERLINK("https://xhslink.com/m/35tujhbeLMD", "https://xhslink.com/m/35tujhbeLMD")</f>
        <v>https://xhslink.com/m/35tujhbeLMD</v>
      </c>
      <c r="D4448"/>
      <c r="E4448">
        <v>858</v>
      </c>
      <c r="F4448">
        <v>88</v>
      </c>
      <c r="G4448">
        <v>68</v>
      </c>
      <c r="H4448">
        <v>100</v>
      </c>
      <c r="I4448" t="inlineStr">
        <is>
          <t>遮阳帽</t>
        </is>
      </c>
      <c r="J4448" t="inlineStr">
        <is>
          <t>0.12</t>
        </is>
      </c>
      <c r="K4448"/>
      <c r="L4448" t="inlineStr">
        <is>
          <t>seenderella的店</t>
        </is>
      </c>
      <c r="M4448">
        <v>4728</v>
      </c>
      <c r="N4448">
        <v>4.62</v>
      </c>
      <c r="O4448">
        <v>36000</v>
      </c>
      <c r="P4448" t="inlineStr">
        <is>
          <t>69bd44290ac79f0001afad51</t>
        </is>
      </c>
      <c r="Q4448" t="inlineStr">
        <is>
          <t>🚫重复</t>
        </is>
      </c>
      <c r="R4448" t="inlineStr">
        <is>
          <t>16周</t>
        </is>
      </c>
      <c r="S4448" t="inlineStr">
        <is>
          <t>0.18</t>
        </is>
      </c>
      <c r="T4448" t="inlineStr">
        <is>
          <t>服饰穿搭</t>
        </is>
      </c>
      <c r="U4448" t="inlineStr">
        <is>
          <t>鞋靴箱包</t>
        </is>
      </c>
      <c r="V4448" s="3">
        <v>46127.98767361111</v>
      </c>
      <c r="W4448" t="inlineStr">
        <is>
          <t>2026-Q2</t>
        </is>
      </c>
    </row>
    <row r="4449" ht="25.5" customHeight="1">
      <c r="A4449" t="inlineStr">
        <is>
          <t>喜上XISHANG · 正品奥地利进口人造澳白珍珠正圆强光 925银耳钉耳夹耳环耳饰</t>
        </is>
      </c>
      <c r="B4449" t="inlineStr">
        <is>
          <t>__upload_recvgSimhWHdmb.jpg</t>
        </is>
      </c>
      <c r="C4449" s="2" t="str">
        <f>=HYPERLINK("https://xhslink.com/m/5P7l3oDvYyw", "https://xhslink.com/m/5P7l3oDvYyw")</f>
        <v>https://xhslink.com/m/5P7l3oDvYyw</v>
      </c>
      <c r="D4449"/>
      <c r="E4449">
        <v>130000</v>
      </c>
      <c r="F4449">
        <v>59.9</v>
      </c>
      <c r="G4449">
        <v>49.9</v>
      </c>
      <c r="H4449">
        <v>100</v>
      </c>
      <c r="I4449" t="inlineStr">
        <is>
          <t>耳环</t>
        </is>
      </c>
      <c r="J4449" t="inlineStr">
        <is>
          <t>0.00</t>
        </is>
      </c>
      <c r="K4449"/>
      <c r="L4449" t="inlineStr">
        <is>
          <t>伊一·喜上珠宝的店</t>
        </is>
      </c>
      <c r="M4449">
        <v>84000</v>
      </c>
      <c r="N4449">
        <v>4.57</v>
      </c>
      <c r="O4449">
        <v>228000</v>
      </c>
      <c r="P4449" t="inlineStr">
        <is>
          <t>6410a40dfbde8d00013dae7a</t>
        </is>
      </c>
      <c r="Q4449"/>
      <c r="R4449" t="inlineStr">
        <is>
          <t>16周</t>
        </is>
      </c>
      <c r="S4449" t="inlineStr">
        <is>
          <t>1.55</t>
        </is>
      </c>
      <c r="T4449" t="inlineStr">
        <is>
          <t>服饰穿搭</t>
        </is>
      </c>
      <c r="U4449" t="inlineStr">
        <is>
          <t>配饰</t>
        </is>
      </c>
      <c r="V4449" s="3">
        <v>46127.98767361111</v>
      </c>
      <c r="W4449" t="inlineStr">
        <is>
          <t>2026-Q2</t>
        </is>
      </c>
    </row>
    <row r="4450" ht="25.5" customHeight="1">
      <c r="A4450" t="inlineStr">
        <is>
          <t>3E · 诺诺手作耳钉/耳夹（两件包邮加购物车直接拍）默认亮面 可做磨砂</t>
        </is>
      </c>
      <c r="B4450" t="inlineStr">
        <is>
          <t>__upload_recvgSimhWmUPs.jpg</t>
        </is>
      </c>
      <c r="C4450" s="2" t="str">
        <f>=HYPERLINK("https://xhslink.com/m/9rrZLzjhvK9", "https://xhslink.com/m/9rrZLzjhvK9")</f>
        <v>https://xhslink.com/m/9rrZLzjhvK9</v>
      </c>
      <c r="D4450"/>
      <c r="E4450">
        <v>6438</v>
      </c>
      <c r="F4450">
        <v>26.9</v>
      </c>
      <c r="G4450">
        <v>15.9</v>
      </c>
      <c r="H4450">
        <v>100</v>
      </c>
      <c r="I4450" t="inlineStr">
        <is>
          <t>耳环</t>
        </is>
      </c>
      <c r="J4450" t="inlineStr">
        <is>
          <t>0.02</t>
        </is>
      </c>
      <c r="K4450"/>
      <c r="L4450" t="inlineStr">
        <is>
          <t>诺诺Nail的店</t>
        </is>
      </c>
      <c r="M4450">
        <v>3135</v>
      </c>
      <c r="N4450">
        <v>4.4</v>
      </c>
      <c r="O4450">
        <v>7190</v>
      </c>
      <c r="P4450" t="inlineStr">
        <is>
          <t>69c9e4dce6196b0001a436b7</t>
        </is>
      </c>
      <c r="Q4450"/>
      <c r="R4450" t="inlineStr">
        <is>
          <t>16周</t>
        </is>
      </c>
      <c r="S4450" t="inlineStr">
        <is>
          <t>2.05</t>
        </is>
      </c>
      <c r="T4450" t="inlineStr">
        <is>
          <t>运动潮玩</t>
        </is>
      </c>
      <c r="U4450" t="inlineStr">
        <is>
          <t>潮玩手办</t>
        </is>
      </c>
      <c r="V4450" s="3">
        <v>46127.98767361111</v>
      </c>
      <c r="W4450" t="inlineStr">
        <is>
          <t>2026-Q2</t>
        </is>
      </c>
    </row>
    <row r="4451" ht="25.5" customHeight="1">
      <c r="A4451" t="inlineStr">
        <is>
          <t>Amor Glam【跑量款】莫桑钻耳钉S925银钻石耳钉通勤耳饰耳骨钉</t>
        </is>
      </c>
      <c r="B4451" t="inlineStr">
        <is>
          <t>__upload_recvgSimhWPydN.jpg</t>
        </is>
      </c>
      <c r="C4451" s="2" t="str">
        <f>=HYPERLINK("https://xhslink.com/m/lqsZebH4EX", "https://xhslink.com/m/lqsZebH4EX")</f>
        <v>https://xhslink.com/m/lqsZebH4EX</v>
      </c>
      <c r="D4451"/>
      <c r="E4451">
        <v>60000</v>
      </c>
      <c r="F4451">
        <v>58</v>
      </c>
      <c r="G4451"/>
      <c r="H4451">
        <v>100</v>
      </c>
      <c r="I4451" t="inlineStr">
        <is>
          <t>耳环</t>
        </is>
      </c>
      <c r="J4451" t="inlineStr">
        <is>
          <t>0.00</t>
        </is>
      </c>
      <c r="K4451"/>
      <c r="L4451" t="inlineStr">
        <is>
          <t>星承珠宝AMOR GLAM的店</t>
        </is>
      </c>
      <c r="M4451">
        <v>31000</v>
      </c>
      <c r="N4451">
        <v>4.65</v>
      </c>
      <c r="O4451">
        <v>193000</v>
      </c>
      <c r="P4451" t="inlineStr">
        <is>
          <t>65b2fe8f90e6f10001148074</t>
        </is>
      </c>
      <c r="Q4451"/>
      <c r="R4451" t="inlineStr">
        <is>
          <t>16周</t>
        </is>
      </c>
      <c r="S4451" t="inlineStr">
        <is>
          <t>1.94</t>
        </is>
      </c>
      <c r="T4451" t="inlineStr">
        <is>
          <t>服饰穿搭</t>
        </is>
      </c>
      <c r="U4451" t="inlineStr">
        <is>
          <t>配饰</t>
        </is>
      </c>
      <c r="V4451" s="3">
        <v>46127.98767361111</v>
      </c>
      <c r="W4451" t="inlineStr">
        <is>
          <t>2026-Q2</t>
        </is>
      </c>
    </row>
    <row r="4452" ht="25.5" customHeight="1">
      <c r="A4452" t="inlineStr">
        <is>
          <t>D色莫桑钻耳钉通体925银镀金莫桑石仿钻石耳钉免摘螺丝养耳洞耳骨</t>
        </is>
      </c>
      <c r="B4452" t="inlineStr">
        <is>
          <t>__upload_recvgSimhWWUkH.jpg</t>
        </is>
      </c>
      <c r="C4452" s="2" t="str">
        <f>=HYPERLINK("https://xhslink.com/m/2AkbBFzlG7T", "https://xhslink.com/m/2AkbBFzlG7T")</f>
        <v>https://xhslink.com/m/2AkbBFzlG7T</v>
      </c>
      <c r="D4452"/>
      <c r="E4452">
        <v>47000</v>
      </c>
      <c r="F4452">
        <v>129</v>
      </c>
      <c r="G4452">
        <v>89</v>
      </c>
      <c r="H4452">
        <v>100</v>
      </c>
      <c r="I4452" t="inlineStr">
        <is>
          <t>耳环</t>
        </is>
      </c>
      <c r="J4452" t="inlineStr">
        <is>
          <t>0.00</t>
        </is>
      </c>
      <c r="K4452" t="inlineStr">
        <is>
          <t>🔥低粉爆款</t>
        </is>
      </c>
      <c r="L4452" t="inlineStr">
        <is>
          <t>王大金oh的店</t>
        </is>
      </c>
      <c r="M4452">
        <v>3526</v>
      </c>
      <c r="N4452">
        <v>4.69</v>
      </c>
      <c r="O4452">
        <v>60000</v>
      </c>
      <c r="P4452" t="inlineStr">
        <is>
          <t>67d98b5d9707490001b652f1</t>
        </is>
      </c>
      <c r="Q4452" t="inlineStr">
        <is>
          <t>🚫重复</t>
        </is>
      </c>
      <c r="R4452" t="inlineStr">
        <is>
          <t>16周</t>
        </is>
      </c>
      <c r="S4452" t="inlineStr">
        <is>
          <t>13.33</t>
        </is>
      </c>
      <c r="T4452" t="inlineStr">
        <is>
          <t>服饰穿搭</t>
        </is>
      </c>
      <c r="U4452" t="inlineStr">
        <is>
          <t>配饰</t>
        </is>
      </c>
      <c r="V4452" s="3">
        <v>46127.98767361111</v>
      </c>
      <c r="W4452" t="inlineStr">
        <is>
          <t>2026-Q2</t>
        </is>
      </c>
    </row>
    <row r="4453" ht="25.5" customHeight="1">
      <c r="A4453" t="inlineStr">
        <is>
          <t>CHIBOTI · 深海之息·渐变蓝色小鱼晶石深海鱼海浪锆石项链耳钉戒指系列</t>
        </is>
      </c>
      <c r="B4453" t="inlineStr">
        <is>
          <t>__upload_recvgSimhW635D.jpg</t>
        </is>
      </c>
      <c r="C4453" s="2" t="str">
        <f>=HYPERLINK("https://xhslink.com/m/8EkZDkiVEvZ", "https://xhslink.com/m/8EkZDkiVEvZ")</f>
        <v>https://xhslink.com/m/8EkZDkiVEvZ</v>
      </c>
      <c r="D4453"/>
      <c r="E4453">
        <v>12000</v>
      </c>
      <c r="F4453">
        <v>49</v>
      </c>
      <c r="G4453">
        <v>46</v>
      </c>
      <c r="H4453">
        <v>100</v>
      </c>
      <c r="I4453" t="inlineStr">
        <is>
          <t>耳环</t>
        </is>
      </c>
      <c r="J4453" t="inlineStr">
        <is>
          <t>0.01</t>
        </is>
      </c>
      <c r="K4453"/>
      <c r="L4453" t="inlineStr">
        <is>
          <t>chi_boti的店</t>
        </is>
      </c>
      <c r="M4453">
        <v>62000</v>
      </c>
      <c r="N4453">
        <v>4.73</v>
      </c>
      <c r="O4453">
        <v>144000</v>
      </c>
      <c r="P4453" t="inlineStr">
        <is>
          <t>67bd87589759260001a4236d</t>
        </is>
      </c>
      <c r="Q4453" t="inlineStr">
        <is>
          <t>🚫重复</t>
        </is>
      </c>
      <c r="R4453" t="inlineStr">
        <is>
          <t>16周</t>
        </is>
      </c>
      <c r="S4453" t="inlineStr">
        <is>
          <t>0.19</t>
        </is>
      </c>
      <c r="T4453" t="inlineStr">
        <is>
          <t>服饰穿搭</t>
        </is>
      </c>
      <c r="U4453" t="inlineStr">
        <is>
          <t>配饰</t>
        </is>
      </c>
      <c r="V4453" s="3">
        <v>46127.98767361111</v>
      </c>
      <c r="W4453" t="inlineStr">
        <is>
          <t>2026-Q2</t>
        </is>
      </c>
    </row>
    <row r="4454" ht="25.5" customHeight="1">
      <c r="A4454" t="inlineStr">
        <is>
          <t>【3-3.5橘白紫耳针】小鼻嘎馒头天然淡水无核珍珠耳钉银镀金耳环</t>
        </is>
      </c>
      <c r="B4454" t="inlineStr">
        <is>
          <t>__upload_recvgSimhWlCD2.jpg</t>
        </is>
      </c>
      <c r="C4454" s="2" t="str">
        <f>=HYPERLINK("https://xhslink.com/m/7YOZEkZ7gTD", "https://xhslink.com/m/7YOZEkZ7gTD")</f>
        <v>https://xhslink.com/m/7YOZEkZ7gTD</v>
      </c>
      <c r="D4454"/>
      <c r="E4454">
        <v>22000</v>
      </c>
      <c r="F4454">
        <v>32</v>
      </c>
      <c r="G4454"/>
      <c r="H4454">
        <v>100</v>
      </c>
      <c r="I4454" t="inlineStr">
        <is>
          <t>耳环</t>
        </is>
      </c>
      <c r="J4454" t="inlineStr">
        <is>
          <t>0.00</t>
        </is>
      </c>
      <c r="K4454"/>
      <c r="L4454" t="inlineStr">
        <is>
          <t>Aurated鎏金珍珠珠宝店的店</t>
        </is>
      </c>
      <c r="M4454">
        <v>8065</v>
      </c>
      <c r="N4454">
        <v>4.65</v>
      </c>
      <c r="O4454">
        <v>51000</v>
      </c>
      <c r="P4454" t="inlineStr">
        <is>
          <t>689e073716b0c8000158fb91</t>
        </is>
      </c>
      <c r="Q4454" t="inlineStr">
        <is>
          <t>🚫重复</t>
        </is>
      </c>
      <c r="R4454" t="inlineStr">
        <is>
          <t>16周</t>
        </is>
      </c>
      <c r="S4454" t="inlineStr">
        <is>
          <t>2.73</t>
        </is>
      </c>
      <c r="T4454" t="inlineStr">
        <is>
          <t>服饰穿搭</t>
        </is>
      </c>
      <c r="U4454" t="inlineStr">
        <is>
          <t>配饰</t>
        </is>
      </c>
      <c r="V4454" s="3">
        <v>46127.98767361111</v>
      </c>
      <c r="W4454" t="inlineStr">
        <is>
          <t>2026-Q2</t>
        </is>
      </c>
    </row>
    <row r="4455" ht="25.5" customHeight="1">
      <c r="A4455" t="inlineStr">
        <is>
          <t>softstone｜【刘惜君同款】原创红蓝撞色长耳环S925银针定制商品</t>
        </is>
      </c>
      <c r="B4455" t="inlineStr">
        <is>
          <t>__upload_recvgSimhW5H4l.jpg</t>
        </is>
      </c>
      <c r="C4455" s="2" t="str">
        <f>=HYPERLINK("https://xhslink.com/m/l41czFPLUG", "https://xhslink.com/m/l41czFPLUG")</f>
        <v>https://xhslink.com/m/l41czFPLUG</v>
      </c>
      <c r="D4455"/>
      <c r="E4455">
        <v>2889</v>
      </c>
      <c r="F4455">
        <v>89</v>
      </c>
      <c r="G4455">
        <v>86</v>
      </c>
      <c r="H4455">
        <v>100</v>
      </c>
      <c r="I4455" t="inlineStr">
        <is>
          <t>耳环</t>
        </is>
      </c>
      <c r="J4455" t="inlineStr">
        <is>
          <t>0.03</t>
        </is>
      </c>
      <c r="K4455"/>
      <c r="L4455" t="inlineStr">
        <is>
          <t>SOflid A Stone的店</t>
        </is>
      </c>
      <c r="M4455">
        <v>7402</v>
      </c>
      <c r="N4455">
        <v>4.11</v>
      </c>
      <c r="O4455">
        <v>11000</v>
      </c>
      <c r="P4455" t="inlineStr">
        <is>
          <t>6663163a5f1a0a00011e98d1</t>
        </is>
      </c>
      <c r="Q4455"/>
      <c r="R4455" t="inlineStr">
        <is>
          <t>16周</t>
        </is>
      </c>
      <c r="S4455" t="inlineStr">
        <is>
          <t>0.39</t>
        </is>
      </c>
      <c r="T4455" t="inlineStr">
        <is>
          <t>服饰穿搭</t>
        </is>
      </c>
      <c r="U4455" t="inlineStr">
        <is>
          <t>配饰</t>
        </is>
      </c>
      <c r="V4455" s="3">
        <v>46127.98767361111</v>
      </c>
      <c r="W4455" t="inlineStr">
        <is>
          <t>2026-Q2</t>
        </is>
      </c>
    </row>
    <row r="4456" ht="25.5" customHeight="1">
      <c r="A4456" t="inlineStr">
        <is>
          <t>Y425 华子316L钛钢直针耳扣彩色百搭小众耳骨扣耳环</t>
        </is>
      </c>
      <c r="B4456" t="inlineStr">
        <is>
          <t>__upload_recvgSimhWHZdk.jpg</t>
        </is>
      </c>
      <c r="C4456" s="2" t="str">
        <f>=HYPERLINK("https://xhslink.com/m/6kDRnsXHAGY", "https://xhslink.com/m/6kDRnsXHAGY")</f>
        <v>https://xhslink.com/m/6kDRnsXHAGY</v>
      </c>
      <c r="D4456"/>
      <c r="E4456">
        <v>3999</v>
      </c>
      <c r="F4456">
        <v>14.9</v>
      </c>
      <c r="G4456"/>
      <c r="H4456">
        <v>100</v>
      </c>
      <c r="I4456" t="inlineStr">
        <is>
          <t>耳环</t>
        </is>
      </c>
      <c r="J4456" t="inlineStr">
        <is>
          <t>0.03</t>
        </is>
      </c>
      <c r="K4456"/>
      <c r="L4456" t="inlineStr">
        <is>
          <t>饼姐饰品的店</t>
        </is>
      </c>
      <c r="M4456">
        <v>5554</v>
      </c>
      <c r="N4456">
        <v>4.6</v>
      </c>
      <c r="O4456">
        <v>7041</v>
      </c>
      <c r="P4456" t="inlineStr">
        <is>
          <t>68e7a59f002e7e00011d36e7</t>
        </is>
      </c>
      <c r="Q4456"/>
      <c r="R4456" t="inlineStr">
        <is>
          <t>16周</t>
        </is>
      </c>
      <c r="S4456" t="inlineStr">
        <is>
          <t>0.72</t>
        </is>
      </c>
      <c r="T4456" t="inlineStr">
        <is>
          <t>服饰穿搭</t>
        </is>
      </c>
      <c r="U4456" t="inlineStr">
        <is>
          <t>配饰</t>
        </is>
      </c>
      <c r="V4456" s="3">
        <v>46127.98767361111</v>
      </c>
      <c r="W4456" t="inlineStr">
        <is>
          <t>2026-Q2</t>
        </is>
      </c>
    </row>
    <row r="4457" ht="25.5" customHeight="1">
      <c r="A4457" t="inlineStr">
        <is>
          <t>熊熊自制多巴胺大容量单肩包上班通勤百搭手提包包日常逛街布袋子</t>
        </is>
      </c>
      <c r="B4457" t="inlineStr">
        <is>
          <t>__upload_recvgSimhWjSbU.jpg</t>
        </is>
      </c>
      <c r="C4457" s="2" t="str">
        <f>=HYPERLINK("https://xhslink.com/m/9XQWoHPxbzK", "https://xhslink.com/m/9XQWoHPxbzK")</f>
        <v>https://xhslink.com/m/9XQWoHPxbzK</v>
      </c>
      <c r="D4457"/>
      <c r="E4457">
        <v>20000</v>
      </c>
      <c r="F4457">
        <v>29.9</v>
      </c>
      <c r="G4457">
        <v>16.9</v>
      </c>
      <c r="H4457">
        <v>100</v>
      </c>
      <c r="I4457" t="inlineStr">
        <is>
          <t>单肩包</t>
        </is>
      </c>
      <c r="J4457" t="inlineStr">
        <is>
          <t>0.01</t>
        </is>
      </c>
      <c r="K4457"/>
      <c r="L4457" t="inlineStr">
        <is>
          <t>偷蜂蜜的熊的店</t>
        </is>
      </c>
      <c r="M4457">
        <v>22000</v>
      </c>
      <c r="N4457">
        <v>4.49</v>
      </c>
      <c r="O4457">
        <v>40000</v>
      </c>
      <c r="P4457" t="inlineStr">
        <is>
          <t>6867e7c2afc5ca0001c4b7f9</t>
        </is>
      </c>
      <c r="Q4457" t="inlineStr">
        <is>
          <t>🚫重复</t>
        </is>
      </c>
      <c r="R4457" t="inlineStr">
        <is>
          <t>16周</t>
        </is>
      </c>
      <c r="S4457" t="inlineStr">
        <is>
          <t>0.91</t>
        </is>
      </c>
      <c r="T4457" t="inlineStr">
        <is>
          <t>服饰穿搭</t>
        </is>
      </c>
      <c r="U4457" t="inlineStr">
        <is>
          <t>鞋靴箱包</t>
        </is>
      </c>
      <c r="V4457" s="3">
        <v>46127.98767361111</v>
      </c>
      <c r="W4457" t="inlineStr">
        <is>
          <t>2026-Q2</t>
        </is>
      </c>
    </row>
    <row r="4458" ht="25.5" customHeight="1">
      <c r="A4458" t="inlineStr">
        <is>
          <t>韩系小众条纹正反两背帆布包卡通小狗刺绣百搭休闲大容量单肩</t>
        </is>
      </c>
      <c r="B4458" t="inlineStr">
        <is>
          <t>__upload_recvgSimhWtMpI.jpg</t>
        </is>
      </c>
      <c r="C4458" s="2" t="str">
        <f>=HYPERLINK("https://xhslink.com/m/9g6v4xgCp6p", "https://xhslink.com/m/9g6v4xgCp6p")</f>
        <v>https://xhslink.com/m/9g6v4xgCp6p</v>
      </c>
      <c r="D4458"/>
      <c r="E4458">
        <v>736</v>
      </c>
      <c r="F4458">
        <v>43.9</v>
      </c>
      <c r="G4458">
        <v>29.9</v>
      </c>
      <c r="H4458">
        <v>100</v>
      </c>
      <c r="I4458" t="inlineStr">
        <is>
          <t>单肩包</t>
        </is>
      </c>
      <c r="J4458" t="inlineStr">
        <is>
          <t>0.14</t>
        </is>
      </c>
      <c r="K4458"/>
      <c r="L4458" t="inlineStr">
        <is>
          <t>泡芙脆皮豆的店</t>
        </is>
      </c>
      <c r="M4458">
        <v>24000</v>
      </c>
      <c r="N4458">
        <v>4.66</v>
      </c>
      <c r="O4458">
        <v>16000</v>
      </c>
      <c r="P4458" t="inlineStr">
        <is>
          <t>69b955c45e5f05000106c494</t>
        </is>
      </c>
      <c r="Q4458"/>
      <c r="R4458" t="inlineStr">
        <is>
          <t>16周</t>
        </is>
      </c>
      <c r="S4458" t="inlineStr">
        <is>
          <t>0.03</t>
        </is>
      </c>
      <c r="T4458" t="inlineStr">
        <is>
          <t>服饰穿搭</t>
        </is>
      </c>
      <c r="U4458" t="inlineStr">
        <is>
          <t>鞋靴箱包</t>
        </is>
      </c>
      <c r="V4458" s="3">
        <v>46127.98767361111</v>
      </c>
      <c r="W4458" t="inlineStr">
        <is>
          <t>2026-Q2</t>
        </is>
      </c>
    </row>
    <row r="4459" ht="25.5" customHeight="1">
      <c r="A4459" t="inlineStr">
        <is>
          <t>sprout space 100亚麻刺绣单肩布包 赠送收纳包 春夏布包百搭松弛</t>
        </is>
      </c>
      <c r="B4459" t="inlineStr">
        <is>
          <t>__upload_recvgSimhWFHfG.jpg</t>
        </is>
      </c>
      <c r="C4459" s="2" t="str">
        <f>=HYPERLINK("https://xhslink.com/m/8N1ECfgRJuC", "https://xhslink.com/m/8N1ECfgRJuC")</f>
        <v>https://xhslink.com/m/8N1ECfgRJuC</v>
      </c>
      <c r="D4459"/>
      <c r="E4459">
        <v>1659</v>
      </c>
      <c r="F4459">
        <v>198</v>
      </c>
      <c r="G4459"/>
      <c r="H4459">
        <v>100</v>
      </c>
      <c r="I4459" t="inlineStr">
        <is>
          <t>单肩包</t>
        </is>
      </c>
      <c r="J4459" t="inlineStr">
        <is>
          <t>0.06</t>
        </is>
      </c>
      <c r="K4459"/>
      <c r="L4459" t="inlineStr">
        <is>
          <t>SPROUT SPACE的店</t>
        </is>
      </c>
      <c r="M4459">
        <v>3341</v>
      </c>
      <c r="N4459">
        <v>4.57</v>
      </c>
      <c r="O4459">
        <v>4257</v>
      </c>
      <c r="P4459" t="inlineStr">
        <is>
          <t>688d8b1302d7b00001142dd2</t>
        </is>
      </c>
      <c r="Q4459"/>
      <c r="R4459" t="inlineStr">
        <is>
          <t>16周</t>
        </is>
      </c>
      <c r="S4459" t="inlineStr">
        <is>
          <t>0.50</t>
        </is>
      </c>
      <c r="T4459" t="inlineStr">
        <is>
          <t>家居生活</t>
        </is>
      </c>
      <c r="U4459" t="inlineStr">
        <is>
          <t>家居日用</t>
        </is>
      </c>
      <c r="V4459" s="3">
        <v>46127.98767361111</v>
      </c>
      <c r="W4459" t="inlineStr">
        <is>
          <t>2026-Q2</t>
        </is>
      </c>
    </row>
    <row r="4460" ht="25.5" customHeight="1">
      <c r="A4460" t="inlineStr">
        <is>
          <t>ins小众显白宝蓝色帆布袋单肩包 P-10.1</t>
        </is>
      </c>
      <c r="B4460" t="inlineStr">
        <is>
          <t>__upload_recvgSimhWQfSn.jpg</t>
        </is>
      </c>
      <c r="C4460" s="2" t="str">
        <f>=HYPERLINK("https://xhslink.com/m/7hBeAbRmGqc", "https://xhslink.com/m/7hBeAbRmGqc")</f>
        <v>https://xhslink.com/m/7hBeAbRmGqc</v>
      </c>
      <c r="D4460"/>
      <c r="E4460">
        <v>3569</v>
      </c>
      <c r="F4460">
        <v>37.7</v>
      </c>
      <c r="G4460">
        <v>33.93</v>
      </c>
      <c r="H4460">
        <v>100</v>
      </c>
      <c r="I4460" t="inlineStr">
        <is>
          <t>单肩包</t>
        </is>
      </c>
      <c r="J4460" t="inlineStr">
        <is>
          <t>0.03</t>
        </is>
      </c>
      <c r="K4460"/>
      <c r="L4460" t="inlineStr">
        <is>
          <t>Pig猪猪不会胖🐽的店</t>
        </is>
      </c>
      <c r="M4460">
        <v>130000</v>
      </c>
      <c r="N4460">
        <v>4.65</v>
      </c>
      <c r="O4460">
        <v>178000</v>
      </c>
      <c r="P4460" t="inlineStr">
        <is>
          <t>673e0cdd4083040001092b3c</t>
        </is>
      </c>
      <c r="Q4460"/>
      <c r="R4460" t="inlineStr">
        <is>
          <t>16周</t>
        </is>
      </c>
      <c r="S4460" t="inlineStr">
        <is>
          <t>0.03</t>
        </is>
      </c>
      <c r="T4460" t="inlineStr">
        <is>
          <t>服饰穿搭</t>
        </is>
      </c>
      <c r="U4460" t="inlineStr">
        <is>
          <t>鞋靴箱包</t>
        </is>
      </c>
      <c r="V4460" s="3">
        <v>46127.98767361111</v>
      </c>
      <c r="W4460" t="inlineStr">
        <is>
          <t>2026-Q2</t>
        </is>
      </c>
    </row>
    <row r="4461" ht="25.5" customHeight="1">
      <c r="A4461" t="inlineStr">
        <is>
          <t>熊熊自制多巴胺大容量单肩包上班通勤百搭手提包包日常逛街布袋子</t>
        </is>
      </c>
      <c r="B4461" t="inlineStr">
        <is>
          <t>__upload_recvgSimhWXpR3.jpg</t>
        </is>
      </c>
      <c r="C4461" s="2" t="str">
        <f>=HYPERLINK("https://xhslink.com/m/69EWALh4mez", "https://xhslink.com/m/69EWALh4mez")</f>
        <v>https://xhslink.com/m/69EWALh4mez</v>
      </c>
      <c r="D4461"/>
      <c r="E4461">
        <v>20000</v>
      </c>
      <c r="F4461">
        <v>29.9</v>
      </c>
      <c r="G4461">
        <v>16.9</v>
      </c>
      <c r="H4461">
        <v>100</v>
      </c>
      <c r="I4461" t="inlineStr">
        <is>
          <t>单肩包</t>
        </is>
      </c>
      <c r="J4461" t="inlineStr">
        <is>
          <t>0.01</t>
        </is>
      </c>
      <c r="K4461"/>
      <c r="L4461" t="inlineStr">
        <is>
          <t>偷蜂蜜的熊的店</t>
        </is>
      </c>
      <c r="M4461">
        <v>22000</v>
      </c>
      <c r="N4461">
        <v>4.49</v>
      </c>
      <c r="O4461">
        <v>40000</v>
      </c>
      <c r="P4461" t="inlineStr">
        <is>
          <t>697492b4621e6f0001ed0f49</t>
        </is>
      </c>
      <c r="Q4461" t="inlineStr">
        <is>
          <t>🚫重复</t>
        </is>
      </c>
      <c r="R4461" t="inlineStr">
        <is>
          <t>16周</t>
        </is>
      </c>
      <c r="S4461" t="inlineStr">
        <is>
          <t>0.91</t>
        </is>
      </c>
      <c r="T4461" t="inlineStr">
        <is>
          <t>服饰穿搭</t>
        </is>
      </c>
      <c r="U4461" t="inlineStr">
        <is>
          <t>鞋靴箱包</t>
        </is>
      </c>
      <c r="V4461" s="3">
        <v>46127.98767361111</v>
      </c>
      <c r="W4461" t="inlineStr">
        <is>
          <t>2026-Q2</t>
        </is>
      </c>
    </row>
    <row r="4462" ht="25.5" customHeight="1">
      <c r="A4462" t="inlineStr">
        <is>
          <t>may3socks2026高跟鞋分趾船袜 春夏薄款避震不掉跟百搭浅口袜</t>
        </is>
      </c>
      <c r="B4462" t="inlineStr">
        <is>
          <t>__upload_recvgY7JJUJboQ.jpg</t>
        </is>
      </c>
      <c r="C4462" s="2" t="str">
        <f>=HYPERLINK("https://xhslink.com/m/6MKVFiorTNx", "https://xhslink.com/m/6MKVFiorTNx")</f>
        <v>https://xhslink.com/m/6MKVFiorTNx</v>
      </c>
      <c r="D4462"/>
      <c r="E4462">
        <v>2804</v>
      </c>
      <c r="F4462">
        <v>15.8</v>
      </c>
      <c r="G4462">
        <v>14.8</v>
      </c>
      <c r="H4462">
        <v>100</v>
      </c>
      <c r="I4462" t="inlineStr">
        <is>
          <t>配饰</t>
        </is>
      </c>
      <c r="J4462" t="inlineStr">
        <is>
          <t>0.04</t>
        </is>
      </c>
      <c r="K4462"/>
      <c r="L4462" t="inlineStr">
        <is>
          <t>May3 Socks的店</t>
        </is>
      </c>
      <c r="M4462">
        <v>56000</v>
      </c>
      <c r="N4462">
        <v>4.68</v>
      </c>
      <c r="O4462">
        <v>393000</v>
      </c>
      <c r="P4462" t="inlineStr">
        <is>
          <t>69b26a7dcdd36c0001be3e03</t>
        </is>
      </c>
      <c r="Q4462" t="inlineStr">
        <is>
          <t>🚫重复</t>
        </is>
      </c>
      <c r="R4462" t="inlineStr">
        <is>
          <t>16周</t>
        </is>
      </c>
      <c r="S4462" t="inlineStr">
        <is>
          <t>0.05</t>
        </is>
      </c>
      <c r="T4462" t="inlineStr">
        <is>
          <t>服饰穿搭</t>
        </is>
      </c>
      <c r="U4462" t="inlineStr">
        <is>
          <t>鞋靴箱包</t>
        </is>
      </c>
      <c r="V4462" s="3">
        <v>46128.98452546296</v>
      </c>
      <c r="W4462" t="inlineStr">
        <is>
          <t>2026-Q2</t>
        </is>
      </c>
    </row>
    <row r="4463" ht="25.5" customHeight="1">
      <c r="A4463" t="inlineStr">
        <is>
          <t>「高定！灵蛇衔尾」天然澳洲深海母贝珍珠送闺蜜新婚礼物伴手礼</t>
        </is>
      </c>
      <c r="B4463" t="inlineStr">
        <is>
          <t>__upload_recvgY7N5zzG29.jpg</t>
        </is>
      </c>
      <c r="C4463" s="2" t="str">
        <f>=HYPERLINK("https://xhslink.com/m/9q155p9reKc", "https://xhslink.com/m/9q155p9reKc")</f>
        <v>https://xhslink.com/m/9q155p9reKc</v>
      </c>
      <c r="D4463"/>
      <c r="E4463">
        <v>6998</v>
      </c>
      <c r="F4463">
        <v>358</v>
      </c>
      <c r="G4463">
        <v>188</v>
      </c>
      <c r="H4463">
        <v>100</v>
      </c>
      <c r="I4463" t="inlineStr">
        <is>
          <t>配饰</t>
        </is>
      </c>
      <c r="J4463" t="inlineStr">
        <is>
          <t>0.01</t>
        </is>
      </c>
      <c r="K4463"/>
      <c r="L4463" t="inlineStr">
        <is>
          <t>Fanxi范希珠宝的店</t>
        </is>
      </c>
      <c r="M4463">
        <v>4180</v>
      </c>
      <c r="N4463">
        <v>4.51</v>
      </c>
      <c r="O4463">
        <v>13000</v>
      </c>
      <c r="P4463" t="inlineStr">
        <is>
          <t>685ec0b3835e2500016f47c1</t>
        </is>
      </c>
      <c r="Q4463" t="inlineStr">
        <is>
          <t>🚫重复</t>
        </is>
      </c>
      <c r="R4463" t="inlineStr">
        <is>
          <t>16周</t>
        </is>
      </c>
      <c r="S4463" t="inlineStr">
        <is>
          <t>1.67</t>
        </is>
      </c>
      <c r="T4463" t="inlineStr">
        <is>
          <t>服饰穿搭</t>
        </is>
      </c>
      <c r="U4463" t="inlineStr">
        <is>
          <t>配饰</t>
        </is>
      </c>
      <c r="V4463" s="3">
        <v>46128.98467592592</v>
      </c>
      <c r="W4463" t="inlineStr">
        <is>
          <t>2026-Q2</t>
        </is>
      </c>
    </row>
    <row r="4464" ht="25.5" customHeight="1">
      <c r="A4464" t="inlineStr">
        <is>
          <t>【糖果屋】彩色琉璃复古串珠耳圈耳夹｜针夹双款</t>
        </is>
      </c>
      <c r="B4464" t="inlineStr">
        <is>
          <t>__upload_recvgY7N5zjTmF.jpg</t>
        </is>
      </c>
      <c r="C4464" s="2" t="str">
        <f>=HYPERLINK("https://xhslink.com/m/1pKsgw3P2rM", "https://xhslink.com/m/1pKsgw3P2rM")</f>
        <v>https://xhslink.com/m/1pKsgw3P2rM</v>
      </c>
      <c r="D4464"/>
      <c r="E4464">
        <v>1726</v>
      </c>
      <c r="F4464">
        <v>29.9</v>
      </c>
      <c r="G4464">
        <v>27.9</v>
      </c>
      <c r="H4464">
        <v>100</v>
      </c>
      <c r="I4464" t="inlineStr">
        <is>
          <t>配饰</t>
        </is>
      </c>
      <c r="J4464" t="inlineStr">
        <is>
          <t>0.06</t>
        </is>
      </c>
      <c r="K4464"/>
      <c r="L4464" t="inlineStr">
        <is>
          <t>Garvey耳畔灵犀的店</t>
        </is>
      </c>
      <c r="M4464">
        <v>8162</v>
      </c>
      <c r="N4464">
        <v>4.7</v>
      </c>
      <c r="O4464">
        <v>16000</v>
      </c>
      <c r="P4464" t="inlineStr">
        <is>
          <t>69672dd3eb2ffb0001c87893</t>
        </is>
      </c>
      <c r="Q4464" t="inlineStr">
        <is>
          <t>🚫重复</t>
        </is>
      </c>
      <c r="R4464" t="inlineStr">
        <is>
          <t>16周</t>
        </is>
      </c>
      <c r="S4464" t="inlineStr">
        <is>
          <t>0.21</t>
        </is>
      </c>
      <c r="T4464" t="inlineStr">
        <is>
          <t>美食滋补</t>
        </is>
      </c>
      <c r="U4464" t="inlineStr">
        <is>
          <t>休闲零食</t>
        </is>
      </c>
      <c r="V4464" s="3">
        <v>46128.98467592592</v>
      </c>
      <c r="W4464" t="inlineStr">
        <is>
          <t>2026-Q2</t>
        </is>
      </c>
    </row>
    <row r="4465" ht="25.5" customHeight="1">
      <c r="A4465" t="inlineStr">
        <is>
          <t>皮结圈·蝴蝶结皮质发圈高弹耐用发绳</t>
        </is>
      </c>
      <c r="B4465" t="inlineStr">
        <is>
          <t>__upload_recvgY7N5z4Qni.jpg</t>
        </is>
      </c>
      <c r="C4465" s="2" t="str">
        <f>=HYPERLINK("https://xhslink.com/m/7L4woWzV14u", "https://xhslink.com/m/7L4woWzV14u")</f>
        <v>https://xhslink.com/m/7L4woWzV14u</v>
      </c>
      <c r="D4465"/>
      <c r="E4465">
        <v>2695</v>
      </c>
      <c r="F4465">
        <v>28.89</v>
      </c>
      <c r="G4465">
        <v>7.89</v>
      </c>
      <c r="H4465">
        <v>100</v>
      </c>
      <c r="I4465" t="inlineStr">
        <is>
          <t>配饰</t>
        </is>
      </c>
      <c r="J4465" t="inlineStr">
        <is>
          <t>0.04</t>
        </is>
      </c>
      <c r="K4465"/>
      <c r="L4465" t="inlineStr">
        <is>
          <t>kitty大王万岁的店</t>
        </is>
      </c>
      <c r="M4465">
        <v>14000</v>
      </c>
      <c r="N4465">
        <v>4.6</v>
      </c>
      <c r="O4465">
        <v>131000</v>
      </c>
      <c r="P4465" t="inlineStr">
        <is>
          <t>698c92fa98142000017eeb25</t>
        </is>
      </c>
      <c r="Q4465"/>
      <c r="R4465" t="inlineStr">
        <is>
          <t>16周</t>
        </is>
      </c>
      <c r="S4465" t="inlineStr">
        <is>
          <t>0.19</t>
        </is>
      </c>
      <c r="T4465" t="inlineStr">
        <is>
          <t>服饰穿搭</t>
        </is>
      </c>
      <c r="U4465" t="inlineStr">
        <is>
          <t>配饰</t>
        </is>
      </c>
      <c r="V4465" s="3">
        <v>46128.98467592592</v>
      </c>
      <c r="W4465" t="inlineStr">
        <is>
          <t>2026-Q2</t>
        </is>
      </c>
    </row>
    <row r="4466" ht="25.5" customHeight="1">
      <c r="A4466" t="inlineStr">
        <is>
          <t>十七｜拼接款醋酸鲨鱼夹三角款八爪夹通勤日常后脑勺盘发夹子女</t>
        </is>
      </c>
      <c r="B4466" t="inlineStr">
        <is>
          <t>__upload_recvgY7N5zkD8P.jpg</t>
        </is>
      </c>
      <c r="C4466" s="2" t="str">
        <f>=HYPERLINK("https://xhslink.com/m/89Q7O6Uf2Up", "https://xhslink.com/m/89Q7O6Uf2Up")</f>
        <v>https://xhslink.com/m/89Q7O6Uf2Up</v>
      </c>
      <c r="D4466"/>
      <c r="E4466">
        <v>20000</v>
      </c>
      <c r="F4466">
        <v>21.9</v>
      </c>
      <c r="G4466">
        <v>12.9</v>
      </c>
      <c r="H4466">
        <v>100</v>
      </c>
      <c r="I4466" t="inlineStr">
        <is>
          <t>配饰</t>
        </is>
      </c>
      <c r="J4466" t="inlineStr">
        <is>
          <t>0.01</t>
        </is>
      </c>
      <c r="K4466" t="inlineStr">
        <is>
          <t>🔥低粉爆款</t>
        </is>
      </c>
      <c r="L4466" t="inlineStr">
        <is>
          <t>泷淇饰家的店</t>
        </is>
      </c>
      <c r="M4466">
        <v>301</v>
      </c>
      <c r="N4466">
        <v>4.66</v>
      </c>
      <c r="O4466">
        <v>22000</v>
      </c>
      <c r="P4466" t="inlineStr">
        <is>
          <t>689d709388416a00010aa9c8</t>
        </is>
      </c>
      <c r="Q4466" t="inlineStr">
        <is>
          <t>🚫重复</t>
        </is>
      </c>
      <c r="R4466" t="inlineStr">
        <is>
          <t>16周</t>
        </is>
      </c>
      <c r="S4466" t="inlineStr">
        <is>
          <t>66.45</t>
        </is>
      </c>
      <c r="T4466" t="inlineStr">
        <is>
          <t>服饰穿搭</t>
        </is>
      </c>
      <c r="U4466" t="inlineStr">
        <is>
          <t>配饰</t>
        </is>
      </c>
      <c r="V4466" s="3">
        <v>46128.98467592592</v>
      </c>
      <c r="W4466" t="inlineStr">
        <is>
          <t>2026-Q2</t>
        </is>
      </c>
    </row>
    <row r="4467" ht="25.5" customHeight="1">
      <c r="A4467" t="inlineStr">
        <is>
          <t>oOo0Oo｜不规则线圈缠绕几何不对称ins小众简约设计清冷感戒指</t>
        </is>
      </c>
      <c r="B4467" t="inlineStr">
        <is>
          <t>__upload_recvgY7N5zV0ek.jpg</t>
        </is>
      </c>
      <c r="C4467" s="2" t="str">
        <f>=HYPERLINK("https://xhslink.com/m/4E3rMafaHlV", "https://xhslink.com/m/4E3rMafaHlV")</f>
        <v>https://xhslink.com/m/4E3rMafaHlV</v>
      </c>
      <c r="D4467"/>
      <c r="E4467">
        <v>5637</v>
      </c>
      <c r="F4467">
        <v>29.9</v>
      </c>
      <c r="G4467">
        <v>19.9</v>
      </c>
      <c r="H4467">
        <v>100</v>
      </c>
      <c r="I4467" t="inlineStr">
        <is>
          <t>配饰</t>
        </is>
      </c>
      <c r="J4467" t="inlineStr">
        <is>
          <t>0.02</t>
        </is>
      </c>
      <c r="K4467"/>
      <c r="L4467" t="inlineStr">
        <is>
          <t>oOo0Oo-Bubbbbles的店</t>
        </is>
      </c>
      <c r="M4467">
        <v>30000</v>
      </c>
      <c r="N4467">
        <v>4.61</v>
      </c>
      <c r="O4467">
        <v>99000</v>
      </c>
      <c r="P4467" t="inlineStr">
        <is>
          <t>6547a02ae424da00014fcf0e</t>
        </is>
      </c>
      <c r="Q4467"/>
      <c r="R4467" t="inlineStr">
        <is>
          <t>16周</t>
        </is>
      </c>
      <c r="S4467" t="inlineStr">
        <is>
          <t>0.19</t>
        </is>
      </c>
      <c r="T4467" t="inlineStr">
        <is>
          <t>服饰穿搭</t>
        </is>
      </c>
      <c r="U4467" t="inlineStr">
        <is>
          <t>配饰</t>
        </is>
      </c>
      <c r="V4467" s="3">
        <v>46128.98467592592</v>
      </c>
      <c r="W4467" t="inlineStr">
        <is>
          <t>2026-Q2</t>
        </is>
      </c>
    </row>
    <row r="4468" ht="25.5" customHeight="1">
      <c r="A4468" t="inlineStr">
        <is>
          <t>生日礼物送女生女孩可爱礼物kitty玩偶花束礼物送女童闺蜜520花束</t>
        </is>
      </c>
      <c r="B4468" t="inlineStr">
        <is>
          <t>__upload_recvgY7N5zgp0d.jpg</t>
        </is>
      </c>
      <c r="C4468" s="2" t="str">
        <f>=HYPERLINK("https://xhslink.com/m/5LP7QGNt4kO", "https://xhslink.com/m/5LP7QGNt4kO")</f>
        <v>https://xhslink.com/m/5LP7QGNt4kO</v>
      </c>
      <c r="D4468"/>
      <c r="E4468">
        <v>4625</v>
      </c>
      <c r="F4468">
        <v>38.8</v>
      </c>
      <c r="G4468"/>
      <c r="H4468">
        <v>100</v>
      </c>
      <c r="I4468" t="inlineStr">
        <is>
          <t>毛绒玩偶</t>
        </is>
      </c>
      <c r="J4468" t="inlineStr">
        <is>
          <t>0.02</t>
        </is>
      </c>
      <c r="K4468"/>
      <c r="L4468" t="inlineStr">
        <is>
          <t>BINDWEED的店</t>
        </is>
      </c>
      <c r="M4468">
        <v>7724</v>
      </c>
      <c r="N4468">
        <v>4.58</v>
      </c>
      <c r="O4468">
        <v>123000</v>
      </c>
      <c r="P4468" t="inlineStr">
        <is>
          <t>690c643c4545900001d48bfc</t>
        </is>
      </c>
      <c r="Q4468"/>
      <c r="R4468" t="inlineStr">
        <is>
          <t>16周</t>
        </is>
      </c>
      <c r="S4468" t="inlineStr">
        <is>
          <t>0.60</t>
        </is>
      </c>
      <c r="T4468" t="inlineStr">
        <is>
          <t>母婴亲子</t>
        </is>
      </c>
      <c r="U4468" t="inlineStr">
        <is>
          <t>玩具早教</t>
        </is>
      </c>
      <c r="V4468" s="3">
        <v>46128.98467592592</v>
      </c>
      <c r="W4468" t="inlineStr">
        <is>
          <t>2026-Q2</t>
        </is>
      </c>
    </row>
    <row r="4469" ht="25.5" customHeight="1">
      <c r="A4469" t="inlineStr">
        <is>
          <t>【小猪咪】原创治愈系桌面解压柔软好rua礼物斑点可爱猪咪</t>
        </is>
      </c>
      <c r="B4469" t="inlineStr">
        <is>
          <t>__upload_recvgY7N5zPPUs.jpg</t>
        </is>
      </c>
      <c r="C4469" s="2" t="str">
        <f>=HYPERLINK("https://xhslink.com/m/2UjOkYGoGDH", "https://xhslink.com/m/2UjOkYGoGDH")</f>
        <v>https://xhslink.com/m/2UjOkYGoGDH</v>
      </c>
      <c r="D4469"/>
      <c r="E4469">
        <v>5463</v>
      </c>
      <c r="F4469">
        <v>33.9</v>
      </c>
      <c r="G4469"/>
      <c r="H4469">
        <v>100</v>
      </c>
      <c r="I4469" t="inlineStr">
        <is>
          <t>毛绒玩偶</t>
        </is>
      </c>
      <c r="J4469" t="inlineStr">
        <is>
          <t>0.02</t>
        </is>
      </c>
      <c r="K4469"/>
      <c r="L4469" t="inlineStr">
        <is>
          <t>辛安小角落的店</t>
        </is>
      </c>
      <c r="M4469">
        <v>126000</v>
      </c>
      <c r="N4469">
        <v>4.6</v>
      </c>
      <c r="O4469">
        <v>143000</v>
      </c>
      <c r="P4469" t="inlineStr">
        <is>
          <t>697c6470d5afea00012c077a</t>
        </is>
      </c>
      <c r="Q4469" t="inlineStr">
        <is>
          <t>🚫重复</t>
        </is>
      </c>
      <c r="R4469" t="inlineStr">
        <is>
          <t>16周</t>
        </is>
      </c>
      <c r="S4469" t="inlineStr">
        <is>
          <t>0.04</t>
        </is>
      </c>
      <c r="T4469" t="inlineStr">
        <is>
          <t>母婴亲子</t>
        </is>
      </c>
      <c r="U4469" t="inlineStr">
        <is>
          <t>玩具早教</t>
        </is>
      </c>
      <c r="V4469" s="3">
        <v>46128.98467592592</v>
      </c>
      <c r="W4469" t="inlineStr">
        <is>
          <t>2026-Q2</t>
        </is>
      </c>
    </row>
    <row r="4470" ht="25.5" customHeight="1">
      <c r="A4470" t="inlineStr">
        <is>
          <t>小雪人兔球球好气鸦涂鸦叽玩偶抱枕</t>
        </is>
      </c>
      <c r="B4470" t="inlineStr">
        <is>
          <t>__upload_recvgY7N5z3MRQ.jpg</t>
        </is>
      </c>
      <c r="C4470" s="2" t="str">
        <f>=HYPERLINK("https://xhslink.com/m/9A7dIQh4FQA", "https://xhslink.com/m/9A7dIQh4FQA")</f>
        <v>https://xhslink.com/m/9A7dIQh4FQA</v>
      </c>
      <c r="D4470"/>
      <c r="E4470">
        <v>5933</v>
      </c>
      <c r="F4470">
        <v>29</v>
      </c>
      <c r="G4470"/>
      <c r="H4470">
        <v>100</v>
      </c>
      <c r="I4470" t="inlineStr">
        <is>
          <t>毛绒玩偶</t>
        </is>
      </c>
      <c r="J4470" t="inlineStr">
        <is>
          <t>0.02</t>
        </is>
      </c>
      <c r="K4470"/>
      <c r="L4470" t="inlineStr">
        <is>
          <t>蜡笔醒醒同人小铺的店</t>
        </is>
      </c>
      <c r="M4470">
        <v>13000</v>
      </c>
      <c r="N4470">
        <v>4.57</v>
      </c>
      <c r="O4470">
        <v>12000</v>
      </c>
      <c r="P4470" t="inlineStr">
        <is>
          <t>69b1293a7c9c8f0001138a7f</t>
        </is>
      </c>
      <c r="Q4470" t="inlineStr">
        <is>
          <t>🚫重复</t>
        </is>
      </c>
      <c r="R4470" t="inlineStr">
        <is>
          <t>16周</t>
        </is>
      </c>
      <c r="S4470" t="inlineStr">
        <is>
          <t>0.46</t>
        </is>
      </c>
      <c r="T4470" t="inlineStr">
        <is>
          <t>母婴亲子</t>
        </is>
      </c>
      <c r="U4470" t="inlineStr">
        <is>
          <t>玩具早教</t>
        </is>
      </c>
      <c r="V4470" s="3">
        <v>46128.98467592592</v>
      </c>
      <c r="W4470" t="inlineStr">
        <is>
          <t>2026-Q2</t>
        </is>
      </c>
    </row>
    <row r="4471" ht="25.5" customHeight="1">
      <c r="A4471" t="inlineStr">
        <is>
          <t>可爱小狗豆袋玩偶毛绒玩偶软萌包包配饰送闺蜜送朋友趣味礼物</t>
        </is>
      </c>
      <c r="B4471" t="inlineStr">
        <is>
          <t>__upload_recvgY7N5zZQUm.jpg</t>
        </is>
      </c>
      <c r="C4471" s="2" t="str">
        <f>=HYPERLINK("https://xhslink.com/m/77aObiVfuO8", "https://xhslink.com/m/77aObiVfuO8")</f>
        <v>https://xhslink.com/m/77aObiVfuO8</v>
      </c>
      <c r="D4471"/>
      <c r="E4471">
        <v>5430</v>
      </c>
      <c r="F4471">
        <v>27.9</v>
      </c>
      <c r="G4471"/>
      <c r="H4471">
        <v>100</v>
      </c>
      <c r="I4471" t="inlineStr">
        <is>
          <t>毛绒玩偶</t>
        </is>
      </c>
      <c r="J4471" t="inlineStr">
        <is>
          <t>0.02</t>
        </is>
      </c>
      <c r="K4471"/>
      <c r="L4471" t="inlineStr">
        <is>
          <t>优翊玩偶的店</t>
        </is>
      </c>
      <c r="M4471">
        <v>4082</v>
      </c>
      <c r="N4471">
        <v>4.62</v>
      </c>
      <c r="O4471">
        <v>17000</v>
      </c>
      <c r="P4471" t="inlineStr">
        <is>
          <t>694c1615ed00c400015f921f</t>
        </is>
      </c>
      <c r="Q4471" t="inlineStr">
        <is>
          <t>🚫重复</t>
        </is>
      </c>
      <c r="R4471" t="inlineStr">
        <is>
          <t>16周</t>
        </is>
      </c>
      <c r="S4471" t="inlineStr">
        <is>
          <t>1.33</t>
        </is>
      </c>
      <c r="T4471" t="inlineStr">
        <is>
          <t>服饰穿搭</t>
        </is>
      </c>
      <c r="U4471" t="inlineStr">
        <is>
          <t>鞋靴箱包</t>
        </is>
      </c>
      <c r="V4471" s="3">
        <v>46128.98467592592</v>
      </c>
      <c r="W4471" t="inlineStr">
        <is>
          <t>2026-Q2</t>
        </is>
      </c>
    </row>
    <row r="4472" ht="25.5" customHeight="1">
      <c r="A4472" t="inlineStr">
        <is>
          <t>[精品款]婚礼抛洒娃娃「拒绝丑娃」结婚退场互动小公仔高品质玩偶</t>
        </is>
      </c>
      <c r="B4472" t="inlineStr">
        <is>
          <t>__upload_recvgY7N5zpElL.jpg</t>
        </is>
      </c>
      <c r="C4472" s="2" t="str">
        <f>=HYPERLINK("https://xhslink.com/m/17bqnt6CLHa", "https://xhslink.com/m/17bqnt6CLHa")</f>
        <v>https://xhslink.com/m/17bqnt6CLHa</v>
      </c>
      <c r="D4472"/>
      <c r="E4472">
        <v>405</v>
      </c>
      <c r="F4472">
        <v>236</v>
      </c>
      <c r="G4472">
        <v>234</v>
      </c>
      <c r="H4472">
        <v>100</v>
      </c>
      <c r="I4472" t="inlineStr">
        <is>
          <t>毛绒玩偶</t>
        </is>
      </c>
      <c r="J4472" t="inlineStr">
        <is>
          <t>0.25</t>
        </is>
      </c>
      <c r="K4472" t="inlineStr">
        <is>
          <t>🔥低粉爆款</t>
        </is>
      </c>
      <c r="L4472" t="inlineStr">
        <is>
          <t>半颗花生的店</t>
        </is>
      </c>
      <c r="M4472">
        <v>21</v>
      </c>
      <c r="N4472">
        <v>4.76</v>
      </c>
      <c r="O4472">
        <v>406</v>
      </c>
      <c r="P4472" t="inlineStr">
        <is>
          <t>695a23f2bfa5910001990e50</t>
        </is>
      </c>
      <c r="Q4472"/>
      <c r="R4472" t="inlineStr">
        <is>
          <t>16周</t>
        </is>
      </c>
      <c r="S4472" t="inlineStr">
        <is>
          <t>19.29</t>
        </is>
      </c>
      <c r="T4472" t="inlineStr">
        <is>
          <t>母婴亲子</t>
        </is>
      </c>
      <c r="U4472" t="inlineStr">
        <is>
          <t>玩具早教</t>
        </is>
      </c>
      <c r="V4472" s="3">
        <v>46128.98467592592</v>
      </c>
      <c r="W4472" t="inlineStr">
        <is>
          <t>2026-Q2</t>
        </is>
      </c>
    </row>
    <row r="4473" ht="25.5" customHeight="1">
      <c r="A4473" t="inlineStr">
        <is>
          <t>新品蜥蜴发声毛绒玩具舌头带磁铁创意搞怪小蜥蜴公仔玩偶可爱挂件</t>
        </is>
      </c>
      <c r="B4473" t="inlineStr">
        <is>
          <t>__upload_recvgY7N5zBXgM.jpg</t>
        </is>
      </c>
      <c r="C4473" s="2" t="str">
        <f>=HYPERLINK("https://xhslink.com/m/2Xp6lDLIubS", "https://xhslink.com/m/2Xp6lDLIubS")</f>
        <v>https://xhslink.com/m/2Xp6lDLIubS</v>
      </c>
      <c r="D4473"/>
      <c r="E4473">
        <v>3267</v>
      </c>
      <c r="F4473">
        <v>39.8</v>
      </c>
      <c r="G4473">
        <v>25.8</v>
      </c>
      <c r="H4473">
        <v>100</v>
      </c>
      <c r="I4473" t="inlineStr">
        <is>
          <t>挂件公仔</t>
        </is>
      </c>
      <c r="J4473" t="inlineStr">
        <is>
          <t>0.03</t>
        </is>
      </c>
      <c r="K4473"/>
      <c r="L4473" t="inlineStr">
        <is>
          <t>一隅好物社的店</t>
        </is>
      </c>
      <c r="M4473">
        <v>4343</v>
      </c>
      <c r="N4473">
        <v>4.53</v>
      </c>
      <c r="O4473">
        <v>9482</v>
      </c>
      <c r="P4473" t="inlineStr">
        <is>
          <t>69cbb0571e3a1a0001b96f46</t>
        </is>
      </c>
      <c r="Q4473"/>
      <c r="R4473" t="inlineStr">
        <is>
          <t>16周</t>
        </is>
      </c>
      <c r="S4473" t="inlineStr">
        <is>
          <t>0.75</t>
        </is>
      </c>
      <c r="T4473" t="inlineStr">
        <is>
          <t>母婴亲子</t>
        </is>
      </c>
      <c r="U4473" t="inlineStr">
        <is>
          <t>玩具早教</t>
        </is>
      </c>
      <c r="V4473" s="3">
        <v>46128.98467592592</v>
      </c>
      <c r="W4473" t="inlineStr">
        <is>
          <t>2026-Q2</t>
        </is>
      </c>
    </row>
    <row r="4474" ht="25.5" customHeight="1">
      <c r="A4474" t="inlineStr">
        <is>
          <t>【正版现货】正版猫猫PAI系列盲盒情绪开演绒fufu盲盒摆</t>
        </is>
      </c>
      <c r="B4474" t="inlineStr">
        <is>
          <t>__upload_recvgY7N5zUpro.jpg</t>
        </is>
      </c>
      <c r="C4474" s="2" t="str">
        <f>=HYPERLINK("https://xhslink.com/m/5ccuhM50csA", "https://xhslink.com/m/5ccuhM50csA")</f>
        <v>https://xhslink.com/m/5ccuhM50csA</v>
      </c>
      <c r="D4474"/>
      <c r="E4474">
        <v>6836</v>
      </c>
      <c r="F4474">
        <v>83.9</v>
      </c>
      <c r="G4474">
        <v>68.9</v>
      </c>
      <c r="H4474">
        <v>100</v>
      </c>
      <c r="I4474" t="inlineStr">
        <is>
          <t>盲盒</t>
        </is>
      </c>
      <c r="J4474" t="inlineStr">
        <is>
          <t>0.01</t>
        </is>
      </c>
      <c r="K4474" t="inlineStr">
        <is>
          <t>🔥低粉爆款</t>
        </is>
      </c>
      <c r="L4474" t="inlineStr">
        <is>
          <t>三月🐱的店</t>
        </is>
      </c>
      <c r="M4474">
        <v>398</v>
      </c>
      <c r="N4474">
        <v>4.71</v>
      </c>
      <c r="O4474">
        <v>8438</v>
      </c>
      <c r="P4474" t="inlineStr">
        <is>
          <t>6982122c7bbc8200155bf8be</t>
        </is>
      </c>
      <c r="Q4474" t="inlineStr">
        <is>
          <t>🚫重复</t>
        </is>
      </c>
      <c r="R4474" t="inlineStr">
        <is>
          <t>16周</t>
        </is>
      </c>
      <c r="S4474" t="inlineStr">
        <is>
          <t>17.18</t>
        </is>
      </c>
      <c r="T4474" t="inlineStr">
        <is>
          <t>运动潮玩</t>
        </is>
      </c>
      <c r="U4474" t="inlineStr">
        <is>
          <t>潮玩手办</t>
        </is>
      </c>
      <c r="V4474" s="3">
        <v>46128.98467592592</v>
      </c>
      <c r="W4474" t="inlineStr">
        <is>
          <t>2026-Q2</t>
        </is>
      </c>
    </row>
    <row r="4475" ht="25.5" customHeight="1">
      <c r="A4475" t="inlineStr">
        <is>
          <t>【发光人生盲盒】情绪摆件/礼物推荐/创意摆件/桌面装饰/解压玩具</t>
        </is>
      </c>
      <c r="B4475" t="inlineStr">
        <is>
          <t>__upload_recvgY7N5zKaLJ.jpg</t>
        </is>
      </c>
      <c r="C4475" s="2" t="str">
        <f>=HYPERLINK("https://xhslink.com/m/7uJj4NtIfvg", "https://xhslink.com/m/7uJj4NtIfvg")</f>
        <v>https://xhslink.com/m/7uJj4NtIfvg</v>
      </c>
      <c r="D4475"/>
      <c r="E4475">
        <v>3320</v>
      </c>
      <c r="F4475">
        <v>159.9</v>
      </c>
      <c r="G4475">
        <v>119.9</v>
      </c>
      <c r="H4475">
        <v>100</v>
      </c>
      <c r="I4475" t="inlineStr">
        <is>
          <t>盲盒</t>
        </is>
      </c>
      <c r="J4475" t="inlineStr">
        <is>
          <t>0.03</t>
        </is>
      </c>
      <c r="K4475" t="inlineStr">
        <is>
          <t>🔥低粉爆款</t>
        </is>
      </c>
      <c r="L4475" t="inlineStr">
        <is>
          <t>一颗青苹果OvO的店</t>
        </is>
      </c>
      <c r="M4475">
        <v>448</v>
      </c>
      <c r="N4475">
        <v>4.63</v>
      </c>
      <c r="O4475">
        <v>3350</v>
      </c>
      <c r="P4475" t="inlineStr">
        <is>
          <t>69bb2378fe4ff500156574ff</t>
        </is>
      </c>
      <c r="Q4475" t="inlineStr">
        <is>
          <t>🚫重复</t>
        </is>
      </c>
      <c r="R4475" t="inlineStr">
        <is>
          <t>16周</t>
        </is>
      </c>
      <c r="S4475" t="inlineStr">
        <is>
          <t>7.41</t>
        </is>
      </c>
      <c r="T4475" t="inlineStr">
        <is>
          <t>家居生活</t>
        </is>
      </c>
      <c r="U4475" t="inlineStr">
        <is>
          <t>家具家装</t>
        </is>
      </c>
      <c r="V4475" s="3">
        <v>46128.98467592592</v>
      </c>
      <c r="W4475" t="inlineStr">
        <is>
          <t>2026-Q2</t>
        </is>
      </c>
    </row>
    <row r="4476" ht="25.5" customHeight="1">
      <c r="A4476" t="inlineStr">
        <is>
          <t>24小时发货！【森之物 · 正版】猫猫陪伴日常盲盒摆件/礼物推荐</t>
        </is>
      </c>
      <c r="B4476" t="inlineStr">
        <is>
          <t>__upload_recvgY7N5zjoXP.jpg</t>
        </is>
      </c>
      <c r="C4476" s="2" t="str">
        <f>=HYPERLINK("https://xhslink.com/m/6e23kkwmJXE", "https://xhslink.com/m/6e23kkwmJXE")</f>
        <v>https://xhslink.com/m/6e23kkwmJXE</v>
      </c>
      <c r="D4476"/>
      <c r="E4476">
        <v>6550</v>
      </c>
      <c r="F4476">
        <v>98.9</v>
      </c>
      <c r="G4476">
        <v>68.7</v>
      </c>
      <c r="H4476">
        <v>100</v>
      </c>
      <c r="I4476" t="inlineStr">
        <is>
          <t>盲盒</t>
        </is>
      </c>
      <c r="J4476" t="inlineStr">
        <is>
          <t>0.02</t>
        </is>
      </c>
      <c r="K4476" t="inlineStr">
        <is>
          <t>🔥低粉爆款</t>
        </is>
      </c>
      <c r="L4476" t="inlineStr">
        <is>
          <t>麦朵朵的店</t>
        </is>
      </c>
      <c r="M4476">
        <v>617</v>
      </c>
      <c r="N4476">
        <v>4.59</v>
      </c>
      <c r="O4476">
        <v>17000</v>
      </c>
      <c r="P4476" t="inlineStr">
        <is>
          <t>6937e7a881a79500014e8b9b</t>
        </is>
      </c>
      <c r="Q4476"/>
      <c r="R4476" t="inlineStr">
        <is>
          <t>16周</t>
        </is>
      </c>
      <c r="S4476" t="inlineStr">
        <is>
          <t>10.62</t>
        </is>
      </c>
      <c r="T4476" t="inlineStr">
        <is>
          <t>家居生活</t>
        </is>
      </c>
      <c r="U4476" t="inlineStr">
        <is>
          <t>家具家装</t>
        </is>
      </c>
      <c r="V4476" s="3">
        <v>46128.98467592592</v>
      </c>
      <c r="W4476" t="inlineStr">
        <is>
          <t>2026-Q2</t>
        </is>
      </c>
    </row>
    <row r="4477" ht="25.5" customHeight="1">
      <c r="A4477" t="inlineStr">
        <is>
          <t>【现货】正版猫猫PAI系列盲盒情绪开演绒fufu生日礼物可爱摆件</t>
        </is>
      </c>
      <c r="B4477" t="inlineStr">
        <is>
          <t>__upload_recvgY7N5zjeiW.jpg</t>
        </is>
      </c>
      <c r="C4477" s="2" t="str">
        <f>=HYPERLINK("https://xhslink.com/m/64VeneYRDlG", "https://xhslink.com/m/64VeneYRDlG")</f>
        <v>https://xhslink.com/m/64VeneYRDlG</v>
      </c>
      <c r="D4477"/>
      <c r="E4477">
        <v>17000</v>
      </c>
      <c r="F4477">
        <v>83.9</v>
      </c>
      <c r="G4477">
        <v>71.9</v>
      </c>
      <c r="H4477">
        <v>100</v>
      </c>
      <c r="I4477" t="inlineStr">
        <is>
          <t>盲盒</t>
        </is>
      </c>
      <c r="J4477" t="inlineStr">
        <is>
          <t>0.01</t>
        </is>
      </c>
      <c r="K4477" t="inlineStr">
        <is>
          <t>🔥低粉爆款</t>
        </is>
      </c>
      <c r="L4477" t="inlineStr">
        <is>
          <t>玩具森友会的店</t>
        </is>
      </c>
      <c r="M4477">
        <v>4873</v>
      </c>
      <c r="N4477">
        <v>4.71</v>
      </c>
      <c r="O4477">
        <v>32000</v>
      </c>
      <c r="P4477" t="inlineStr">
        <is>
          <t>693bdd603753f70001249d70</t>
        </is>
      </c>
      <c r="Q4477" t="inlineStr">
        <is>
          <t>🚫重复</t>
        </is>
      </c>
      <c r="R4477" t="inlineStr">
        <is>
          <t>16周</t>
        </is>
      </c>
      <c r="S4477" t="inlineStr">
        <is>
          <t>3.49</t>
        </is>
      </c>
      <c r="T4477" t="inlineStr">
        <is>
          <t>家居生活</t>
        </is>
      </c>
      <c r="U4477" t="inlineStr">
        <is>
          <t>家具家装</t>
        </is>
      </c>
      <c r="V4477" s="3">
        <v>46128.98467592592</v>
      </c>
      <c r="W4477" t="inlineStr">
        <is>
          <t>2026-Q2</t>
        </is>
      </c>
    </row>
    <row r="4478" ht="25.5" customHeight="1">
      <c r="A4478" t="inlineStr">
        <is>
          <t>【限时特惠前1000单13.6】水果系列正版猫猫盲盒摆件桌面摆件礼物</t>
        </is>
      </c>
      <c r="B4478" t="inlineStr">
        <is>
          <t>__upload_recvgY7N5zFmjo.jpg</t>
        </is>
      </c>
      <c r="C4478" s="2" t="str">
        <f>=HYPERLINK("https://xhslink.com/m/MXUfwLneAB", "https://xhslink.com/m/MXUfwLneAB")</f>
        <v>https://xhslink.com/m/MXUfwLneAB</v>
      </c>
      <c r="D4478"/>
      <c r="E4478">
        <v>1289</v>
      </c>
      <c r="F4478">
        <v>151.6</v>
      </c>
      <c r="G4478">
        <v>144</v>
      </c>
      <c r="H4478">
        <v>100</v>
      </c>
      <c r="I4478" t="inlineStr">
        <is>
          <t>盲盒</t>
        </is>
      </c>
      <c r="J4478" t="inlineStr">
        <is>
          <t>0.08</t>
        </is>
      </c>
      <c r="K4478" t="inlineStr">
        <is>
          <t>🔥低粉爆款</t>
        </is>
      </c>
      <c r="L4478" t="inlineStr">
        <is>
          <t>喵喵卷～的店</t>
        </is>
      </c>
      <c r="M4478">
        <v>202</v>
      </c>
      <c r="N4478">
        <v>4.67</v>
      </c>
      <c r="O4478">
        <v>2253</v>
      </c>
      <c r="P4478" t="inlineStr">
        <is>
          <t>69adaa371166fe0001c67e09</t>
        </is>
      </c>
      <c r="Q4478" t="inlineStr">
        <is>
          <t>🚫重复</t>
        </is>
      </c>
      <c r="R4478" t="inlineStr">
        <is>
          <t>16周</t>
        </is>
      </c>
      <c r="S4478" t="inlineStr">
        <is>
          <t>6.38</t>
        </is>
      </c>
      <c r="T4478" t="inlineStr">
        <is>
          <t>家居生活</t>
        </is>
      </c>
      <c r="U4478" t="inlineStr">
        <is>
          <t>家具家装</t>
        </is>
      </c>
      <c r="V4478" s="3">
        <v>46128.98467592592</v>
      </c>
      <c r="W4478" t="inlineStr">
        <is>
          <t>2026-Q2</t>
        </is>
      </c>
    </row>
    <row r="4479" ht="25.5" customHeight="1">
      <c r="A4479" t="inlineStr">
        <is>
          <t>2026新款深情学科数学物理光栅卡谷子周边高颜值背包挂件配饰礼物</t>
        </is>
      </c>
      <c r="B4479" t="inlineStr">
        <is>
          <t>__upload_recvgY7N5zLw0r.jpg</t>
        </is>
      </c>
      <c r="C4479" s="2" t="str">
        <f>=HYPERLINK("https://xhslink.com/m/7tTFNkWEaqW", "https://xhslink.com/m/7tTFNkWEaqW")</f>
        <v>https://xhslink.com/m/7tTFNkWEaqW</v>
      </c>
      <c r="D4479"/>
      <c r="E4479">
        <v>2760</v>
      </c>
      <c r="F4479">
        <v>25.9</v>
      </c>
      <c r="G4479">
        <v>23.9</v>
      </c>
      <c r="H4479">
        <v>100</v>
      </c>
      <c r="I4479" t="inlineStr">
        <is>
          <t>卡牌</t>
        </is>
      </c>
      <c r="J4479" t="inlineStr">
        <is>
          <t>0.04</t>
        </is>
      </c>
      <c r="K4479"/>
      <c r="L4479" t="inlineStr">
        <is>
          <t>7SKY的店</t>
        </is>
      </c>
      <c r="M4479">
        <v>1222</v>
      </c>
      <c r="N4479">
        <v>4.66</v>
      </c>
      <c r="O4479">
        <v>3987</v>
      </c>
      <c r="P4479" t="inlineStr">
        <is>
          <t>69c208409c14650001cd7120</t>
        </is>
      </c>
      <c r="Q4479"/>
      <c r="R4479" t="inlineStr">
        <is>
          <t>16周</t>
        </is>
      </c>
      <c r="S4479" t="inlineStr">
        <is>
          <t>2.26</t>
        </is>
      </c>
      <c r="T4479" t="inlineStr">
        <is>
          <t>运动潮玩</t>
        </is>
      </c>
      <c r="U4479" t="inlineStr">
        <is>
          <t>潮玩手办</t>
        </is>
      </c>
      <c r="V4479" s="3">
        <v>46128.98467592592</v>
      </c>
      <c r="W4479" t="inlineStr">
        <is>
          <t>2026-Q2</t>
        </is>
      </c>
    </row>
    <row r="4480" ht="25.5" customHeight="1">
      <c r="A4480" t="inlineStr">
        <is>
          <t>弹力高腰阔腿窄版直筒拖地牛仔裤女</t>
        </is>
      </c>
      <c r="B4480" t="inlineStr">
        <is>
          <t>__upload_recvgY7N5zu9cB.jpg</t>
        </is>
      </c>
      <c r="C4480" s="2" t="str">
        <f>=HYPERLINK("https://xhslink.com/m/5lIQ3ojLZyc", "https://xhslink.com/m/5lIQ3ojLZyc")</f>
        <v>https://xhslink.com/m/5lIQ3ojLZyc</v>
      </c>
      <c r="D4480"/>
      <c r="E4480">
        <v>172000</v>
      </c>
      <c r="F4480">
        <v>90</v>
      </c>
      <c r="G4480">
        <v>79</v>
      </c>
      <c r="H4480">
        <v>100</v>
      </c>
      <c r="I4480" t="inlineStr">
        <is>
          <t>裤子</t>
        </is>
      </c>
      <c r="J4480" t="inlineStr">
        <is>
          <t>0.00</t>
        </is>
      </c>
      <c r="K4480" t="inlineStr">
        <is>
          <t>🔥低粉爆款</t>
        </is>
      </c>
      <c r="L4480" t="inlineStr">
        <is>
          <t>a奶爸小店的店</t>
        </is>
      </c>
      <c r="M4480">
        <v>25000</v>
      </c>
      <c r="N4480">
        <v>4.63</v>
      </c>
      <c r="O4480">
        <v>286000</v>
      </c>
      <c r="P4480" t="inlineStr">
        <is>
          <t>6364cf8a8d683100017bccf5</t>
        </is>
      </c>
      <c r="Q4480" t="inlineStr">
        <is>
          <t>🚫重复</t>
        </is>
      </c>
      <c r="R4480" t="inlineStr">
        <is>
          <t>16周</t>
        </is>
      </c>
      <c r="S4480" t="inlineStr">
        <is>
          <t>6.88</t>
        </is>
      </c>
      <c r="T4480" t="inlineStr">
        <is>
          <t>服饰穿搭</t>
        </is>
      </c>
      <c r="U4480" t="inlineStr">
        <is>
          <t>女装</t>
        </is>
      </c>
      <c r="V4480" s="3">
        <v>46128.98467592592</v>
      </c>
      <c r="W4480" t="inlineStr">
        <is>
          <t>2026-Q2</t>
        </is>
      </c>
    </row>
    <row r="4481" ht="25.5" customHeight="1">
      <c r="A4481" t="inlineStr">
        <is>
          <t>春夏新款 复古天丝牛仔裤高腰垂感直筒宽松阔腿裤女山本裤</t>
        </is>
      </c>
      <c r="B4481" t="inlineStr">
        <is>
          <t>__upload_recvgY7N5zHQ4C.jpg</t>
        </is>
      </c>
      <c r="C4481" s="2" t="str">
        <f>=HYPERLINK("https://xhslink.com/m/7b5bahFATiM", "https://xhslink.com/m/7b5bahFATiM")</f>
        <v>https://xhslink.com/m/7b5bahFATiM</v>
      </c>
      <c r="D4481"/>
      <c r="E4481">
        <v>89000</v>
      </c>
      <c r="F4481">
        <v>89</v>
      </c>
      <c r="G4481">
        <v>69.98</v>
      </c>
      <c r="H4481">
        <v>100</v>
      </c>
      <c r="I4481" t="inlineStr">
        <is>
          <t>裤子</t>
        </is>
      </c>
      <c r="J4481" t="inlineStr">
        <is>
          <t>0.00</t>
        </is>
      </c>
      <c r="K4481" t="inlineStr">
        <is>
          <t>🔥低粉爆款</t>
        </is>
      </c>
      <c r="L4481" t="inlineStr">
        <is>
          <t>是酥酥糖耶～的店</t>
        </is>
      </c>
      <c r="M4481">
        <v>10000</v>
      </c>
      <c r="N4481">
        <v>4.6</v>
      </c>
      <c r="O4481">
        <v>166000</v>
      </c>
      <c r="P4481" t="inlineStr">
        <is>
          <t>67cbf41af073650015332193</t>
        </is>
      </c>
      <c r="Q4481" t="inlineStr">
        <is>
          <t>🚫重复</t>
        </is>
      </c>
      <c r="R4481" t="inlineStr">
        <is>
          <t>16周</t>
        </is>
      </c>
      <c r="S4481" t="inlineStr">
        <is>
          <t>8.90</t>
        </is>
      </c>
      <c r="T4481" t="inlineStr">
        <is>
          <t>服饰穿搭</t>
        </is>
      </c>
      <c r="U4481" t="inlineStr">
        <is>
          <t>女装</t>
        </is>
      </c>
      <c r="V4481" s="3">
        <v>46128.98467592592</v>
      </c>
      <c r="W4481" t="inlineStr">
        <is>
          <t>2026-Q2</t>
        </is>
      </c>
    </row>
    <row r="4482" ht="25.5" customHeight="1">
      <c r="A4482" t="inlineStr">
        <is>
          <t>一裤两穿 春夏情侣款户外机能登山徒步工装多口袋束脚休闲长裤</t>
        </is>
      </c>
      <c r="B4482" t="inlineStr">
        <is>
          <t>__upload_recvgY7N5zcCme.jpg</t>
        </is>
      </c>
      <c r="C4482" s="2" t="str">
        <f>=HYPERLINK("https://xhslink.com/m/67Ds0AJdmHK", "https://xhslink.com/m/67Ds0AJdmHK")</f>
        <v>https://xhslink.com/m/67Ds0AJdmHK</v>
      </c>
      <c r="D4482"/>
      <c r="E4482">
        <v>31000</v>
      </c>
      <c r="F4482">
        <v>79</v>
      </c>
      <c r="G4482"/>
      <c r="H4482">
        <v>100</v>
      </c>
      <c r="I4482" t="inlineStr">
        <is>
          <t>裤子</t>
        </is>
      </c>
      <c r="J4482" t="inlineStr">
        <is>
          <t>0.00</t>
        </is>
      </c>
      <c r="K4482" t="inlineStr">
        <is>
          <t>🔥低粉爆款</t>
        </is>
      </c>
      <c r="L4482" t="inlineStr">
        <is>
          <t>七七户外穿搭的店</t>
        </is>
      </c>
      <c r="M4482">
        <v>9810</v>
      </c>
      <c r="N4482">
        <v>4.48</v>
      </c>
      <c r="O4482">
        <v>38000</v>
      </c>
      <c r="P4482" t="inlineStr">
        <is>
          <t>67aa01390a6fff00152d1aac</t>
        </is>
      </c>
      <c r="Q4482" t="inlineStr">
        <is>
          <t>🚫重复</t>
        </is>
      </c>
      <c r="R4482" t="inlineStr">
        <is>
          <t>16周</t>
        </is>
      </c>
      <c r="S4482" t="inlineStr">
        <is>
          <t>3.16</t>
        </is>
      </c>
      <c r="T4482" t="inlineStr">
        <is>
          <t>服饰穿搭</t>
        </is>
      </c>
      <c r="U4482" t="inlineStr">
        <is>
          <t>女装</t>
        </is>
      </c>
      <c r="V4482" s="3">
        <v>46128.98467592592</v>
      </c>
      <c r="W4482" t="inlineStr">
        <is>
          <t>2026-Q2</t>
        </is>
      </c>
    </row>
    <row r="4483" ht="25.5" customHeight="1">
      <c r="A4483" t="inlineStr">
        <is>
          <t>春季新款运动裤女2026窄版显瘦宽松阔腿直筒百搭高腰休闲裤</t>
        </is>
      </c>
      <c r="B4483" t="inlineStr">
        <is>
          <t>__upload_recvgY7N5zLjrQ.jpg</t>
        </is>
      </c>
      <c r="C4483" s="2" t="str">
        <f>=HYPERLINK("https://xhslink.com/m/6m2StKGPa5m", "https://xhslink.com/m/6m2StKGPa5m")</f>
        <v>https://xhslink.com/m/6m2StKGPa5m</v>
      </c>
      <c r="D4483"/>
      <c r="E4483">
        <v>10000</v>
      </c>
      <c r="F4483">
        <v>89</v>
      </c>
      <c r="G4483"/>
      <c r="H4483">
        <v>100</v>
      </c>
      <c r="I4483" t="inlineStr">
        <is>
          <t>裤子</t>
        </is>
      </c>
      <c r="J4483" t="inlineStr">
        <is>
          <t>0.01</t>
        </is>
      </c>
      <c r="K4483" t="inlineStr">
        <is>
          <t>🔥低粉爆款</t>
        </is>
      </c>
      <c r="L4483" t="inlineStr">
        <is>
          <t>酸奶玉米汤的店</t>
        </is>
      </c>
      <c r="M4483">
        <v>2391</v>
      </c>
      <c r="N4483">
        <v>4.68</v>
      </c>
      <c r="O4483">
        <v>54000</v>
      </c>
      <c r="P4483" t="inlineStr">
        <is>
          <t>689e8f9233fcf8000150448d</t>
        </is>
      </c>
      <c r="Q4483" t="inlineStr">
        <is>
          <t>🚫重复</t>
        </is>
      </c>
      <c r="R4483" t="inlineStr">
        <is>
          <t>16周</t>
        </is>
      </c>
      <c r="S4483" t="inlineStr">
        <is>
          <t>4.18</t>
        </is>
      </c>
      <c r="T4483" t="inlineStr">
        <is>
          <t>服饰穿搭</t>
        </is>
      </c>
      <c r="U4483" t="inlineStr">
        <is>
          <t>女装</t>
        </is>
      </c>
      <c r="V4483" s="3">
        <v>46128.98467592592</v>
      </c>
      <c r="W4483" t="inlineStr">
        <is>
          <t>2026-Q2</t>
        </is>
      </c>
    </row>
    <row r="4484" ht="25.5" customHeight="1">
      <c r="A4484" t="inlineStr">
        <is>
          <t>卡其色微喇牛仔裤女2026春夏美式垂感显瘦弹力不贴腿低腰喇叭裤子</t>
        </is>
      </c>
      <c r="B4484" t="inlineStr">
        <is>
          <t>__upload_recvgY7N5z7bsk.jpg</t>
        </is>
      </c>
      <c r="C4484" s="2" t="str">
        <f>=HYPERLINK("https://xhslink.com/m/9dvCSfkU3Gl", "https://xhslink.com/m/9dvCSfkU3Gl")</f>
        <v>https://xhslink.com/m/9dvCSfkU3Gl</v>
      </c>
      <c r="D4484"/>
      <c r="E4484">
        <v>27000</v>
      </c>
      <c r="F4484">
        <v>115</v>
      </c>
      <c r="G4484">
        <v>85</v>
      </c>
      <c r="H4484">
        <v>100</v>
      </c>
      <c r="I4484" t="inlineStr">
        <is>
          <t>裤子</t>
        </is>
      </c>
      <c r="J4484" t="inlineStr">
        <is>
          <t>0.00</t>
        </is>
      </c>
      <c r="K4484"/>
      <c r="L4484" t="inlineStr">
        <is>
          <t>总是被夸漂亮的店</t>
        </is>
      </c>
      <c r="M4484">
        <v>34000</v>
      </c>
      <c r="N4484">
        <v>4.41</v>
      </c>
      <c r="O4484">
        <v>229000</v>
      </c>
      <c r="P4484" t="inlineStr">
        <is>
          <t>68c05a6995d6c700017b7864</t>
        </is>
      </c>
      <c r="Q4484" t="inlineStr">
        <is>
          <t>🚫重复</t>
        </is>
      </c>
      <c r="R4484" t="inlineStr">
        <is>
          <t>16周</t>
        </is>
      </c>
      <c r="S4484" t="inlineStr">
        <is>
          <t>0.79</t>
        </is>
      </c>
      <c r="T4484" t="inlineStr">
        <is>
          <t>服饰穿搭</t>
        </is>
      </c>
      <c r="U4484" t="inlineStr">
        <is>
          <t>女装</t>
        </is>
      </c>
      <c r="V4484" s="3">
        <v>46128.98467592592</v>
      </c>
      <c r="W4484" t="inlineStr">
        <is>
          <t>2026-Q2</t>
        </is>
      </c>
    </row>
    <row r="4485" ht="25.5" customHeight="1">
      <c r="A4485" t="inlineStr">
        <is>
          <t>2026新款春季新款百搭工装裤情侣休闲中性风裤子束脚阔腿长裤</t>
        </is>
      </c>
      <c r="B4485" t="inlineStr">
        <is>
          <t>__upload_recvgY7N5z1ErY.jpg</t>
        </is>
      </c>
      <c r="C4485" s="2" t="str">
        <f>=HYPERLINK("https://xhslink.com/m/1sUudxji7uR", "https://xhslink.com/m/1sUudxji7uR")</f>
        <v>https://xhslink.com/m/1sUudxji7uR</v>
      </c>
      <c r="D4485"/>
      <c r="E4485">
        <v>7347</v>
      </c>
      <c r="F4485">
        <v>79.9</v>
      </c>
      <c r="G4485"/>
      <c r="H4485">
        <v>100</v>
      </c>
      <c r="I4485" t="inlineStr">
        <is>
          <t>裤子</t>
        </is>
      </c>
      <c r="J4485" t="inlineStr">
        <is>
          <t>0.01</t>
        </is>
      </c>
      <c r="K4485"/>
      <c r="L4485" t="inlineStr">
        <is>
          <t>杭州四季青服饰的店</t>
        </is>
      </c>
      <c r="M4485">
        <v>3888</v>
      </c>
      <c r="N4485">
        <v>4.56</v>
      </c>
      <c r="O4485">
        <v>26000</v>
      </c>
      <c r="P4485" t="inlineStr">
        <is>
          <t>67d15995b6240c0015e49c4e</t>
        </is>
      </c>
      <c r="Q4485"/>
      <c r="R4485" t="inlineStr">
        <is>
          <t>16周</t>
        </is>
      </c>
      <c r="S4485" t="inlineStr">
        <is>
          <t>1.89</t>
        </is>
      </c>
      <c r="T4485" t="inlineStr">
        <is>
          <t>服饰穿搭</t>
        </is>
      </c>
      <c r="U4485" t="inlineStr">
        <is>
          <t>女装</t>
        </is>
      </c>
      <c r="V4485" s="3">
        <v>46128.98467592592</v>
      </c>
      <c r="W4485" t="inlineStr">
        <is>
          <t>2026-Q2</t>
        </is>
      </c>
    </row>
    <row r="4486" ht="25.5" customHeight="1">
      <c r="A4486" t="inlineStr">
        <is>
          <t>AUTUZCCI · 松弛感|裸感软面料新款牛仔裤女宽松垂感拖地阔腿裤小个子7498</t>
        </is>
      </c>
      <c r="B4486" t="inlineStr">
        <is>
          <t>__upload_recvgY7N5zzlfZ.jpg</t>
        </is>
      </c>
      <c r="C4486" s="2" t="str">
        <f>=HYPERLINK("https://xhslink.com/m/67RofgLajXD", "https://xhslink.com/m/67RofgLajXD")</f>
        <v>https://xhslink.com/m/67RofgLajXD</v>
      </c>
      <c r="D4486"/>
      <c r="E4486">
        <v>5810</v>
      </c>
      <c r="F4486">
        <v>179</v>
      </c>
      <c r="G4486"/>
      <c r="H4486">
        <v>100</v>
      </c>
      <c r="I4486" t="inlineStr">
        <is>
          <t>裤子</t>
        </is>
      </c>
      <c r="J4486" t="inlineStr">
        <is>
          <t>0.02</t>
        </is>
      </c>
      <c r="K4486"/>
      <c r="L4486" t="inlineStr">
        <is>
          <t>AUTUZCCI的店</t>
        </is>
      </c>
      <c r="M4486">
        <v>32000</v>
      </c>
      <c r="N4486">
        <v>4.53</v>
      </c>
      <c r="O4486">
        <v>86000</v>
      </c>
      <c r="P4486" t="inlineStr">
        <is>
          <t>69afd661166bc600018b961d</t>
        </is>
      </c>
      <c r="Q4486" t="inlineStr">
        <is>
          <t>🚫重复</t>
        </is>
      </c>
      <c r="R4486" t="inlineStr">
        <is>
          <t>16周</t>
        </is>
      </c>
      <c r="S4486" t="inlineStr">
        <is>
          <t>0.18</t>
        </is>
      </c>
      <c r="T4486" t="inlineStr">
        <is>
          <t>服饰穿搭</t>
        </is>
      </c>
      <c r="U4486" t="inlineStr">
        <is>
          <t>女装</t>
        </is>
      </c>
      <c r="V4486" s="3">
        <v>46128.98467592592</v>
      </c>
      <c r="W4486" t="inlineStr">
        <is>
          <t>2026-Q2</t>
        </is>
      </c>
    </row>
    <row r="4487" ht="25.5" customHeight="1">
      <c r="A4487" t="inlineStr">
        <is>
          <t>梨形身材休闲裤女春秋韩版新款百搭高腰宽松显瘦阔腿裤子</t>
        </is>
      </c>
      <c r="B4487" t="inlineStr">
        <is>
          <t>__upload_recvgY7N5zZU9R.jpg</t>
        </is>
      </c>
      <c r="C4487" s="2" t="str">
        <f>=HYPERLINK("https://xhslink.com/m/7QhrXogpV6k", "https://xhslink.com/m/7QhrXogpV6k")</f>
        <v>https://xhslink.com/m/7QhrXogpV6k</v>
      </c>
      <c r="D4487"/>
      <c r="E4487">
        <v>6943</v>
      </c>
      <c r="F4487">
        <v>109.8</v>
      </c>
      <c r="G4487">
        <v>49.8</v>
      </c>
      <c r="H4487">
        <v>100</v>
      </c>
      <c r="I4487" t="inlineStr">
        <is>
          <t>裤子</t>
        </is>
      </c>
      <c r="J4487" t="inlineStr">
        <is>
          <t>0.01</t>
        </is>
      </c>
      <c r="K4487" t="inlineStr">
        <is>
          <t>🔥低粉爆款</t>
        </is>
      </c>
      <c r="L4487" t="inlineStr">
        <is>
          <t>娇纱曼品质服饰的店</t>
        </is>
      </c>
      <c r="M4487">
        <v>51</v>
      </c>
      <c r="N4487">
        <v>4.46</v>
      </c>
      <c r="O4487">
        <v>6965</v>
      </c>
      <c r="P4487" t="inlineStr">
        <is>
          <t>68de7ffef8d1f0000149f10e</t>
        </is>
      </c>
      <c r="Q4487"/>
      <c r="R4487" t="inlineStr">
        <is>
          <t>16周</t>
        </is>
      </c>
      <c r="S4487" t="inlineStr">
        <is>
          <t>136.14</t>
        </is>
      </c>
      <c r="T4487" t="inlineStr">
        <is>
          <t>服饰穿搭</t>
        </is>
      </c>
      <c r="U4487" t="inlineStr">
        <is>
          <t>女装</t>
        </is>
      </c>
      <c r="V4487" s="3">
        <v>46128.98467592592</v>
      </c>
      <c r="W4487" t="inlineStr">
        <is>
          <t>2026-Q2</t>
        </is>
      </c>
    </row>
    <row r="4488" ht="25.5" customHeight="1">
      <c r="A4488" t="inlineStr">
        <is>
          <t>美式复古做旧浅蓝色牛仔裤女直筒裤宽松阔腿裤遮肉显瘦显腿直高腰</t>
        </is>
      </c>
      <c r="B4488" t="inlineStr">
        <is>
          <t>__upload_recvgY7N5zGbdv.jpg</t>
        </is>
      </c>
      <c r="C4488" s="2" t="str">
        <f>=HYPERLINK("https://xhslink.com/m/1Eezf10ZKJY", "https://xhslink.com/m/1Eezf10ZKJY")</f>
        <v>https://xhslink.com/m/1Eezf10ZKJY</v>
      </c>
      <c r="D4488"/>
      <c r="E4488">
        <v>10000</v>
      </c>
      <c r="F4488">
        <v>129</v>
      </c>
      <c r="G4488">
        <v>89.9</v>
      </c>
      <c r="H4488">
        <v>100</v>
      </c>
      <c r="I4488" t="inlineStr">
        <is>
          <t>裤子</t>
        </is>
      </c>
      <c r="J4488" t="inlineStr">
        <is>
          <t>0.01</t>
        </is>
      </c>
      <c r="K4488"/>
      <c r="L4488" t="inlineStr">
        <is>
          <t>SOOEPUT的店</t>
        </is>
      </c>
      <c r="M4488">
        <v>6608</v>
      </c>
      <c r="N4488">
        <v>4.63</v>
      </c>
      <c r="O4488">
        <v>58000</v>
      </c>
      <c r="P4488" t="inlineStr">
        <is>
          <t>67fb542bec1374000146601b</t>
        </is>
      </c>
      <c r="Q4488" t="inlineStr">
        <is>
          <t>🚫重复</t>
        </is>
      </c>
      <c r="R4488" t="inlineStr">
        <is>
          <t>16周</t>
        </is>
      </c>
      <c r="S4488" t="inlineStr">
        <is>
          <t>1.51</t>
        </is>
      </c>
      <c r="T4488" t="inlineStr">
        <is>
          <t>服饰穿搭</t>
        </is>
      </c>
      <c r="U4488" t="inlineStr">
        <is>
          <t>女装</t>
        </is>
      </c>
      <c r="V4488" s="3">
        <v>46128.98467592592</v>
      </c>
      <c r="W4488" t="inlineStr">
        <is>
          <t>2026-Q2</t>
        </is>
      </c>
    </row>
    <row r="4489" ht="25.5" customHeight="1">
      <c r="A4489" t="inlineStr">
        <is>
          <t>【最强黑/白牛】超模弹力直筒微喇窄版中腰牛仔裤</t>
        </is>
      </c>
      <c r="B4489" t="inlineStr">
        <is>
          <t>__upload_recvgY7N5zbNpa.jpg</t>
        </is>
      </c>
      <c r="C4489" s="2" t="str">
        <f>=HYPERLINK("https://xhslink.com/m/A3blyA2zA8n", "https://xhslink.com/m/A3blyA2zA8n")</f>
        <v>https://xhslink.com/m/A3blyA2zA8n</v>
      </c>
      <c r="D4489"/>
      <c r="E4489">
        <v>12000</v>
      </c>
      <c r="F4489">
        <v>159</v>
      </c>
      <c r="G4489">
        <v>129</v>
      </c>
      <c r="H4489">
        <v>100</v>
      </c>
      <c r="I4489" t="inlineStr">
        <is>
          <t>裤子</t>
        </is>
      </c>
      <c r="J4489" t="inlineStr">
        <is>
          <t>0.01</t>
        </is>
      </c>
      <c r="K4489"/>
      <c r="L4489" t="inlineStr">
        <is>
          <t>卤蛋不是蛋的店</t>
        </is>
      </c>
      <c r="M4489">
        <v>18000</v>
      </c>
      <c r="N4489">
        <v>4.46</v>
      </c>
      <c r="O4489">
        <v>117000</v>
      </c>
      <c r="P4489" t="inlineStr">
        <is>
          <t>67ead2d90f9d6000013fce6f</t>
        </is>
      </c>
      <c r="Q4489" t="inlineStr">
        <is>
          <t>🚫重复</t>
        </is>
      </c>
      <c r="R4489" t="inlineStr">
        <is>
          <t>16周</t>
        </is>
      </c>
      <c r="S4489" t="inlineStr">
        <is>
          <t>0.67</t>
        </is>
      </c>
      <c r="T4489" t="inlineStr">
        <is>
          <t>服饰穿搭</t>
        </is>
      </c>
      <c r="U4489" t="inlineStr">
        <is>
          <t>女装</t>
        </is>
      </c>
      <c r="V4489" s="3">
        <v>46128.98467592592</v>
      </c>
      <c r="W4489" t="inlineStr">
        <is>
          <t>2026-Q2</t>
        </is>
      </c>
    </row>
    <row r="4490" ht="25.5" customHeight="1">
      <c r="A4490" t="inlineStr">
        <is>
          <t>高级百搭垂感阔腿裤女薄绒高腰宽松显瘦慵懒风直筒休闲裤</t>
        </is>
      </c>
      <c r="B4490" t="inlineStr">
        <is>
          <t>__upload_recvgY7N5zpIbp.jpg</t>
        </is>
      </c>
      <c r="C4490" s="2" t="str">
        <f>=HYPERLINK("https://xhslink.com/m/4gFXfqPeWoX", "https://xhslink.com/m/4gFXfqPeWoX")</f>
        <v>https://xhslink.com/m/4gFXfqPeWoX</v>
      </c>
      <c r="D4490"/>
      <c r="E4490">
        <v>45000</v>
      </c>
      <c r="F4490">
        <v>169</v>
      </c>
      <c r="G4490">
        <v>139</v>
      </c>
      <c r="H4490">
        <v>100</v>
      </c>
      <c r="I4490" t="inlineStr">
        <is>
          <t>裤子</t>
        </is>
      </c>
      <c r="J4490" t="inlineStr">
        <is>
          <t>0.00</t>
        </is>
      </c>
      <c r="K4490"/>
      <c r="L4490" t="inlineStr">
        <is>
          <t>李姐万岁的店</t>
        </is>
      </c>
      <c r="M4490">
        <v>285000</v>
      </c>
      <c r="N4490">
        <v>4.78</v>
      </c>
      <c r="O4490">
        <v>1299000</v>
      </c>
      <c r="P4490" t="inlineStr">
        <is>
          <t>69747653b828e40001bd72bd</t>
        </is>
      </c>
      <c r="Q4490" t="inlineStr">
        <is>
          <t>🚫重复</t>
        </is>
      </c>
      <c r="R4490" t="inlineStr">
        <is>
          <t>16周</t>
        </is>
      </c>
      <c r="S4490" t="inlineStr">
        <is>
          <t>0.16</t>
        </is>
      </c>
      <c r="T4490" t="inlineStr">
        <is>
          <t>服饰穿搭</t>
        </is>
      </c>
      <c r="U4490" t="inlineStr">
        <is>
          <t>女装</t>
        </is>
      </c>
      <c r="V4490" s="3">
        <v>46128.98467592592</v>
      </c>
      <c r="W4490" t="inlineStr">
        <is>
          <t>2026-Q2</t>
        </is>
      </c>
    </row>
    <row r="4491" ht="25.5" customHeight="1">
      <c r="A4491" t="inlineStr">
        <is>
          <t>梨茉~高弹力高腰窄版直筒修身显瘦牛仔裤小个子女</t>
        </is>
      </c>
      <c r="B4491" t="inlineStr">
        <is>
          <t>__upload_recvgY7N5zhx12.jpg</t>
        </is>
      </c>
      <c r="C4491" s="2" t="str">
        <f>=HYPERLINK("https://xhslink.com/m/2pUls9s8qZW", "https://xhslink.com/m/2pUls9s8qZW")</f>
        <v>https://xhslink.com/m/2pUls9s8qZW</v>
      </c>
      <c r="D4491"/>
      <c r="E4491">
        <v>6266</v>
      </c>
      <c r="F4491">
        <v>118</v>
      </c>
      <c r="G4491">
        <v>99</v>
      </c>
      <c r="H4491">
        <v>100</v>
      </c>
      <c r="I4491" t="inlineStr">
        <is>
          <t>裤子</t>
        </is>
      </c>
      <c r="J4491" t="inlineStr">
        <is>
          <t>0.02</t>
        </is>
      </c>
      <c r="K4491"/>
      <c r="L4491" t="inlineStr">
        <is>
          <t>梨茉STUDIO👖的店</t>
        </is>
      </c>
      <c r="M4491">
        <v>3387</v>
      </c>
      <c r="N4491">
        <v>4.54</v>
      </c>
      <c r="O4491">
        <v>67000</v>
      </c>
      <c r="P4491" t="inlineStr">
        <is>
          <t>67d576425fc3f70001126aee</t>
        </is>
      </c>
      <c r="Q4491" t="inlineStr">
        <is>
          <t>🚫重复</t>
        </is>
      </c>
      <c r="R4491" t="inlineStr">
        <is>
          <t>16周</t>
        </is>
      </c>
      <c r="S4491" t="inlineStr">
        <is>
          <t>1.85</t>
        </is>
      </c>
      <c r="T4491" t="inlineStr">
        <is>
          <t>服饰穿搭</t>
        </is>
      </c>
      <c r="U4491" t="inlineStr">
        <is>
          <t>女装</t>
        </is>
      </c>
      <c r="V4491" s="3">
        <v>46128.98467592592</v>
      </c>
      <c r="W4491" t="inlineStr">
        <is>
          <t>2026-Q2</t>
        </is>
      </c>
    </row>
    <row r="4492" ht="25.5" customHeight="1">
      <c r="A4492" t="inlineStr">
        <is>
          <t>【花匠家】自制休闲拖地牛仔镰刀梨形神裤</t>
        </is>
      </c>
      <c r="B4492" t="inlineStr">
        <is>
          <t>__upload_recvgY7N5zADuM.jpg</t>
        </is>
      </c>
      <c r="C4492" s="2" t="str">
        <f>=HYPERLINK("https://xhslink.com/m/6N5XiufC4gs", "https://xhslink.com/m/6N5XiufC4gs")</f>
        <v>https://xhslink.com/m/6N5XiufC4gs</v>
      </c>
      <c r="D4492"/>
      <c r="E4492">
        <v>11000</v>
      </c>
      <c r="F4492">
        <v>129</v>
      </c>
      <c r="G4492"/>
      <c r="H4492">
        <v>100</v>
      </c>
      <c r="I4492" t="inlineStr">
        <is>
          <t>裤子</t>
        </is>
      </c>
      <c r="J4492" t="inlineStr">
        <is>
          <t>0.01</t>
        </is>
      </c>
      <c r="K4492"/>
      <c r="L4492" t="inlineStr">
        <is>
          <t>花匠家的店</t>
        </is>
      </c>
      <c r="M4492">
        <v>7567</v>
      </c>
      <c r="N4492">
        <v>4.67</v>
      </c>
      <c r="O4492">
        <v>16000</v>
      </c>
      <c r="P4492" t="inlineStr">
        <is>
          <t>69514f99110a7f00013ff692</t>
        </is>
      </c>
      <c r="Q4492"/>
      <c r="R4492" t="inlineStr">
        <is>
          <t>16周</t>
        </is>
      </c>
      <c r="S4492" t="inlineStr">
        <is>
          <t>1.45</t>
        </is>
      </c>
      <c r="T4492" t="inlineStr">
        <is>
          <t>服饰穿搭</t>
        </is>
      </c>
      <c r="U4492" t="inlineStr">
        <is>
          <t>女装</t>
        </is>
      </c>
      <c r="V4492" s="3">
        <v>46128.98467592592</v>
      </c>
      <c r="W4492" t="inlineStr">
        <is>
          <t>2026-Q2</t>
        </is>
      </c>
    </row>
    <row r="4493" ht="25.5" customHeight="1">
      <c r="A4493" t="inlineStr">
        <is>
          <t>韩国订单！超薄夏款标准阔腿牛仔裤女</t>
        </is>
      </c>
      <c r="B4493" t="inlineStr">
        <is>
          <t>__upload_recvgY7N5zi3jU.jpg</t>
        </is>
      </c>
      <c r="C4493" s="2" t="str">
        <f>=HYPERLINK("https://xhslink.com/m/7uLeNVxNtij", "https://xhslink.com/m/7uLeNVxNtij")</f>
        <v>https://xhslink.com/m/7uLeNVxNtij</v>
      </c>
      <c r="D4493"/>
      <c r="E4493">
        <v>2536</v>
      </c>
      <c r="F4493">
        <v>29.99</v>
      </c>
      <c r="G4493"/>
      <c r="H4493">
        <v>100</v>
      </c>
      <c r="I4493" t="inlineStr">
        <is>
          <t>裤子</t>
        </is>
      </c>
      <c r="J4493" t="inlineStr">
        <is>
          <t>0.04</t>
        </is>
      </c>
      <c r="K4493"/>
      <c r="L4493" t="inlineStr">
        <is>
          <t>小红书范爷的店的店</t>
        </is>
      </c>
      <c r="M4493">
        <v>291000</v>
      </c>
      <c r="N4493">
        <v>4.57</v>
      </c>
      <c r="O4493">
        <v>3428000</v>
      </c>
      <c r="P4493" t="inlineStr">
        <is>
          <t>683ecaafdb57370001aa4fb7</t>
        </is>
      </c>
      <c r="Q4493" t="inlineStr">
        <is>
          <t>🚫重复</t>
        </is>
      </c>
      <c r="R4493" t="inlineStr">
        <is>
          <t>16周</t>
        </is>
      </c>
      <c r="S4493" t="inlineStr">
        <is>
          <t>0.01</t>
        </is>
      </c>
      <c r="T4493" t="inlineStr">
        <is>
          <t>服饰穿搭</t>
        </is>
      </c>
      <c r="U4493" t="inlineStr">
        <is>
          <t>女装</t>
        </is>
      </c>
      <c r="V4493" s="3">
        <v>46128.98467592592</v>
      </c>
      <c r="W4493" t="inlineStr">
        <is>
          <t>2026-Q2</t>
        </is>
      </c>
    </row>
    <row r="4494" ht="25.5" customHeight="1">
      <c r="A4494" t="inlineStr">
        <is>
          <t>现货·慵懒风三色阔腿压褶西装裤 春夏高腰遮胯松弛感直筒休闲裤</t>
        </is>
      </c>
      <c r="B4494" t="inlineStr">
        <is>
          <t>__upload_recvgY7N5zSaP1.jpg</t>
        </is>
      </c>
      <c r="C4494" s="2" t="str">
        <f>=HYPERLINK("https://xhslink.com/m/AKNcHQIC7wS", "https://xhslink.com/m/AKNcHQIC7wS")</f>
        <v>https://xhslink.com/m/AKNcHQIC7wS</v>
      </c>
      <c r="D4494"/>
      <c r="E4494">
        <v>3297</v>
      </c>
      <c r="F4494">
        <v>128</v>
      </c>
      <c r="G4494">
        <v>99</v>
      </c>
      <c r="H4494">
        <v>100</v>
      </c>
      <c r="I4494" t="inlineStr">
        <is>
          <t>裤子</t>
        </is>
      </c>
      <c r="J4494" t="inlineStr">
        <is>
          <t>0.03</t>
        </is>
      </c>
      <c r="K4494"/>
      <c r="L4494" t="inlineStr">
        <is>
          <t>叮叮爱穿搭的店</t>
        </is>
      </c>
      <c r="M4494">
        <v>18000</v>
      </c>
      <c r="N4494">
        <v>4.53</v>
      </c>
      <c r="O4494">
        <v>142000</v>
      </c>
      <c r="P4494" t="inlineStr">
        <is>
          <t>69a29fa285eac80001bceec7</t>
        </is>
      </c>
      <c r="Q4494" t="inlineStr">
        <is>
          <t>🚫重复</t>
        </is>
      </c>
      <c r="R4494" t="inlineStr">
        <is>
          <t>16周</t>
        </is>
      </c>
      <c r="S4494" t="inlineStr">
        <is>
          <t>0.18</t>
        </is>
      </c>
      <c r="T4494" t="inlineStr">
        <is>
          <t>服饰穿搭</t>
        </is>
      </c>
      <c r="U4494" t="inlineStr">
        <is>
          <t>女装</t>
        </is>
      </c>
      <c r="V4494" s="3">
        <v>46128.98467592592</v>
      </c>
      <c r="W4494" t="inlineStr">
        <is>
          <t>2026-Q2</t>
        </is>
      </c>
    </row>
    <row r="4495" ht="25.5" customHeight="1">
      <c r="A4495" t="inlineStr">
        <is>
          <t>【贵气老钱风亚麻裤】神裤 定纺法产100%亚麻休闲裤显瘦显腿长</t>
        </is>
      </c>
      <c r="B4495" t="inlineStr">
        <is>
          <t>__upload_recvgY7N5zRPOj.jpg</t>
        </is>
      </c>
      <c r="C4495" s="2" t="str">
        <f>=HYPERLINK("https://xhslink.com/m/1Tx2IKOIMgh", "https://xhslink.com/m/1Tx2IKOIMgh")</f>
        <v>https://xhslink.com/m/1Tx2IKOIMgh</v>
      </c>
      <c r="D4495"/>
      <c r="E4495">
        <v>7120</v>
      </c>
      <c r="F4495">
        <v>399</v>
      </c>
      <c r="G4495">
        <v>299</v>
      </c>
      <c r="H4495">
        <v>100</v>
      </c>
      <c r="I4495" t="inlineStr">
        <is>
          <t>裤子</t>
        </is>
      </c>
      <c r="J4495" t="inlineStr">
        <is>
          <t>0.01</t>
        </is>
      </c>
      <c r="K4495"/>
      <c r="L4495" t="inlineStr">
        <is>
          <t>仙阿安SeanAnn的店</t>
        </is>
      </c>
      <c r="M4495">
        <v>6204</v>
      </c>
      <c r="N4495">
        <v>4.56</v>
      </c>
      <c r="O4495">
        <v>45000</v>
      </c>
      <c r="P4495" t="inlineStr">
        <is>
          <t>6824dfe52af3300001929aba</t>
        </is>
      </c>
      <c r="Q4495"/>
      <c r="R4495" t="inlineStr">
        <is>
          <t>16周</t>
        </is>
      </c>
      <c r="S4495" t="inlineStr">
        <is>
          <t>1.15</t>
        </is>
      </c>
      <c r="T4495" t="inlineStr">
        <is>
          <t>服饰穿搭</t>
        </is>
      </c>
      <c r="U4495" t="inlineStr">
        <is>
          <t>女装</t>
        </is>
      </c>
      <c r="V4495" s="3">
        <v>46128.98467592592</v>
      </c>
      <c r="W4495" t="inlineStr">
        <is>
          <t>2026-Q2</t>
        </is>
      </c>
    </row>
    <row r="4496" ht="25.5" customHeight="1">
      <c r="A4496" t="inlineStr">
        <is>
          <t>【冰激凌阔腿裤子】2026女新款自制棉绸直筒空调遛弯小个子防蚊裤</t>
        </is>
      </c>
      <c r="B4496" t="inlineStr">
        <is>
          <t>__upload_recvgY7N5zgvzV.jpg</t>
        </is>
      </c>
      <c r="C4496" s="2" t="str">
        <f>=HYPERLINK("https://xhslink.com/m/8jneAPwGRjN", "https://xhslink.com/m/8jneAPwGRjN")</f>
        <v>https://xhslink.com/m/8jneAPwGRjN</v>
      </c>
      <c r="D4496"/>
      <c r="E4496">
        <v>3047</v>
      </c>
      <c r="F4496">
        <v>22.8</v>
      </c>
      <c r="G4496">
        <v>17.8</v>
      </c>
      <c r="H4496">
        <v>100</v>
      </c>
      <c r="I4496" t="inlineStr">
        <is>
          <t>裤子</t>
        </is>
      </c>
      <c r="J4496" t="inlineStr">
        <is>
          <t>0.03</t>
        </is>
      </c>
      <c r="K4496"/>
      <c r="L4496" t="inlineStr">
        <is>
          <t>糖泡泡服饰的店</t>
        </is>
      </c>
      <c r="M4496">
        <v>10000</v>
      </c>
      <c r="N4496">
        <v>4.79</v>
      </c>
      <c r="O4496">
        <v>72000</v>
      </c>
      <c r="P4496" t="inlineStr">
        <is>
          <t>689462c2b6005400013fa52f</t>
        </is>
      </c>
      <c r="Q4496" t="inlineStr">
        <is>
          <t>🚫重复</t>
        </is>
      </c>
      <c r="R4496" t="inlineStr">
        <is>
          <t>16周</t>
        </is>
      </c>
      <c r="S4496" t="inlineStr">
        <is>
          <t>0.30</t>
        </is>
      </c>
      <c r="T4496" t="inlineStr">
        <is>
          <t>服饰穿搭</t>
        </is>
      </c>
      <c r="U4496" t="inlineStr">
        <is>
          <t>女装</t>
        </is>
      </c>
      <c r="V4496" s="3">
        <v>46128.98467592592</v>
      </c>
      <c r="W4496" t="inlineStr">
        <is>
          <t>2026-Q2</t>
        </is>
      </c>
    </row>
    <row r="4497" ht="25.5" customHeight="1">
      <c r="A4497" t="inlineStr">
        <is>
          <t>着悦 · 26春夏秋冬新品原色不易掉色牛仔裤环保显瘦好看高腰直筒裤</t>
        </is>
      </c>
      <c r="B4497" t="inlineStr">
        <is>
          <t>__upload_recvgY7N5zIKYd.jpg</t>
        </is>
      </c>
      <c r="C4497" s="2" t="str">
        <f>=HYPERLINK("https://xhslink.com/m/4TShrT6IjYb", "https://xhslink.com/m/4TShrT6IjYb")</f>
        <v>https://xhslink.com/m/4TShrT6IjYb</v>
      </c>
      <c r="D4497"/>
      <c r="E4497">
        <v>3830</v>
      </c>
      <c r="F4497">
        <v>159</v>
      </c>
      <c r="G4497"/>
      <c r="H4497">
        <v>100</v>
      </c>
      <c r="I4497" t="inlineStr">
        <is>
          <t>裤子</t>
        </is>
      </c>
      <c r="J4497" t="inlineStr">
        <is>
          <t>0.03</t>
        </is>
      </c>
      <c r="K4497"/>
      <c r="L4497" t="inlineStr">
        <is>
          <t>着悦旗舰店</t>
        </is>
      </c>
      <c r="M4497">
        <v>38000</v>
      </c>
      <c r="N4497">
        <v>4.68</v>
      </c>
      <c r="O4497">
        <v>212000</v>
      </c>
      <c r="P4497" t="inlineStr">
        <is>
          <t>69d5fac5076df8000112858a</t>
        </is>
      </c>
      <c r="Q4497" t="inlineStr">
        <is>
          <t>🚫重复</t>
        </is>
      </c>
      <c r="R4497" t="inlineStr">
        <is>
          <t>16周</t>
        </is>
      </c>
      <c r="S4497" t="inlineStr">
        <is>
          <t>0.10</t>
        </is>
      </c>
      <c r="T4497" t="inlineStr">
        <is>
          <t>服饰穿搭</t>
        </is>
      </c>
      <c r="U4497" t="inlineStr">
        <is>
          <t>女装</t>
        </is>
      </c>
      <c r="V4497" s="3">
        <v>46128.98467592592</v>
      </c>
      <c r="W4497" t="inlineStr">
        <is>
          <t>2026-Q2</t>
        </is>
      </c>
    </row>
    <row r="4498" ht="25.5" customHeight="1">
      <c r="A4498" t="inlineStr">
        <is>
          <t>【一穿就会爱上】美式复古高腰阔腿裤直筒七分裤牛仔裤女裤</t>
        </is>
      </c>
      <c r="B4498" t="inlineStr">
        <is>
          <t>__upload_recvgY7N5zPMVg.jpg</t>
        </is>
      </c>
      <c r="C4498" s="2" t="str">
        <f>=HYPERLINK("https://xhslink.com/m/48pMWSsALFE", "https://xhslink.com/m/48pMWSsALFE")</f>
        <v>https://xhslink.com/m/48pMWSsALFE</v>
      </c>
      <c r="D4498"/>
      <c r="E4498">
        <v>5284</v>
      </c>
      <c r="F4498">
        <v>108</v>
      </c>
      <c r="G4498">
        <v>78</v>
      </c>
      <c r="H4498">
        <v>100</v>
      </c>
      <c r="I4498" t="inlineStr">
        <is>
          <t>裤子</t>
        </is>
      </c>
      <c r="J4498" t="inlineStr">
        <is>
          <t>0.02</t>
        </is>
      </c>
      <c r="K4498" t="inlineStr">
        <is>
          <t>🔥低粉爆款</t>
        </is>
      </c>
      <c r="L4498" t="inlineStr">
        <is>
          <t>没有双眼皮呀的店</t>
        </is>
      </c>
      <c r="M4498">
        <v>469</v>
      </c>
      <c r="N4498">
        <v>4.62</v>
      </c>
      <c r="O4498">
        <v>24000</v>
      </c>
      <c r="P4498" t="inlineStr">
        <is>
          <t>683d2106317c900001afffcd</t>
        </is>
      </c>
      <c r="Q4498" t="inlineStr">
        <is>
          <t>🚫重复</t>
        </is>
      </c>
      <c r="R4498" t="inlineStr">
        <is>
          <t>16周</t>
        </is>
      </c>
      <c r="S4498" t="inlineStr">
        <is>
          <t>11.27</t>
        </is>
      </c>
      <c r="T4498" t="inlineStr">
        <is>
          <t>服饰穿搭</t>
        </is>
      </c>
      <c r="U4498" t="inlineStr">
        <is>
          <t>女装</t>
        </is>
      </c>
      <c r="V4498" s="3">
        <v>46128.98467592592</v>
      </c>
      <c r="W4498" t="inlineStr">
        <is>
          <t>2026-Q2</t>
        </is>
      </c>
    </row>
    <row r="4499" ht="25.5" customHeight="1">
      <c r="A4499" t="inlineStr">
        <is>
          <t>显瘦舒服的春秋裤子垂坠感铜氨丝阔腿裤通勤小个子莫代尔神裤</t>
        </is>
      </c>
      <c r="B4499" t="inlineStr">
        <is>
          <t>__upload_recvgY7N5zAHc3.jpg</t>
        </is>
      </c>
      <c r="C4499" s="2" t="str">
        <f>=HYPERLINK("https://xhslink.com/m/9DccN263kxa", "https://xhslink.com/m/9DccN263kxa")</f>
        <v>https://xhslink.com/m/9DccN263kxa</v>
      </c>
      <c r="D4499"/>
      <c r="E4499">
        <v>35000</v>
      </c>
      <c r="F4499">
        <v>168</v>
      </c>
      <c r="G4499"/>
      <c r="H4499">
        <v>100</v>
      </c>
      <c r="I4499" t="inlineStr">
        <is>
          <t>裤子</t>
        </is>
      </c>
      <c r="J4499" t="inlineStr">
        <is>
          <t>0.00</t>
        </is>
      </c>
      <c r="K4499" t="inlineStr">
        <is>
          <t>🔥低粉爆款</t>
        </is>
      </c>
      <c r="L4499" t="inlineStr">
        <is>
          <t>绮思 Studio的店</t>
        </is>
      </c>
      <c r="M4499">
        <v>1334</v>
      </c>
      <c r="N4499">
        <v>4.65</v>
      </c>
      <c r="O4499">
        <v>37000</v>
      </c>
      <c r="P4499" t="inlineStr">
        <is>
          <t>6900a57342726100017882c3</t>
        </is>
      </c>
      <c r="Q4499" t="inlineStr">
        <is>
          <t>🚫重复</t>
        </is>
      </c>
      <c r="R4499" t="inlineStr">
        <is>
          <t>16周</t>
        </is>
      </c>
      <c r="S4499" t="inlineStr">
        <is>
          <t>26.24</t>
        </is>
      </c>
      <c r="T4499" t="inlineStr">
        <is>
          <t>服饰穿搭</t>
        </is>
      </c>
      <c r="U4499" t="inlineStr">
        <is>
          <t>女装</t>
        </is>
      </c>
      <c r="V4499" s="3">
        <v>46128.98467592592</v>
      </c>
      <c r="W4499" t="inlineStr">
        <is>
          <t>2026-Q2</t>
        </is>
      </c>
    </row>
    <row r="4500" ht="25.5" customHeight="1">
      <c r="A4500" t="inlineStr">
        <is>
          <t>【徐肆壹】春夏新品经典直筒回归简单清爽耐看不过时阔腿牛仔裤</t>
        </is>
      </c>
      <c r="B4500" t="inlineStr">
        <is>
          <t>__upload_recvgY7N5zFyGf.jpg</t>
        </is>
      </c>
      <c r="C4500" s="2" t="str">
        <f>=HYPERLINK("https://xhslink.com/m/2x3h7y0wtBV", "https://xhslink.com/m/2x3h7y0wtBV")</f>
        <v>https://xhslink.com/m/2x3h7y0wtBV</v>
      </c>
      <c r="D4500"/>
      <c r="E4500">
        <v>1463</v>
      </c>
      <c r="F4500">
        <v>119</v>
      </c>
      <c r="G4500">
        <v>118</v>
      </c>
      <c r="H4500">
        <v>100</v>
      </c>
      <c r="I4500" t="inlineStr">
        <is>
          <t>裤子</t>
        </is>
      </c>
      <c r="J4500" t="inlineStr">
        <is>
          <t>0.07</t>
        </is>
      </c>
      <c r="K4500"/>
      <c r="L4500" t="inlineStr">
        <is>
          <t>徐肆壹的店</t>
        </is>
      </c>
      <c r="M4500">
        <v>1972</v>
      </c>
      <c r="N4500">
        <v>4.56</v>
      </c>
      <c r="O4500">
        <v>15000</v>
      </c>
      <c r="P4500" t="inlineStr">
        <is>
          <t>67e3ae5fa2a5110001e77852</t>
        </is>
      </c>
      <c r="Q4500"/>
      <c r="R4500" t="inlineStr">
        <is>
          <t>16周</t>
        </is>
      </c>
      <c r="S4500" t="inlineStr">
        <is>
          <t>0.74</t>
        </is>
      </c>
      <c r="T4500" t="inlineStr">
        <is>
          <t>服饰穿搭</t>
        </is>
      </c>
      <c r="U4500" t="inlineStr">
        <is>
          <t>女装</t>
        </is>
      </c>
      <c r="V4500" s="3">
        <v>46128.98467592592</v>
      </c>
      <c r="W4500" t="inlineStr">
        <is>
          <t>2026-Q2</t>
        </is>
      </c>
    </row>
    <row r="4501" ht="25.5" customHeight="1">
      <c r="A4501" t="inlineStr">
        <is>
          <t>大丸梓·新款波纹垂感宽松直筒拖地摩卡灰美式复古阔腿牛仔裤女</t>
        </is>
      </c>
      <c r="B4501" t="inlineStr">
        <is>
          <t>__upload_recvgY7N5zCF4k.jpg</t>
        </is>
      </c>
      <c r="C4501" s="2" t="str">
        <f>=HYPERLINK("https://xhslink.com/m/3Sa42xxXnll", "https://xhslink.com/m/3Sa42xxXnll")</f>
        <v>https://xhslink.com/m/3Sa42xxXnll</v>
      </c>
      <c r="D4501"/>
      <c r="E4501">
        <v>1870</v>
      </c>
      <c r="F4501">
        <v>108</v>
      </c>
      <c r="G4501">
        <v>86</v>
      </c>
      <c r="H4501">
        <v>100</v>
      </c>
      <c r="I4501" t="inlineStr">
        <is>
          <t>裤子</t>
        </is>
      </c>
      <c r="J4501" t="inlineStr">
        <is>
          <t>0.05</t>
        </is>
      </c>
      <c r="K4501"/>
      <c r="L4501" t="inlineStr">
        <is>
          <t>大丸梓的店</t>
        </is>
      </c>
      <c r="M4501">
        <v>3405</v>
      </c>
      <c r="N4501">
        <v>4.63</v>
      </c>
      <c r="O4501">
        <v>15000</v>
      </c>
      <c r="P4501" t="inlineStr">
        <is>
          <t>696cc72f306dc50001ac62d6</t>
        </is>
      </c>
      <c r="Q4501" t="inlineStr">
        <is>
          <t>🚫重复</t>
        </is>
      </c>
      <c r="R4501" t="inlineStr">
        <is>
          <t>16周</t>
        </is>
      </c>
      <c r="S4501" t="inlineStr">
        <is>
          <t>0.55</t>
        </is>
      </c>
      <c r="T4501" t="inlineStr">
        <is>
          <t>服饰穿搭</t>
        </is>
      </c>
      <c r="U4501" t="inlineStr">
        <is>
          <t>女装</t>
        </is>
      </c>
      <c r="V4501" s="3">
        <v>46128.98467592592</v>
      </c>
      <c r="W4501" t="inlineStr">
        <is>
          <t>2026-Q2</t>
        </is>
      </c>
    </row>
    <row r="4502" ht="25.5" customHeight="1">
      <c r="A4502" t="inlineStr">
        <is>
          <t>100%纯亚麻 松弛感No.1直筒亚麻裤 自家厂做的～</t>
        </is>
      </c>
      <c r="B4502" t="inlineStr">
        <is>
          <t>__upload_recvgY7N5z4nk1.jpg</t>
        </is>
      </c>
      <c r="C4502" s="2" t="str">
        <f>=HYPERLINK("https://xhslink.com/m/3EHbTQnaLcu", "https://xhslink.com/m/3EHbTQnaLcu")</f>
        <v>https://xhslink.com/m/3EHbTQnaLcu</v>
      </c>
      <c r="D4502"/>
      <c r="E4502">
        <v>3838</v>
      </c>
      <c r="F4502">
        <v>228</v>
      </c>
      <c r="G4502">
        <v>169</v>
      </c>
      <c r="H4502">
        <v>100</v>
      </c>
      <c r="I4502" t="inlineStr">
        <is>
          <t>裤子</t>
        </is>
      </c>
      <c r="J4502" t="inlineStr">
        <is>
          <t>0.03</t>
        </is>
      </c>
      <c r="K4502"/>
      <c r="L4502" t="inlineStr">
        <is>
          <t>卖羽绒服的carry的店</t>
        </is>
      </c>
      <c r="M4502">
        <v>146000</v>
      </c>
      <c r="N4502">
        <v>4.61</v>
      </c>
      <c r="O4502">
        <v>147000</v>
      </c>
      <c r="P4502" t="inlineStr">
        <is>
          <t>69b4e52e4cdf2e00012f5801</t>
        </is>
      </c>
      <c r="Q4502" t="inlineStr">
        <is>
          <t>🚫重复</t>
        </is>
      </c>
      <c r="R4502" t="inlineStr">
        <is>
          <t>16周</t>
        </is>
      </c>
      <c r="S4502" t="inlineStr">
        <is>
          <t>0.03</t>
        </is>
      </c>
      <c r="T4502" t="inlineStr">
        <is>
          <t>服饰穿搭</t>
        </is>
      </c>
      <c r="U4502" t="inlineStr">
        <is>
          <t>女装</t>
        </is>
      </c>
      <c r="V4502" s="3">
        <v>46128.98467592592</v>
      </c>
      <c r="W4502" t="inlineStr">
        <is>
          <t>2026-Q2</t>
        </is>
      </c>
    </row>
    <row r="4503" ht="25.5" customHeight="1">
      <c r="A4503" t="inlineStr">
        <is>
          <t>【有运险】美式慵懒休闲卫裤女松紧高腰百搭直筒显瘦阔腿裤长裤</t>
        </is>
      </c>
      <c r="B4503" t="inlineStr">
        <is>
          <t>__upload_recvgY7N5zi3GJ.jpg</t>
        </is>
      </c>
      <c r="C4503" s="2" t="str">
        <f>=HYPERLINK("https://xhslink.com/m/ABouQvkxbEj", "https://xhslink.com/m/ABouQvkxbEj")</f>
        <v>https://xhslink.com/m/ABouQvkxbEj</v>
      </c>
      <c r="D4503"/>
      <c r="E4503">
        <v>962</v>
      </c>
      <c r="F4503">
        <v>119</v>
      </c>
      <c r="G4503"/>
      <c r="H4503">
        <v>100</v>
      </c>
      <c r="I4503" t="inlineStr">
        <is>
          <t>裤子</t>
        </is>
      </c>
      <c r="J4503" t="inlineStr">
        <is>
          <t>0.10</t>
        </is>
      </c>
      <c r="K4503"/>
      <c r="L4503" t="inlineStr">
        <is>
          <t>Ruru的肌动日常的店</t>
        </is>
      </c>
      <c r="M4503">
        <v>918</v>
      </c>
      <c r="N4503">
        <v>4.57</v>
      </c>
      <c r="O4503">
        <v>8077</v>
      </c>
      <c r="P4503" t="inlineStr">
        <is>
          <t>69b139c216b37a0015ca8b76</t>
        </is>
      </c>
      <c r="Q4503" t="inlineStr">
        <is>
          <t>🚫重复</t>
        </is>
      </c>
      <c r="R4503" t="inlineStr">
        <is>
          <t>16周</t>
        </is>
      </c>
      <c r="S4503" t="inlineStr">
        <is>
          <t>1.05</t>
        </is>
      </c>
      <c r="T4503" t="inlineStr">
        <is>
          <t>服饰穿搭</t>
        </is>
      </c>
      <c r="U4503" t="inlineStr">
        <is>
          <t>女装</t>
        </is>
      </c>
      <c r="V4503" s="3">
        <v>46128.98467592592</v>
      </c>
      <c r="W4503" t="inlineStr">
        <is>
          <t>2026-Q2</t>
        </is>
      </c>
    </row>
    <row r="4504" ht="25.5" customHeight="1">
      <c r="A4504" t="inlineStr">
        <is>
          <t>【春款直筒】春季新款休闲百搭显瘦高腰直筒裤25671</t>
        </is>
      </c>
      <c r="B4504" t="inlineStr">
        <is>
          <t>__upload_recvgY7N5zAUiv.jpg</t>
        </is>
      </c>
      <c r="C4504" s="2" t="str">
        <f>=HYPERLINK("https://xhslink.com/m/6nyqsH2p456", "https://xhslink.com/m/6nyqsH2p456")</f>
        <v>https://xhslink.com/m/6nyqsH2p456</v>
      </c>
      <c r="D4504"/>
      <c r="E4504">
        <v>2868</v>
      </c>
      <c r="F4504">
        <v>199.9</v>
      </c>
      <c r="G4504">
        <v>139.9</v>
      </c>
      <c r="H4504">
        <v>100</v>
      </c>
      <c r="I4504" t="inlineStr">
        <is>
          <t>裤子</t>
        </is>
      </c>
      <c r="J4504" t="inlineStr">
        <is>
          <t>0.03</t>
        </is>
      </c>
      <c r="K4504" t="inlineStr">
        <is>
          <t>🔥低粉爆款</t>
        </is>
      </c>
      <c r="L4504" t="inlineStr">
        <is>
          <t>皖宜夫妇的店</t>
        </is>
      </c>
      <c r="M4504">
        <v>44</v>
      </c>
      <c r="N4504">
        <v>4.67</v>
      </c>
      <c r="O4504">
        <v>5058</v>
      </c>
      <c r="P4504" t="inlineStr">
        <is>
          <t>69b2b69be175160001002f51</t>
        </is>
      </c>
      <c r="Q4504"/>
      <c r="R4504" t="inlineStr">
        <is>
          <t>16周</t>
        </is>
      </c>
      <c r="S4504" t="inlineStr">
        <is>
          <t>65.18</t>
        </is>
      </c>
      <c r="T4504" t="inlineStr">
        <is>
          <t>服饰穿搭</t>
        </is>
      </c>
      <c r="U4504" t="inlineStr">
        <is>
          <t>女装</t>
        </is>
      </c>
      <c r="V4504" s="3">
        <v>46128.98467592592</v>
      </c>
      <c r="W4504" t="inlineStr">
        <is>
          <t>2026-Q2</t>
        </is>
      </c>
    </row>
    <row r="4505" ht="25.5" customHeight="1">
      <c r="A4505" t="inlineStr">
        <is>
          <t>右单元 · Rightcell「回春丹系列001」四面弹阔腿牛仔裤女春高腰宽松直筒裤</t>
        </is>
      </c>
      <c r="B4505" t="inlineStr">
        <is>
          <t>__upload_recvgY7N5zlIeI.jpg</t>
        </is>
      </c>
      <c r="C4505" s="2" t="str">
        <f>=HYPERLINK("https://xhslink.com/m/AiXLTpO0d4S", "https://xhslink.com/m/AiXLTpO0d4S")</f>
        <v>https://xhslink.com/m/AiXLTpO0d4S</v>
      </c>
      <c r="D4505"/>
      <c r="E4505">
        <v>5707</v>
      </c>
      <c r="F4505">
        <v>419.99</v>
      </c>
      <c r="G4505">
        <v>369.59</v>
      </c>
      <c r="H4505">
        <v>100</v>
      </c>
      <c r="I4505" t="inlineStr">
        <is>
          <t>裤子</t>
        </is>
      </c>
      <c r="J4505" t="inlineStr">
        <is>
          <t>0.02</t>
        </is>
      </c>
      <c r="K4505"/>
      <c r="L4505" t="inlineStr">
        <is>
          <t>右单元 Rightcell旗舰店</t>
        </is>
      </c>
      <c r="M4505">
        <v>56000</v>
      </c>
      <c r="N4505">
        <v>4.6</v>
      </c>
      <c r="O4505">
        <v>398000</v>
      </c>
      <c r="P4505" t="inlineStr">
        <is>
          <t>696a048819f8df00159b843d</t>
        </is>
      </c>
      <c r="Q4505" t="inlineStr">
        <is>
          <t>🚫重复</t>
        </is>
      </c>
      <c r="R4505" t="inlineStr">
        <is>
          <t>16周</t>
        </is>
      </c>
      <c r="S4505" t="inlineStr">
        <is>
          <t>0.10</t>
        </is>
      </c>
      <c r="T4505" t="inlineStr">
        <is>
          <t>服饰穿搭</t>
        </is>
      </c>
      <c r="U4505" t="inlineStr">
        <is>
          <t>女装</t>
        </is>
      </c>
      <c r="V4505" s="3">
        <v>46128.98467592592</v>
      </c>
      <c r="W4505" t="inlineStr">
        <is>
          <t>2026-Q2</t>
        </is>
      </c>
    </row>
    <row r="4506" ht="25.5" customHeight="1">
      <c r="A4506" t="inlineStr">
        <is>
          <t>2026升级版！经典九分直筒牛仔裤</t>
        </is>
      </c>
      <c r="B4506" t="inlineStr">
        <is>
          <t>__upload_recvgY7N5zEeyV.jpg</t>
        </is>
      </c>
      <c r="C4506" s="2" t="str">
        <f>=HYPERLINK("https://xhslink.com/m/9pM9EUxIt2l", "https://xhslink.com/m/9pM9EUxIt2l")</f>
        <v>https://xhslink.com/m/9pM9EUxIt2l</v>
      </c>
      <c r="D4506"/>
      <c r="E4506">
        <v>17000</v>
      </c>
      <c r="F4506">
        <v>388</v>
      </c>
      <c r="G4506"/>
      <c r="H4506">
        <v>100</v>
      </c>
      <c r="I4506" t="inlineStr">
        <is>
          <t>裤子</t>
        </is>
      </c>
      <c r="J4506" t="inlineStr">
        <is>
          <t>0.01</t>
        </is>
      </c>
      <c r="K4506"/>
      <c r="L4506" t="inlineStr">
        <is>
          <t>高坂大叔的店</t>
        </is>
      </c>
      <c r="M4506">
        <v>116000</v>
      </c>
      <c r="N4506">
        <v>4.75</v>
      </c>
      <c r="O4506">
        <v>471000</v>
      </c>
      <c r="P4506" t="inlineStr">
        <is>
          <t>6854c3efd67cc200010faa63</t>
        </is>
      </c>
      <c r="Q4506" t="inlineStr">
        <is>
          <t>🚫重复</t>
        </is>
      </c>
      <c r="R4506" t="inlineStr">
        <is>
          <t>16周</t>
        </is>
      </c>
      <c r="S4506" t="inlineStr">
        <is>
          <t>0.15</t>
        </is>
      </c>
      <c r="T4506" t="inlineStr">
        <is>
          <t>服饰穿搭</t>
        </is>
      </c>
      <c r="U4506" t="inlineStr">
        <is>
          <t>女装</t>
        </is>
      </c>
      <c r="V4506" s="3">
        <v>46128.98467592592</v>
      </c>
      <c r="W4506" t="inlineStr">
        <is>
          <t>2026-Q2</t>
        </is>
      </c>
    </row>
    <row r="4507" ht="25.5" customHeight="1">
      <c r="A4507" t="inlineStr">
        <is>
          <t>【朴大艺】腔调裤  日系慵懒阔腿茧型遮胯腔调垂坠感气球裤P26317</t>
        </is>
      </c>
      <c r="B4507" t="inlineStr">
        <is>
          <t>__upload_recvgY7N5zUtdJ.jpg</t>
        </is>
      </c>
      <c r="C4507" s="2" t="str">
        <f>=HYPERLINK("https://xhslink.com/m/7hAYWRlMPJ7", "https://xhslink.com/m/7hAYWRlMPJ7")</f>
        <v>https://xhslink.com/m/7hAYWRlMPJ7</v>
      </c>
      <c r="D4507"/>
      <c r="E4507">
        <v>1505</v>
      </c>
      <c r="F4507">
        <v>169</v>
      </c>
      <c r="G4507"/>
      <c r="H4507">
        <v>100</v>
      </c>
      <c r="I4507" t="inlineStr">
        <is>
          <t>裤子</t>
        </is>
      </c>
      <c r="J4507" t="inlineStr">
        <is>
          <t>0.07</t>
        </is>
      </c>
      <c r="K4507"/>
      <c r="L4507" t="inlineStr">
        <is>
          <t>朴大艺是150呀的店</t>
        </is>
      </c>
      <c r="M4507">
        <v>95000</v>
      </c>
      <c r="N4507">
        <v>4.72</v>
      </c>
      <c r="O4507">
        <v>312000</v>
      </c>
      <c r="P4507" t="inlineStr">
        <is>
          <t>69b8d74211534f000151e3d6</t>
        </is>
      </c>
      <c r="Q4507" t="inlineStr">
        <is>
          <t>🚫重复</t>
        </is>
      </c>
      <c r="R4507" t="inlineStr">
        <is>
          <t>16周</t>
        </is>
      </c>
      <c r="S4507" t="inlineStr">
        <is>
          <t>0.02</t>
        </is>
      </c>
      <c r="T4507" t="inlineStr">
        <is>
          <t>服饰穿搭</t>
        </is>
      </c>
      <c r="U4507" t="inlineStr">
        <is>
          <t>女装</t>
        </is>
      </c>
      <c r="V4507" s="3">
        <v>46128.98467592592</v>
      </c>
      <c r="W4507" t="inlineStr">
        <is>
          <t>2026-Q2</t>
        </is>
      </c>
    </row>
    <row r="4508" ht="25.5" customHeight="1">
      <c r="A4508" t="inlineStr">
        <is>
          <t>Z · 『V腰显瘦神裤』/v腰喇叭裤/v腰牛仔裤 炒鸡显腰细显显臀翘！</t>
        </is>
      </c>
      <c r="B4508" t="inlineStr">
        <is>
          <t>__upload_recvgY7N5z4HZQ.jpg</t>
        </is>
      </c>
      <c r="C4508" s="2" t="str">
        <f>=HYPERLINK("https://xhslink.com/m/4goXAfVAGjO", "https://xhslink.com/m/4goXAfVAGjO")</f>
        <v>https://xhslink.com/m/4goXAfVAGjO</v>
      </c>
      <c r="D4508"/>
      <c r="E4508">
        <v>2799</v>
      </c>
      <c r="F4508">
        <v>146</v>
      </c>
      <c r="G4508"/>
      <c r="H4508">
        <v>100</v>
      </c>
      <c r="I4508" t="inlineStr">
        <is>
          <t>裤子</t>
        </is>
      </c>
      <c r="J4508" t="inlineStr">
        <is>
          <t>0.04</t>
        </is>
      </c>
      <c r="K4508" t="inlineStr">
        <is>
          <t>🔥低粉爆款</t>
        </is>
      </c>
      <c r="L4508" t="inlineStr">
        <is>
          <t>Sunny女装店的店</t>
        </is>
      </c>
      <c r="M4508">
        <v>541</v>
      </c>
      <c r="N4508">
        <v>4.62</v>
      </c>
      <c r="O4508">
        <v>3048</v>
      </c>
      <c r="P4508" t="inlineStr">
        <is>
          <t>69c78de3d4e1ce0001dd0f09</t>
        </is>
      </c>
      <c r="Q4508"/>
      <c r="R4508" t="inlineStr">
        <is>
          <t>16周</t>
        </is>
      </c>
      <c r="S4508" t="inlineStr">
        <is>
          <t>5.17</t>
        </is>
      </c>
      <c r="T4508" t="inlineStr">
        <is>
          <t>服饰穿搭</t>
        </is>
      </c>
      <c r="U4508" t="inlineStr">
        <is>
          <t>女装</t>
        </is>
      </c>
      <c r="V4508" s="3">
        <v>46128.98467592592</v>
      </c>
      <c r="W4508" t="inlineStr">
        <is>
          <t>2026-Q2</t>
        </is>
      </c>
    </row>
    <row r="4509" ht="25.5" customHeight="1">
      <c r="A4509" t="inlineStr">
        <is>
          <t>【奶油亚麻裤】_软软松弛感夏季显瘦休闲直筒阔腿亚麻裤小个子</t>
        </is>
      </c>
      <c r="B4509" t="inlineStr">
        <is>
          <t>__upload_recvgY7N5zTUpQ.jpg</t>
        </is>
      </c>
      <c r="C4509" s="2" t="str">
        <f>=HYPERLINK("https://xhslink.com/m/90oroV0yOb8", "https://xhslink.com/m/90oroV0yOb8")</f>
        <v>https://xhslink.com/m/90oroV0yOb8</v>
      </c>
      <c r="D4509"/>
      <c r="E4509">
        <v>541</v>
      </c>
      <c r="F4509">
        <v>129</v>
      </c>
      <c r="G4509">
        <v>97</v>
      </c>
      <c r="H4509">
        <v>100</v>
      </c>
      <c r="I4509" t="inlineStr">
        <is>
          <t>裤子</t>
        </is>
      </c>
      <c r="J4509" t="inlineStr">
        <is>
          <t>0.18</t>
        </is>
      </c>
      <c r="K4509"/>
      <c r="L4509" t="inlineStr">
        <is>
          <t>ruanruan的店</t>
        </is>
      </c>
      <c r="M4509">
        <v>78000</v>
      </c>
      <c r="N4509">
        <v>4.57</v>
      </c>
      <c r="O4509">
        <v>217000</v>
      </c>
      <c r="P4509" t="inlineStr">
        <is>
          <t>69c55a61ff00dc0001ef755c</t>
        </is>
      </c>
      <c r="Q4509"/>
      <c r="R4509" t="inlineStr">
        <is>
          <t>16周</t>
        </is>
      </c>
      <c r="S4509" t="inlineStr">
        <is>
          <t>0.01</t>
        </is>
      </c>
      <c r="T4509" t="inlineStr">
        <is>
          <t>服饰穿搭</t>
        </is>
      </c>
      <c r="U4509" t="inlineStr">
        <is>
          <t>女装</t>
        </is>
      </c>
      <c r="V4509" s="3">
        <v>46128.98467592592</v>
      </c>
      <c r="W4509" t="inlineStr">
        <is>
          <t>2026-Q2</t>
        </is>
      </c>
    </row>
    <row r="4510" ht="25.5" customHeight="1">
      <c r="A4510" t="inlineStr">
        <is>
          <t>【新品限时立减30】定制乌木色全棉水洗春夏宽松高腰通勤休闲裤</t>
        </is>
      </c>
      <c r="B4510" t="inlineStr">
        <is>
          <t>__upload_recvgY7N5zNsd9.jpg</t>
        </is>
      </c>
      <c r="C4510" s="2" t="str">
        <f>=HYPERLINK("https://xhslink.com/m/1PtOEAJGzVd", "https://xhslink.com/m/1PtOEAJGzVd")</f>
        <v>https://xhslink.com/m/1PtOEAJGzVd</v>
      </c>
      <c r="D4510"/>
      <c r="E4510">
        <v>635</v>
      </c>
      <c r="F4510">
        <v>99.9</v>
      </c>
      <c r="G4510">
        <v>69.9</v>
      </c>
      <c r="H4510">
        <v>100</v>
      </c>
      <c r="I4510" t="inlineStr">
        <is>
          <t>裤子</t>
        </is>
      </c>
      <c r="J4510" t="inlineStr">
        <is>
          <t>0.16</t>
        </is>
      </c>
      <c r="K4510"/>
      <c r="L4510" t="inlineStr">
        <is>
          <t>夏野桃服饰的店</t>
        </is>
      </c>
      <c r="M4510">
        <v>9500</v>
      </c>
      <c r="N4510">
        <v>4.48</v>
      </c>
      <c r="O4510">
        <v>227000</v>
      </c>
      <c r="P4510" t="inlineStr">
        <is>
          <t>69bf54a811534f00010bb2e3</t>
        </is>
      </c>
      <c r="Q4510" t="inlineStr">
        <is>
          <t>🚫重复</t>
        </is>
      </c>
      <c r="R4510" t="inlineStr">
        <is>
          <t>16周</t>
        </is>
      </c>
      <c r="S4510" t="inlineStr">
        <is>
          <t>0.07</t>
        </is>
      </c>
      <c r="T4510" t="inlineStr">
        <is>
          <t>服饰穿搭</t>
        </is>
      </c>
      <c r="U4510" t="inlineStr">
        <is>
          <t>女装</t>
        </is>
      </c>
      <c r="V4510" s="3">
        <v>46128.98467592592</v>
      </c>
      <c r="W4510" t="inlineStr">
        <is>
          <t>2026-Q2</t>
        </is>
      </c>
    </row>
    <row r="4511" ht="25.5" customHeight="1">
      <c r="A4511" t="inlineStr">
        <is>
          <t>春夏新款美式复古水洗做旧高腰阔腿牛仔裤女显瘦垂感微喇拖地裤</t>
        </is>
      </c>
      <c r="B4511" t="inlineStr">
        <is>
          <t>__upload_recvgY7N5z8DB0.jpg</t>
        </is>
      </c>
      <c r="C4511" s="2" t="str">
        <f>=HYPERLINK("https://xhslink.com/m/Ix00ICrEQe", "https://xhslink.com/m/Ix00ICrEQe")</f>
        <v>https://xhslink.com/m/Ix00ICrEQe</v>
      </c>
      <c r="D4511"/>
      <c r="E4511">
        <v>715</v>
      </c>
      <c r="F4511">
        <v>135</v>
      </c>
      <c r="G4511"/>
      <c r="H4511">
        <v>100</v>
      </c>
      <c r="I4511" t="inlineStr">
        <is>
          <t>裤子</t>
        </is>
      </c>
      <c r="J4511" t="inlineStr">
        <is>
          <t>0.14</t>
        </is>
      </c>
      <c r="K4511"/>
      <c r="L4511" t="inlineStr">
        <is>
          <t>UUUU米的店</t>
        </is>
      </c>
      <c r="M4511">
        <v>2737</v>
      </c>
      <c r="N4511">
        <v>4.57</v>
      </c>
      <c r="O4511">
        <v>3253</v>
      </c>
      <c r="P4511" t="inlineStr">
        <is>
          <t>6937d18919f8df00152766de</t>
        </is>
      </c>
      <c r="Q4511" t="inlineStr">
        <is>
          <t>🚫重复</t>
        </is>
      </c>
      <c r="R4511" t="inlineStr">
        <is>
          <t>16周</t>
        </is>
      </c>
      <c r="S4511" t="inlineStr">
        <is>
          <t>0.26</t>
        </is>
      </c>
      <c r="T4511" t="inlineStr">
        <is>
          <t>服饰穿搭</t>
        </is>
      </c>
      <c r="U4511" t="inlineStr">
        <is>
          <t>女装</t>
        </is>
      </c>
      <c r="V4511" s="3">
        <v>46128.98467592592</v>
      </c>
      <c r="W4511" t="inlineStr">
        <is>
          <t>2026-Q2</t>
        </is>
      </c>
    </row>
    <row r="4512" ht="25.5" customHeight="1">
      <c r="A4512" t="inlineStr">
        <is>
          <t>高个子【加长女裤】卡其色牛仔裤女2026新款高腰美式阔腿伐木裤子</t>
        </is>
      </c>
      <c r="B4512" t="inlineStr">
        <is>
          <t>__upload_recvgY7N5zYdOn.jpg</t>
        </is>
      </c>
      <c r="C4512" s="2" t="str">
        <f>=HYPERLINK("https://xhslink.com/m/16Pv1WCXO3w", "https://xhslink.com/m/16Pv1WCXO3w")</f>
        <v>https://xhslink.com/m/16Pv1WCXO3w</v>
      </c>
      <c r="D4512"/>
      <c r="E4512">
        <v>3692</v>
      </c>
      <c r="F4512">
        <v>189</v>
      </c>
      <c r="G4512"/>
      <c r="H4512">
        <v>100</v>
      </c>
      <c r="I4512" t="inlineStr">
        <is>
          <t>裤子</t>
        </is>
      </c>
      <c r="J4512" t="inlineStr">
        <is>
          <t>0.03</t>
        </is>
      </c>
      <c r="K4512"/>
      <c r="L4512" t="inlineStr">
        <is>
          <t>Smo Miu 小缪的店</t>
        </is>
      </c>
      <c r="M4512">
        <v>1689</v>
      </c>
      <c r="N4512">
        <v>4.56</v>
      </c>
      <c r="O4512">
        <v>7986</v>
      </c>
      <c r="P4512" t="inlineStr">
        <is>
          <t>68bc5b535d27660001760beb</t>
        </is>
      </c>
      <c r="Q4512" t="inlineStr">
        <is>
          <t>🚫重复</t>
        </is>
      </c>
      <c r="R4512" t="inlineStr">
        <is>
          <t>16周</t>
        </is>
      </c>
      <c r="S4512" t="inlineStr">
        <is>
          <t>2.19</t>
        </is>
      </c>
      <c r="T4512" t="inlineStr">
        <is>
          <t>服饰穿搭</t>
        </is>
      </c>
      <c r="U4512" t="inlineStr">
        <is>
          <t>女装</t>
        </is>
      </c>
      <c r="V4512" s="3">
        <v>46128.98467592592</v>
      </c>
      <c r="W4512" t="inlineStr">
        <is>
          <t>2026-Q2</t>
        </is>
      </c>
    </row>
    <row r="4513" ht="25.5" customHeight="1">
      <c r="A4513" t="inlineStr">
        <is>
          <t>高个子【加长女裤】设计师春季新款 直筒显瘦微喇中高腰牛仔裤</t>
        </is>
      </c>
      <c r="B4513" t="inlineStr">
        <is>
          <t>__upload_recvgY7N5zAuBm.jpg</t>
        </is>
      </c>
      <c r="C4513" s="2" t="str">
        <f>=HYPERLINK("https://xhslink.com/m/4GXqW1xodUv", "https://xhslink.com/m/4GXqW1xodUv")</f>
        <v>https://xhslink.com/m/4GXqW1xodUv</v>
      </c>
      <c r="D4513"/>
      <c r="E4513">
        <v>2425</v>
      </c>
      <c r="F4513">
        <v>319</v>
      </c>
      <c r="G4513">
        <v>259</v>
      </c>
      <c r="H4513">
        <v>100</v>
      </c>
      <c r="I4513" t="inlineStr">
        <is>
          <t>裤子</t>
        </is>
      </c>
      <c r="J4513" t="inlineStr">
        <is>
          <t>0.04</t>
        </is>
      </c>
      <c r="K4513"/>
      <c r="L4513" t="inlineStr">
        <is>
          <t>Smo Miu 小缪的店</t>
        </is>
      </c>
      <c r="M4513">
        <v>1689</v>
      </c>
      <c r="N4513">
        <v>4.56</v>
      </c>
      <c r="O4513">
        <v>7986</v>
      </c>
      <c r="P4513" t="inlineStr">
        <is>
          <t>6970ef0af5bc340001cfebce</t>
        </is>
      </c>
      <c r="Q4513" t="inlineStr">
        <is>
          <t>🚫重复</t>
        </is>
      </c>
      <c r="R4513" t="inlineStr">
        <is>
          <t>16周</t>
        </is>
      </c>
      <c r="S4513" t="inlineStr">
        <is>
          <t>1.44</t>
        </is>
      </c>
      <c r="T4513" t="inlineStr">
        <is>
          <t>服饰穿搭</t>
        </is>
      </c>
      <c r="U4513" t="inlineStr">
        <is>
          <t>女装</t>
        </is>
      </c>
      <c r="V4513" s="3">
        <v>46128.98467592592</v>
      </c>
      <c r="W4513" t="inlineStr">
        <is>
          <t>2026-Q2</t>
        </is>
      </c>
    </row>
    <row r="4514" ht="25.5" customHeight="1">
      <c r="A4514" t="inlineStr">
        <is>
          <t>新款直筒小弯刀牛仔裤设计师水洗2026春季复古白色牛仔裤</t>
        </is>
      </c>
      <c r="B4514" t="inlineStr">
        <is>
          <t>__upload_recvgY7N5zcWun.jpg</t>
        </is>
      </c>
      <c r="C4514" s="2" t="str">
        <f>=HYPERLINK("https://xhslink.com/m/62MGIArM3rD", "https://xhslink.com/m/62MGIArM3rD")</f>
        <v>https://xhslink.com/m/62MGIArM3rD</v>
      </c>
      <c r="D4514"/>
      <c r="E4514">
        <v>870</v>
      </c>
      <c r="F4514">
        <v>149</v>
      </c>
      <c r="G4514"/>
      <c r="H4514">
        <v>100</v>
      </c>
      <c r="I4514" t="inlineStr">
        <is>
          <t>裤子</t>
        </is>
      </c>
      <c r="J4514" t="inlineStr">
        <is>
          <t>0.11</t>
        </is>
      </c>
      <c r="K4514"/>
      <c r="L4514" t="inlineStr">
        <is>
          <t>大大麦麦穿搭的店</t>
        </is>
      </c>
      <c r="M4514">
        <v>1160</v>
      </c>
      <c r="N4514">
        <v>4.61</v>
      </c>
      <c r="O4514">
        <v>3404</v>
      </c>
      <c r="P4514" t="inlineStr">
        <is>
          <t>69c790aa5dab9a00012048e1</t>
        </is>
      </c>
      <c r="Q4514"/>
      <c r="R4514" t="inlineStr">
        <is>
          <t>16周</t>
        </is>
      </c>
      <c r="S4514" t="inlineStr">
        <is>
          <t>0.75</t>
        </is>
      </c>
      <c r="T4514" t="inlineStr">
        <is>
          <t>服饰穿搭</t>
        </is>
      </c>
      <c r="U4514" t="inlineStr">
        <is>
          <t>女装</t>
        </is>
      </c>
      <c r="V4514" s="3">
        <v>46128.98467592592</v>
      </c>
      <c r="W4514" t="inlineStr">
        <is>
          <t>2026-Q2</t>
        </is>
      </c>
    </row>
    <row r="4515" ht="25.5" customHeight="1">
      <c r="A4515" t="inlineStr">
        <is>
          <t>宽松休闲松紧腰弯刀拼接卫裤女 运动裤春夏百搭显瘦垂感裤子</t>
        </is>
      </c>
      <c r="B4515" t="inlineStr">
        <is>
          <t>__upload_recvgY7N5z2xBZ.jpg</t>
        </is>
      </c>
      <c r="C4515" s="2" t="str">
        <f>=HYPERLINK("https://xhslink.com/m/7qlxlhcupOt", "https://xhslink.com/m/7qlxlhcupOt")</f>
        <v>https://xhslink.com/m/7qlxlhcupOt</v>
      </c>
      <c r="D4515"/>
      <c r="E4515">
        <v>857</v>
      </c>
      <c r="F4515">
        <v>88</v>
      </c>
      <c r="G4515"/>
      <c r="H4515">
        <v>100</v>
      </c>
      <c r="I4515" t="inlineStr">
        <is>
          <t>裤子</t>
        </is>
      </c>
      <c r="J4515" t="inlineStr">
        <is>
          <t>0.12</t>
        </is>
      </c>
      <c r="K4515"/>
      <c r="L4515" t="inlineStr">
        <is>
          <t>一沫制衣的店</t>
        </is>
      </c>
      <c r="M4515">
        <v>148000</v>
      </c>
      <c r="N4515">
        <v>4.67</v>
      </c>
      <c r="O4515">
        <v>955000</v>
      </c>
      <c r="P4515" t="inlineStr">
        <is>
          <t>69c12305180bf4000166a8c0</t>
        </is>
      </c>
      <c r="Q4515" t="inlineStr">
        <is>
          <t>🚫重复</t>
        </is>
      </c>
      <c r="R4515" t="inlineStr">
        <is>
          <t>16周</t>
        </is>
      </c>
      <c r="S4515" t="inlineStr">
        <is>
          <t>0.01</t>
        </is>
      </c>
      <c r="T4515" t="inlineStr">
        <is>
          <t>服饰穿搭</t>
        </is>
      </c>
      <c r="U4515" t="inlineStr">
        <is>
          <t>女装</t>
        </is>
      </c>
      <c r="V4515" s="3">
        <v>46128.98467592592</v>
      </c>
      <c r="W4515" t="inlineStr">
        <is>
          <t>2026-Q2</t>
        </is>
      </c>
    </row>
    <row r="4516" ht="25.5" customHeight="1">
      <c r="A4516" t="inlineStr">
        <is>
          <t>雅思诚 · 【夏季冰爽蚕丝微喇裤】天丝高腰高弹垂顺丝滑九分喇叭裤子筒喇裤</t>
        </is>
      </c>
      <c r="B4516" t="inlineStr">
        <is>
          <t>__upload_recvgY7N5zmwyx.jpg</t>
        </is>
      </c>
      <c r="C4516" s="2" t="str">
        <f>=HYPERLINK("https://xhslink.com/m/65COwsLHFtV", "https://xhslink.com/m/65COwsLHFtV")</f>
        <v>https://xhslink.com/m/65COwsLHFtV</v>
      </c>
      <c r="D4516"/>
      <c r="E4516">
        <v>824</v>
      </c>
      <c r="F4516">
        <v>299</v>
      </c>
      <c r="G4516">
        <v>159</v>
      </c>
      <c r="H4516">
        <v>100</v>
      </c>
      <c r="I4516" t="inlineStr">
        <is>
          <t>裤子</t>
        </is>
      </c>
      <c r="J4516" t="inlineStr">
        <is>
          <t>0.12</t>
        </is>
      </c>
      <c r="K4516"/>
      <c r="L4516" t="inlineStr">
        <is>
          <t>雅思诚旗舰店</t>
        </is>
      </c>
      <c r="M4516">
        <v>30000</v>
      </c>
      <c r="N4516">
        <v>4.63</v>
      </c>
      <c r="O4516">
        <v>59000</v>
      </c>
      <c r="P4516" t="inlineStr">
        <is>
          <t>69ba3205ca64b30001ffe69e</t>
        </is>
      </c>
      <c r="Q4516"/>
      <c r="R4516" t="inlineStr">
        <is>
          <t>16周</t>
        </is>
      </c>
      <c r="S4516" t="inlineStr">
        <is>
          <t>0.03</t>
        </is>
      </c>
      <c r="T4516" t="inlineStr">
        <is>
          <t>服饰穿搭</t>
        </is>
      </c>
      <c r="U4516" t="inlineStr">
        <is>
          <t>女装</t>
        </is>
      </c>
      <c r="V4516" s="3">
        <v>46128.98467592592</v>
      </c>
      <c r="W4516" t="inlineStr">
        <is>
          <t>2026-Q2</t>
        </is>
      </c>
    </row>
    <row r="4517" ht="25.5" customHeight="1">
      <c r="A4517" t="inlineStr">
        <is>
          <t>现货美式前口袋字母印花牛仔裤女春秋设计感小众宽松街头个性裤子</t>
        </is>
      </c>
      <c r="B4517" t="inlineStr">
        <is>
          <t>__upload_recvgY7N5zwgSp.jpg</t>
        </is>
      </c>
      <c r="C4517" s="2" t="str">
        <f>=HYPERLINK("https://xhslink.com/m/S5RIWf6zU6", "https://xhslink.com/m/S5RIWf6zU6")</f>
        <v>https://xhslink.com/m/S5RIWf6zU6</v>
      </c>
      <c r="D4517"/>
      <c r="E4517">
        <v>440</v>
      </c>
      <c r="F4517">
        <v>119</v>
      </c>
      <c r="G4517"/>
      <c r="H4517">
        <v>100</v>
      </c>
      <c r="I4517" t="inlineStr">
        <is>
          <t>裤子</t>
        </is>
      </c>
      <c r="J4517" t="inlineStr">
        <is>
          <t>0.23</t>
        </is>
      </c>
      <c r="K4517"/>
      <c r="L4517" t="inlineStr">
        <is>
          <t>ootd 十三行 每日穿搭👖的店</t>
        </is>
      </c>
      <c r="M4517">
        <v>303000</v>
      </c>
      <c r="N4517">
        <v>4.47</v>
      </c>
      <c r="O4517">
        <v>686000</v>
      </c>
      <c r="P4517" t="inlineStr">
        <is>
          <t>69b82a7707995e00016db106</t>
        </is>
      </c>
      <c r="Q4517" t="inlineStr">
        <is>
          <t>🚫重复</t>
        </is>
      </c>
      <c r="R4517" t="inlineStr">
        <is>
          <t>16周</t>
        </is>
      </c>
      <c r="S4517" t="inlineStr">
        <is>
          <t>0.00</t>
        </is>
      </c>
      <c r="T4517" t="inlineStr">
        <is>
          <t>服饰穿搭</t>
        </is>
      </c>
      <c r="U4517" t="inlineStr">
        <is>
          <t>女装</t>
        </is>
      </c>
      <c r="V4517" s="3">
        <v>46128.98467592592</v>
      </c>
      <c r="W4517" t="inlineStr">
        <is>
          <t>2026-Q2</t>
        </is>
      </c>
    </row>
    <row r="4518" ht="25.5" customHeight="1">
      <c r="A4518" t="inlineStr">
        <is>
          <t>26早春窄版直筒裤四面弹宽马蹄裤脚松弛氛围感5色s~xxl不压小个子</t>
        </is>
      </c>
      <c r="B4518" t="inlineStr">
        <is>
          <t>__upload_recvgY7N5zRct2.jpg</t>
        </is>
      </c>
      <c r="C4518" s="2" t="str">
        <f>=HYPERLINK("https://xhslink.com/m/6EE71u4VFn0", "https://xhslink.com/m/6EE71u4VFn0")</f>
        <v>https://xhslink.com/m/6EE71u4VFn0</v>
      </c>
      <c r="D4518"/>
      <c r="E4518">
        <v>1426</v>
      </c>
      <c r="F4518">
        <v>249</v>
      </c>
      <c r="G4518">
        <v>239</v>
      </c>
      <c r="H4518">
        <v>100</v>
      </c>
      <c r="I4518" t="inlineStr">
        <is>
          <t>裤子</t>
        </is>
      </c>
      <c r="J4518" t="inlineStr">
        <is>
          <t>0.07</t>
        </is>
      </c>
      <c r="K4518"/>
      <c r="L4518" t="inlineStr">
        <is>
          <t>爱穿搭de大麦麦私服社的店</t>
        </is>
      </c>
      <c r="M4518">
        <v>14000</v>
      </c>
      <c r="N4518">
        <v>4.75</v>
      </c>
      <c r="O4518">
        <v>33000</v>
      </c>
      <c r="P4518" t="inlineStr">
        <is>
          <t>699ff02b63db6a0015d59580</t>
        </is>
      </c>
      <c r="Q4518" t="inlineStr">
        <is>
          <t>🚫重复</t>
        </is>
      </c>
      <c r="R4518" t="inlineStr">
        <is>
          <t>16周</t>
        </is>
      </c>
      <c r="S4518" t="inlineStr">
        <is>
          <t>0.10</t>
        </is>
      </c>
      <c r="T4518" t="inlineStr">
        <is>
          <t>服饰穿搭</t>
        </is>
      </c>
      <c r="U4518" t="inlineStr">
        <is>
          <t>女装</t>
        </is>
      </c>
      <c r="V4518" s="3">
        <v>46128.98467592592</v>
      </c>
      <c r="W4518" t="inlineStr">
        <is>
          <t>2026-Q2</t>
        </is>
      </c>
    </row>
    <row r="4519" ht="25.5" customHeight="1">
      <c r="A4519" t="inlineStr">
        <is>
          <t>重磅推荐！2026春夏新款日系休闲阔腿宽松抗皱九分气球裤女</t>
        </is>
      </c>
      <c r="B4519" t="inlineStr">
        <is>
          <t>__upload_recvgY7N5z8X7Y.jpg</t>
        </is>
      </c>
      <c r="C4519" s="2" t="str">
        <f>=HYPERLINK("https://xhslink.com/m/7jHURO5mKxA", "https://xhslink.com/m/7jHURO5mKxA")</f>
        <v>https://xhslink.com/m/7jHURO5mKxA</v>
      </c>
      <c r="D4519"/>
      <c r="E4519">
        <v>585</v>
      </c>
      <c r="F4519">
        <v>165</v>
      </c>
      <c r="G4519"/>
      <c r="H4519">
        <v>100</v>
      </c>
      <c r="I4519" t="inlineStr">
        <is>
          <t>裤子</t>
        </is>
      </c>
      <c r="J4519" t="inlineStr">
        <is>
          <t>0.17</t>
        </is>
      </c>
      <c r="K4519"/>
      <c r="L4519" t="inlineStr">
        <is>
          <t>言的言呀的店</t>
        </is>
      </c>
      <c r="M4519">
        <v>916</v>
      </c>
      <c r="N4519">
        <v>4.61</v>
      </c>
      <c r="O4519">
        <v>9439</v>
      </c>
      <c r="P4519" t="inlineStr">
        <is>
          <t>69bff404ec6664000120452d</t>
        </is>
      </c>
      <c r="Q4519"/>
      <c r="R4519" t="inlineStr">
        <is>
          <t>16周</t>
        </is>
      </c>
      <c r="S4519" t="inlineStr">
        <is>
          <t>0.64</t>
        </is>
      </c>
      <c r="T4519" t="inlineStr">
        <is>
          <t>服饰穿搭</t>
        </is>
      </c>
      <c r="U4519" t="inlineStr">
        <is>
          <t>女装</t>
        </is>
      </c>
      <c r="V4519" s="3">
        <v>46128.98467592592</v>
      </c>
      <c r="W4519" t="inlineStr">
        <is>
          <t>2026-Q2</t>
        </is>
      </c>
    </row>
    <row r="4520" ht="25.5" customHeight="1">
      <c r="A4520" t="inlineStr">
        <is>
          <t>意大利原色直筒牛仔裤</t>
        </is>
      </c>
      <c r="B4520" t="inlineStr">
        <is>
          <t>__upload_recvgY7N5z0888.jpg</t>
        </is>
      </c>
      <c r="C4520" s="2" t="str">
        <f>=HYPERLINK("https://xhslink.com/m/3sOWEzLWOve", "https://xhslink.com/m/3sOWEzLWOve")</f>
        <v>https://xhslink.com/m/3sOWEzLWOve</v>
      </c>
      <c r="D4520"/>
      <c r="E4520">
        <v>10000</v>
      </c>
      <c r="F4520">
        <v>588</v>
      </c>
      <c r="G4520"/>
      <c r="H4520">
        <v>100</v>
      </c>
      <c r="I4520" t="inlineStr">
        <is>
          <t>裤子</t>
        </is>
      </c>
      <c r="J4520" t="inlineStr">
        <is>
          <t>0.01</t>
        </is>
      </c>
      <c r="K4520"/>
      <c r="L4520" t="inlineStr">
        <is>
          <t>高坂大叔的店</t>
        </is>
      </c>
      <c r="M4520">
        <v>116000</v>
      </c>
      <c r="N4520">
        <v>4.75</v>
      </c>
      <c r="O4520">
        <v>471000</v>
      </c>
      <c r="P4520" t="inlineStr">
        <is>
          <t>682b33829a32770001c17cf2</t>
        </is>
      </c>
      <c r="Q4520" t="inlineStr">
        <is>
          <t>🚫重复</t>
        </is>
      </c>
      <c r="R4520" t="inlineStr">
        <is>
          <t>16周</t>
        </is>
      </c>
      <c r="S4520" t="inlineStr">
        <is>
          <t>0.09</t>
        </is>
      </c>
      <c r="T4520" t="inlineStr">
        <is>
          <t>服饰穿搭</t>
        </is>
      </c>
      <c r="U4520" t="inlineStr">
        <is>
          <t>女装</t>
        </is>
      </c>
      <c r="V4520" s="3">
        <v>46128.98467592592</v>
      </c>
      <c r="W4520" t="inlineStr">
        <is>
          <t>2026-Q2</t>
        </is>
      </c>
    </row>
    <row r="4521" ht="25.5" customHeight="1">
      <c r="A4521" t="inlineStr">
        <is>
          <t>右单元 · Rightcell「闪电裤」四面弹微喇牛仔裤女2026春季修身喇叭裤</t>
        </is>
      </c>
      <c r="B4521" t="inlineStr">
        <is>
          <t>__upload_recvgY7N5zWT89.jpg</t>
        </is>
      </c>
      <c r="C4521" s="2" t="str">
        <f>=HYPERLINK("https://xhslink.com/m/6WORPnrp058", "https://xhslink.com/m/6WORPnrp058")</f>
        <v>https://xhslink.com/m/6WORPnrp058</v>
      </c>
      <c r="D4521"/>
      <c r="E4521">
        <v>1966</v>
      </c>
      <c r="F4521">
        <v>419.99</v>
      </c>
      <c r="G4521">
        <v>369.59</v>
      </c>
      <c r="H4521">
        <v>100</v>
      </c>
      <c r="I4521" t="inlineStr">
        <is>
          <t>裤子</t>
        </is>
      </c>
      <c r="J4521" t="inlineStr">
        <is>
          <t>0.05</t>
        </is>
      </c>
      <c r="K4521"/>
      <c r="L4521" t="inlineStr">
        <is>
          <t>右单元 Rightcell旗舰店</t>
        </is>
      </c>
      <c r="M4521">
        <v>56000</v>
      </c>
      <c r="N4521">
        <v>4.6</v>
      </c>
      <c r="O4521">
        <v>398000</v>
      </c>
      <c r="P4521" t="inlineStr">
        <is>
          <t>696a04c15e8e2700152ed0c8</t>
        </is>
      </c>
      <c r="Q4521" t="inlineStr">
        <is>
          <t>🚫重复</t>
        </is>
      </c>
      <c r="R4521" t="inlineStr">
        <is>
          <t>16周</t>
        </is>
      </c>
      <c r="S4521" t="inlineStr">
        <is>
          <t>0.04</t>
        </is>
      </c>
      <c r="T4521" t="inlineStr">
        <is>
          <t>服饰穿搭</t>
        </is>
      </c>
      <c r="U4521" t="inlineStr">
        <is>
          <t>女装</t>
        </is>
      </c>
      <c r="V4521" s="3">
        <v>46128.98467592592</v>
      </c>
      <c r="W4521" t="inlineStr">
        <is>
          <t>2026-Q2</t>
        </is>
      </c>
    </row>
    <row r="4522" ht="25.5" customHeight="1">
      <c r="A4522" t="inlineStr">
        <is>
          <t>WR · 颜色超级好看的•是属于小个子女生的微喇裤 高腰弹力九分裤女</t>
        </is>
      </c>
      <c r="B4522" t="inlineStr">
        <is>
          <t>__upload_recvgY7N5zUvIj.jpg</t>
        </is>
      </c>
      <c r="C4522" s="2" t="str">
        <f>=HYPERLINK("https://xhslink.com/m/7vBWJPaKuEK", "https://xhslink.com/m/7vBWJPaKuEK")</f>
        <v>https://xhslink.com/m/7vBWJPaKuEK</v>
      </c>
      <c r="D4522"/>
      <c r="E4522">
        <v>2730</v>
      </c>
      <c r="F4522">
        <v>279</v>
      </c>
      <c r="G4522">
        <v>269</v>
      </c>
      <c r="H4522">
        <v>100</v>
      </c>
      <c r="I4522" t="inlineStr">
        <is>
          <t>裤子</t>
        </is>
      </c>
      <c r="J4522" t="inlineStr">
        <is>
          <t>0.04</t>
        </is>
      </c>
      <c r="K4522"/>
      <c r="L4522" t="inlineStr">
        <is>
          <t>WR牛仔裤的店</t>
        </is>
      </c>
      <c r="M4522">
        <v>4728</v>
      </c>
      <c r="N4522">
        <v>4.37</v>
      </c>
      <c r="O4522">
        <v>11000</v>
      </c>
      <c r="P4522" t="inlineStr">
        <is>
          <t>69528ac8b1e66600017c3bb6</t>
        </is>
      </c>
      <c r="Q4522"/>
      <c r="R4522" t="inlineStr">
        <is>
          <t>16周</t>
        </is>
      </c>
      <c r="S4522" t="inlineStr">
        <is>
          <t>0.58</t>
        </is>
      </c>
      <c r="T4522" t="inlineStr">
        <is>
          <t>服饰穿搭</t>
        </is>
      </c>
      <c r="U4522" t="inlineStr">
        <is>
          <t>女装</t>
        </is>
      </c>
      <c r="V4522" s="3">
        <v>46128.98467592592</v>
      </c>
      <c r="W4522" t="inlineStr">
        <is>
          <t>2026-Q2</t>
        </is>
      </c>
    </row>
    <row r="4523" ht="25.5" customHeight="1">
      <c r="A4523" t="inlineStr">
        <is>
          <t>右单元 · 四面弹烟管裤「直腿神器」中高腰显瘦九分牛仔裤女春秋</t>
        </is>
      </c>
      <c r="B4523" t="inlineStr">
        <is>
          <t>__upload_recvgY7N5zQa8t.jpg</t>
        </is>
      </c>
      <c r="C4523" s="2" t="str">
        <f>=HYPERLINK("https://xhslink.com/m/1JVtlhHbJzW", "https://xhslink.com/m/1JVtlhHbJzW")</f>
        <v>https://xhslink.com/m/1JVtlhHbJzW</v>
      </c>
      <c r="D4523"/>
      <c r="E4523">
        <v>2872</v>
      </c>
      <c r="F4523">
        <v>459.99</v>
      </c>
      <c r="G4523">
        <v>404.79</v>
      </c>
      <c r="H4523">
        <v>100</v>
      </c>
      <c r="I4523" t="inlineStr">
        <is>
          <t>裤子</t>
        </is>
      </c>
      <c r="J4523" t="inlineStr">
        <is>
          <t>0.03</t>
        </is>
      </c>
      <c r="K4523"/>
      <c r="L4523" t="inlineStr">
        <is>
          <t>右单元 Rightcell旗舰店</t>
        </is>
      </c>
      <c r="M4523">
        <v>56000</v>
      </c>
      <c r="N4523">
        <v>4.6</v>
      </c>
      <c r="O4523">
        <v>398000</v>
      </c>
      <c r="P4523" t="inlineStr">
        <is>
          <t>672993f3cc0c3a0001ef64c4</t>
        </is>
      </c>
      <c r="Q4523" t="inlineStr">
        <is>
          <t>🚫重复</t>
        </is>
      </c>
      <c r="R4523" t="inlineStr">
        <is>
          <t>16周</t>
        </is>
      </c>
      <c r="S4523" t="inlineStr">
        <is>
          <t>0.05</t>
        </is>
      </c>
      <c r="T4523" t="inlineStr">
        <is>
          <t>服饰穿搭</t>
        </is>
      </c>
      <c r="U4523" t="inlineStr">
        <is>
          <t>女装</t>
        </is>
      </c>
      <c r="V4523" s="3">
        <v>46128.98467592592</v>
      </c>
      <c r="W4523" t="inlineStr">
        <is>
          <t>2026-Q2</t>
        </is>
      </c>
    </row>
    <row r="4524" ht="25.5" customHeight="1">
      <c r="A4524" t="inlineStr">
        <is>
          <t>【梦幻银河】满天星细碎烫钻！提花直筒显瘦高腰国风休闲裤H0002</t>
        </is>
      </c>
      <c r="B4524" t="inlineStr">
        <is>
          <t>__upload_recvgY7N5z6Qrr.jpg</t>
        </is>
      </c>
      <c r="C4524" s="2" t="str">
        <f>=HYPERLINK("https://xhslink.com/m/A48Pq8HPOsc", "https://xhslink.com/m/A48Pq8HPOsc")</f>
        <v>https://xhslink.com/m/A48Pq8HPOsc</v>
      </c>
      <c r="D4524"/>
      <c r="E4524">
        <v>881</v>
      </c>
      <c r="F4524">
        <v>450</v>
      </c>
      <c r="G4524">
        <v>396</v>
      </c>
      <c r="H4524">
        <v>100</v>
      </c>
      <c r="I4524" t="inlineStr">
        <is>
          <t>裤子</t>
        </is>
      </c>
      <c r="J4524" t="inlineStr">
        <is>
          <t>0.11</t>
        </is>
      </c>
      <c r="K4524"/>
      <c r="L4524" t="inlineStr">
        <is>
          <t>认真的SOPHY企业店的店</t>
        </is>
      </c>
      <c r="M4524">
        <v>1365</v>
      </c>
      <c r="N4524">
        <v>4.83</v>
      </c>
      <c r="O4524">
        <v>9393</v>
      </c>
      <c r="P4524" t="inlineStr">
        <is>
          <t>69bb93830ac79f00017fffeb</t>
        </is>
      </c>
      <c r="Q4524"/>
      <c r="R4524" t="inlineStr">
        <is>
          <t>16周</t>
        </is>
      </c>
      <c r="S4524" t="inlineStr">
        <is>
          <t>0.65</t>
        </is>
      </c>
      <c r="T4524" t="inlineStr">
        <is>
          <t>服饰穿搭</t>
        </is>
      </c>
      <c r="U4524" t="inlineStr">
        <is>
          <t>女装</t>
        </is>
      </c>
      <c r="V4524" s="3">
        <v>46128.98467592592</v>
      </c>
      <c r="W4524" t="inlineStr">
        <is>
          <t>2026-Q2</t>
        </is>
      </c>
    </row>
    <row r="4525" ht="25.5" customHeight="1">
      <c r="A4525" t="inlineStr">
        <is>
          <t>浪清/LANGQING【敬业裤】舒适直筒半橡筋九分休闲裤47816/47915#</t>
        </is>
      </c>
      <c r="B4525" t="inlineStr">
        <is>
          <t>__upload_recvgY7N5zgCPu.jpg</t>
        </is>
      </c>
      <c r="C4525" s="2" t="str">
        <f>=HYPERLINK("https://xhslink.com/m/kiXUBC5vYZ", "https://xhslink.com/m/kiXUBC5vYZ")</f>
        <v>https://xhslink.com/m/kiXUBC5vYZ</v>
      </c>
      <c r="D4525"/>
      <c r="E4525">
        <v>945</v>
      </c>
      <c r="F4525">
        <v>199</v>
      </c>
      <c r="G4525"/>
      <c r="H4525">
        <v>100</v>
      </c>
      <c r="I4525" t="inlineStr">
        <is>
          <t>裤子</t>
        </is>
      </c>
      <c r="J4525" t="inlineStr">
        <is>
          <t>0.11</t>
        </is>
      </c>
      <c r="K4525"/>
      <c r="L4525" t="inlineStr">
        <is>
          <t>LANGQING二号的店</t>
        </is>
      </c>
      <c r="M4525">
        <v>552</v>
      </c>
      <c r="N4525">
        <v>4.63</v>
      </c>
      <c r="O4525">
        <v>12000</v>
      </c>
      <c r="P4525" t="inlineStr">
        <is>
          <t>69b53399bb76760015e52307</t>
        </is>
      </c>
      <c r="Q4525"/>
      <c r="R4525" t="inlineStr">
        <is>
          <t>16周</t>
        </is>
      </c>
      <c r="S4525" t="inlineStr">
        <is>
          <t>1.71</t>
        </is>
      </c>
      <c r="T4525" t="inlineStr">
        <is>
          <t>服饰穿搭</t>
        </is>
      </c>
      <c r="U4525" t="inlineStr">
        <is>
          <t>女装</t>
        </is>
      </c>
      <c r="V4525" s="3">
        <v>46128.98467592592</v>
      </c>
      <c r="W4525" t="inlineStr">
        <is>
          <t>2026-Q2</t>
        </is>
      </c>
    </row>
    <row r="4526" ht="25.5" customHeight="1">
      <c r="A4526" t="inlineStr">
        <is>
          <t>春夏薄棉高级感垂坠透气不易皱阔腿弯刀裤弧形裁剪宽松显瘦休闲裤</t>
        </is>
      </c>
      <c r="B4526" t="inlineStr">
        <is>
          <t>__upload_recvgY7N5zEyOl.jpg</t>
        </is>
      </c>
      <c r="C4526" s="2" t="str">
        <f>=HYPERLINK("https://xhslink.com/m/8lWjnq2hvyf", "https://xhslink.com/m/8lWjnq2hvyf")</f>
        <v>https://xhslink.com/m/8lWjnq2hvyf</v>
      </c>
      <c r="D4526"/>
      <c r="E4526">
        <v>884</v>
      </c>
      <c r="F4526">
        <v>259</v>
      </c>
      <c r="G4526">
        <v>249</v>
      </c>
      <c r="H4526">
        <v>100</v>
      </c>
      <c r="I4526" t="inlineStr">
        <is>
          <t>裤子</t>
        </is>
      </c>
      <c r="J4526" t="inlineStr">
        <is>
          <t>0.11</t>
        </is>
      </c>
      <c r="K4526"/>
      <c r="L4526" t="inlineStr">
        <is>
          <t>ITS OK.的店</t>
        </is>
      </c>
      <c r="M4526">
        <v>3930</v>
      </c>
      <c r="N4526">
        <v>4.75</v>
      </c>
      <c r="O4526">
        <v>10000</v>
      </c>
      <c r="P4526" t="inlineStr">
        <is>
          <t>69ac29923014430001e9573e</t>
        </is>
      </c>
      <c r="Q4526" t="inlineStr">
        <is>
          <t>🚫重复</t>
        </is>
      </c>
      <c r="R4526" t="inlineStr">
        <is>
          <t>16周</t>
        </is>
      </c>
      <c r="S4526" t="inlineStr">
        <is>
          <t>0.22</t>
        </is>
      </c>
      <c r="T4526" t="inlineStr">
        <is>
          <t>服饰穿搭</t>
        </is>
      </c>
      <c r="U4526" t="inlineStr">
        <is>
          <t>女装</t>
        </is>
      </c>
      <c r="V4526" s="3">
        <v>46128.98467592592</v>
      </c>
      <c r="W4526" t="inlineStr">
        <is>
          <t>2026-Q2</t>
        </is>
      </c>
    </row>
    <row r="4527" ht="25.5" customHeight="1">
      <c r="A4527" t="inlineStr">
        <is>
          <t>黑色三粒扣休闲阔腿裤女2026春夏新款中高腰慵懒感显瘦垂感西装裤</t>
        </is>
      </c>
      <c r="B4527" t="inlineStr">
        <is>
          <t>__upload_recvgY7N5zDWig.jpg</t>
        </is>
      </c>
      <c r="C4527" s="2" t="str">
        <f>=HYPERLINK("https://xhslink.com/m/AktR7AGdMzb", "https://xhslink.com/m/AktR7AGdMzb")</f>
        <v>https://xhslink.com/m/AktR7AGdMzb</v>
      </c>
      <c r="D4527"/>
      <c r="E4527">
        <v>408</v>
      </c>
      <c r="F4527">
        <v>118</v>
      </c>
      <c r="G4527">
        <v>88</v>
      </c>
      <c r="H4527">
        <v>100</v>
      </c>
      <c r="I4527" t="inlineStr">
        <is>
          <t>裤子</t>
        </is>
      </c>
      <c r="J4527" t="inlineStr">
        <is>
          <t>0.25</t>
        </is>
      </c>
      <c r="K4527"/>
      <c r="L4527" t="inlineStr">
        <is>
          <t>总是被夸漂亮的店</t>
        </is>
      </c>
      <c r="M4527">
        <v>34000</v>
      </c>
      <c r="N4527">
        <v>4.41</v>
      </c>
      <c r="O4527">
        <v>229000</v>
      </c>
      <c r="P4527" t="inlineStr">
        <is>
          <t>69b2e0021b6b3f0001b21572</t>
        </is>
      </c>
      <c r="Q4527" t="inlineStr">
        <is>
          <t>🚫重复</t>
        </is>
      </c>
      <c r="R4527" t="inlineStr">
        <is>
          <t>16周</t>
        </is>
      </c>
      <c r="S4527" t="inlineStr">
        <is>
          <t>0.01</t>
        </is>
      </c>
      <c r="T4527" t="inlineStr">
        <is>
          <t>服饰穿搭</t>
        </is>
      </c>
      <c r="U4527" t="inlineStr">
        <is>
          <t>女装</t>
        </is>
      </c>
      <c r="V4527" s="3">
        <v>46128.98467592592</v>
      </c>
      <c r="W4527" t="inlineStr">
        <is>
          <t>2026-Q2</t>
        </is>
      </c>
    </row>
    <row r="4528" ht="25.5" customHeight="1">
      <c r="A4528" t="inlineStr">
        <is>
          <t>LISADENG"凉夏常青"天丝亚麻感软糯垂感夏季显瘦藏肉休闲阔腿裤</t>
        </is>
      </c>
      <c r="B4528" t="inlineStr">
        <is>
          <t>__upload_recvgY7N5zpf48.jpg</t>
        </is>
      </c>
      <c r="C4528" s="2" t="str">
        <f>=HYPERLINK("https://xhslink.com/m/AeTxHxi1PGT", "https://xhslink.com/m/AeTxHxi1PGT")</f>
        <v>https://xhslink.com/m/AeTxHxi1PGT</v>
      </c>
      <c r="D4528"/>
      <c r="E4528">
        <v>400</v>
      </c>
      <c r="F4528">
        <v>489</v>
      </c>
      <c r="G4528">
        <v>389</v>
      </c>
      <c r="H4528">
        <v>100</v>
      </c>
      <c r="I4528" t="inlineStr">
        <is>
          <t>裤子</t>
        </is>
      </c>
      <c r="J4528" t="inlineStr">
        <is>
          <t>0.25</t>
        </is>
      </c>
      <c r="K4528"/>
      <c r="L4528" t="inlineStr">
        <is>
          <t>LISADENGEE的店</t>
        </is>
      </c>
      <c r="M4528">
        <v>382000</v>
      </c>
      <c r="N4528">
        <v>4.55</v>
      </c>
      <c r="O4528">
        <v>611000</v>
      </c>
      <c r="P4528" t="inlineStr">
        <is>
          <t>69d885fa953e440001075504</t>
        </is>
      </c>
      <c r="Q4528" t="inlineStr">
        <is>
          <t>🚫重复</t>
        </is>
      </c>
      <c r="R4528" t="inlineStr">
        <is>
          <t>16周</t>
        </is>
      </c>
      <c r="S4528" t="inlineStr">
        <is>
          <t>0.00</t>
        </is>
      </c>
      <c r="T4528" t="inlineStr">
        <is>
          <t>服饰穿搭</t>
        </is>
      </c>
      <c r="U4528" t="inlineStr">
        <is>
          <t>女装</t>
        </is>
      </c>
      <c r="V4528" s="3">
        <v>46128.98467592592</v>
      </c>
      <c r="W4528" t="inlineStr">
        <is>
          <t>2026-Q2</t>
        </is>
      </c>
    </row>
    <row r="4529" ht="25.5" customHeight="1">
      <c r="A4529" t="inlineStr">
        <is>
          <t>2026春夏新款儿童运动鞋男女童泡芙德训潮鞋网红软底休闲透气网鞋</t>
        </is>
      </c>
      <c r="B4529" t="inlineStr">
        <is>
          <t>__upload_recvgY7N5z5kxq.jpg</t>
        </is>
      </c>
      <c r="C4529" s="2" t="str">
        <f>=HYPERLINK("https://xhslink.com/m/3nPLarYTugl", "https://xhslink.com/m/3nPLarYTugl")</f>
        <v>https://xhslink.com/m/3nPLarYTugl</v>
      </c>
      <c r="D4529"/>
      <c r="E4529">
        <v>2246</v>
      </c>
      <c r="F4529">
        <v>55.9</v>
      </c>
      <c r="G4529"/>
      <c r="H4529">
        <v>100</v>
      </c>
      <c r="I4529" t="inlineStr">
        <is>
          <t>儿童鞋</t>
        </is>
      </c>
      <c r="J4529" t="inlineStr">
        <is>
          <t>0.04</t>
        </is>
      </c>
      <c r="K4529" t="inlineStr">
        <is>
          <t>🔥低粉爆款</t>
        </is>
      </c>
      <c r="L4529" t="inlineStr">
        <is>
          <t>是阿贝贝的店</t>
        </is>
      </c>
      <c r="M4529">
        <v>214</v>
      </c>
      <c r="N4529">
        <v>4.69</v>
      </c>
      <c r="O4529">
        <v>2925</v>
      </c>
      <c r="P4529" t="inlineStr">
        <is>
          <t>680107df8d1e0200019c181e</t>
        </is>
      </c>
      <c r="Q4529"/>
      <c r="R4529" t="inlineStr">
        <is>
          <t>16周</t>
        </is>
      </c>
      <c r="S4529" t="inlineStr">
        <is>
          <t>10.50</t>
        </is>
      </c>
      <c r="T4529" t="inlineStr">
        <is>
          <t>母婴亲子</t>
        </is>
      </c>
      <c r="U4529" t="inlineStr">
        <is>
          <t>童装童鞋</t>
        </is>
      </c>
      <c r="V4529" s="3">
        <v>46128.98467592592</v>
      </c>
      <c r="W4529" t="inlineStr">
        <is>
          <t>2026-Q2</t>
        </is>
      </c>
    </row>
    <row r="4530" ht="25.5" customHeight="1">
      <c r="A4530" t="inlineStr">
        <is>
          <t>宝宝步前鞋春夏软底点胶防滑小月龄学步鞋魔术贴不易摔新生儿鞋子</t>
        </is>
      </c>
      <c r="B4530" t="inlineStr">
        <is>
          <t>__upload_recvgY7N5zMlCJ.jpg</t>
        </is>
      </c>
      <c r="C4530" s="2" t="str">
        <f>=HYPERLINK("https://xhslink.com/m/6RyMWGEI6Ej", "https://xhslink.com/m/6RyMWGEI6Ej")</f>
        <v>https://xhslink.com/m/6RyMWGEI6Ej</v>
      </c>
      <c r="D4530"/>
      <c r="E4530">
        <v>6229</v>
      </c>
      <c r="F4530">
        <v>29.8</v>
      </c>
      <c r="G4530">
        <v>28.8</v>
      </c>
      <c r="H4530">
        <v>100</v>
      </c>
      <c r="I4530" t="inlineStr">
        <is>
          <t>宝宝鞋</t>
        </is>
      </c>
      <c r="J4530" t="inlineStr">
        <is>
          <t>0.02</t>
        </is>
      </c>
      <c r="K4530" t="inlineStr">
        <is>
          <t>🔥低粉爆款</t>
        </is>
      </c>
      <c r="L4530" t="inlineStr">
        <is>
          <t>浠浠酱呀的店</t>
        </is>
      </c>
      <c r="M4530">
        <v>199</v>
      </c>
      <c r="N4530">
        <v>4.65</v>
      </c>
      <c r="O4530">
        <v>9960</v>
      </c>
      <c r="P4530" t="inlineStr">
        <is>
          <t>69a2b52b79e41000150d1bee</t>
        </is>
      </c>
      <c r="Q4530" t="inlineStr">
        <is>
          <t>🚫重复</t>
        </is>
      </c>
      <c r="R4530" t="inlineStr">
        <is>
          <t>16周</t>
        </is>
      </c>
      <c r="S4530" t="inlineStr">
        <is>
          <t>31.30</t>
        </is>
      </c>
      <c r="T4530" t="inlineStr">
        <is>
          <t>母婴亲子</t>
        </is>
      </c>
      <c r="U4530" t="inlineStr">
        <is>
          <t>童装童鞋</t>
        </is>
      </c>
      <c r="V4530" s="3">
        <v>46128.98467592592</v>
      </c>
      <c r="W4530" t="inlineStr">
        <is>
          <t>2026-Q2</t>
        </is>
      </c>
    </row>
    <row r="4531" ht="25.5" customHeight="1">
      <c r="A4531" t="inlineStr">
        <is>
          <t>2026夏季新款小童休闲运动凉鞋男女宝宝潮流百搭学步沙滩鞋子防滑</t>
        </is>
      </c>
      <c r="B4531" t="inlineStr">
        <is>
          <t>__upload_recvgY7N5z5M8c.jpg</t>
        </is>
      </c>
      <c r="C4531" s="2" t="str">
        <f>=HYPERLINK("https://xhslink.com/m/5cWdyfaU1Kh", "https://xhslink.com/m/5cWdyfaU1Kh")</f>
        <v>https://xhslink.com/m/5cWdyfaU1Kh</v>
      </c>
      <c r="D4531"/>
      <c r="E4531">
        <v>688</v>
      </c>
      <c r="F4531">
        <v>149.9</v>
      </c>
      <c r="G4531">
        <v>99.9</v>
      </c>
      <c r="H4531">
        <v>100</v>
      </c>
      <c r="I4531" t="inlineStr">
        <is>
          <t>宝宝鞋</t>
        </is>
      </c>
      <c r="J4531" t="inlineStr">
        <is>
          <t>0.15</t>
        </is>
      </c>
      <c r="K4531"/>
      <c r="L4531" t="inlineStr">
        <is>
          <t>逗宝妈妈家的童品的店</t>
        </is>
      </c>
      <c r="M4531">
        <v>34000</v>
      </c>
      <c r="N4531">
        <v>4.58</v>
      </c>
      <c r="O4531">
        <v>11000</v>
      </c>
      <c r="P4531" t="inlineStr">
        <is>
          <t>6800c0b89dab1100158ed814</t>
        </is>
      </c>
      <c r="Q4531"/>
      <c r="R4531" t="inlineStr">
        <is>
          <t>16周</t>
        </is>
      </c>
      <c r="S4531" t="inlineStr">
        <is>
          <t>0.02</t>
        </is>
      </c>
      <c r="T4531" t="inlineStr">
        <is>
          <t>服饰穿搭</t>
        </is>
      </c>
      <c r="U4531" t="inlineStr">
        <is>
          <t>鞋靴箱包</t>
        </is>
      </c>
      <c r="V4531" s="3">
        <v>46128.98467592592</v>
      </c>
      <c r="W4531" t="inlineStr">
        <is>
          <t>2026-Q2</t>
        </is>
      </c>
    </row>
    <row r="4532" ht="25.5" customHeight="1">
      <c r="A4532" t="inlineStr">
        <is>
          <t>mutong牧童 · 耐米熊瑕疵盲盒 颜色款式随机男女童宝宝鞋/不退不换/介意慎拍</t>
        </is>
      </c>
      <c r="B4532" t="inlineStr">
        <is>
          <t>__upload_recvgY7N5zNi4u.jpg</t>
        </is>
      </c>
      <c r="C4532" s="2" t="str">
        <f>=HYPERLINK("https://xhslink.com/m/2VmJtDpwSm8", "https://xhslink.com/m/2VmJtDpwSm8")</f>
        <v>https://xhslink.com/m/2VmJtDpwSm8</v>
      </c>
      <c r="D4532"/>
      <c r="E4532">
        <v>130000</v>
      </c>
      <c r="F4532">
        <v>29</v>
      </c>
      <c r="G4532"/>
      <c r="H4532">
        <v>100</v>
      </c>
      <c r="I4532" t="inlineStr">
        <is>
          <t>宝宝鞋</t>
        </is>
      </c>
      <c r="J4532" t="inlineStr">
        <is>
          <t>0.00</t>
        </is>
      </c>
      <c r="K4532"/>
      <c r="L4532" t="inlineStr">
        <is>
          <t>牧童旗舰店</t>
        </is>
      </c>
      <c r="M4532">
        <v>52000</v>
      </c>
      <c r="N4532">
        <v>4.33</v>
      </c>
      <c r="O4532">
        <v>178000</v>
      </c>
      <c r="P4532" t="inlineStr">
        <is>
          <t>676d250d12147e0015ac6c6b</t>
        </is>
      </c>
      <c r="Q4532"/>
      <c r="R4532" t="inlineStr">
        <is>
          <t>16周</t>
        </is>
      </c>
      <c r="S4532" t="inlineStr">
        <is>
          <t>2.50</t>
        </is>
      </c>
      <c r="T4532" t="inlineStr">
        <is>
          <t>母婴亲子</t>
        </is>
      </c>
      <c r="U4532" t="inlineStr">
        <is>
          <t>童装童鞋</t>
        </is>
      </c>
      <c r="V4532" s="3">
        <v>46128.98467592592</v>
      </c>
      <c r="W4532" t="inlineStr">
        <is>
          <t>2026-Q2</t>
        </is>
      </c>
    </row>
    <row r="4533" ht="25.5" customHeight="1">
      <c r="A4533" t="inlineStr">
        <is>
          <t>宝宝步前鞋春夏新款小月龄软底点胶防滑婴儿鞋子柔软魔术贴鞋子</t>
        </is>
      </c>
      <c r="B4533" t="inlineStr">
        <is>
          <t>__upload_recvgY7N5zHPpV.jpg</t>
        </is>
      </c>
      <c r="C4533" s="2" t="str">
        <f>=HYPERLINK("https://xhslink.com/m/4w5BJRnstPS", "https://xhslink.com/m/4w5BJRnstPS")</f>
        <v>https://xhslink.com/m/4w5BJRnstPS</v>
      </c>
      <c r="D4533"/>
      <c r="E4533">
        <v>1324</v>
      </c>
      <c r="F4533">
        <v>30.8</v>
      </c>
      <c r="G4533">
        <v>29.8</v>
      </c>
      <c r="H4533">
        <v>100</v>
      </c>
      <c r="I4533" t="inlineStr">
        <is>
          <t>宝宝鞋</t>
        </is>
      </c>
      <c r="J4533" t="inlineStr">
        <is>
          <t>0.08</t>
        </is>
      </c>
      <c r="K4533" t="inlineStr">
        <is>
          <t>🔥低粉爆款</t>
        </is>
      </c>
      <c r="L4533" t="inlineStr">
        <is>
          <t>浠浠酱呀的店</t>
        </is>
      </c>
      <c r="M4533">
        <v>199</v>
      </c>
      <c r="N4533">
        <v>4.65</v>
      </c>
      <c r="O4533">
        <v>9960</v>
      </c>
      <c r="P4533" t="inlineStr">
        <is>
          <t>69a2b50dfb672a0015e60314</t>
        </is>
      </c>
      <c r="Q4533" t="inlineStr">
        <is>
          <t>🚫重复</t>
        </is>
      </c>
      <c r="R4533" t="inlineStr">
        <is>
          <t>16周</t>
        </is>
      </c>
      <c r="S4533" t="inlineStr">
        <is>
          <t>6.65</t>
        </is>
      </c>
      <c r="T4533" t="inlineStr">
        <is>
          <t>母婴亲子</t>
        </is>
      </c>
      <c r="U4533" t="inlineStr">
        <is>
          <t>童装童鞋</t>
        </is>
      </c>
      <c r="V4533" s="3">
        <v>46128.98467592592</v>
      </c>
      <c r="W4533" t="inlineStr">
        <is>
          <t>2026-Q2</t>
        </is>
      </c>
    </row>
    <row r="4534" ht="25.5" customHeight="1">
      <c r="A4534" t="inlineStr">
        <is>
          <t>OTHER · 儿童洞洞鞋夏男童宝宝软底沙滩鞋女婴幼儿卡通儿童凉拖鞋·别贪大</t>
        </is>
      </c>
      <c r="B4534" t="inlineStr">
        <is>
          <t>__upload_recvgY7N5zidNC.jpg</t>
        </is>
      </c>
      <c r="C4534" s="2" t="str">
        <f>=HYPERLINK("https://xhslink.com/m/AMaEh5w4c1G", "https://xhslink.com/m/AMaEh5w4c1G")</f>
        <v>https://xhslink.com/m/AMaEh5w4c1G</v>
      </c>
      <c r="D4534"/>
      <c r="E4534">
        <v>35000</v>
      </c>
      <c r="F4534">
        <v>27.9</v>
      </c>
      <c r="G4534">
        <v>26.9</v>
      </c>
      <c r="H4534">
        <v>100</v>
      </c>
      <c r="I4534" t="inlineStr">
        <is>
          <t>宝宝鞋</t>
        </is>
      </c>
      <c r="J4534" t="inlineStr">
        <is>
          <t>0.00</t>
        </is>
      </c>
      <c r="K4534" t="inlineStr">
        <is>
          <t>🔥低粉爆款</t>
        </is>
      </c>
      <c r="L4534" t="inlineStr">
        <is>
          <t>苏沐橙母婴馆的店</t>
        </is>
      </c>
      <c r="M4534">
        <v>1956</v>
      </c>
      <c r="N4534">
        <v>4.62</v>
      </c>
      <c r="O4534">
        <v>41000</v>
      </c>
      <c r="P4534" t="inlineStr">
        <is>
          <t>640f0b320b20660001d101e1</t>
        </is>
      </c>
      <c r="Q4534"/>
      <c r="R4534" t="inlineStr">
        <is>
          <t>16周</t>
        </is>
      </c>
      <c r="S4534" t="inlineStr">
        <is>
          <t>17.89</t>
        </is>
      </c>
      <c r="T4534" t="inlineStr">
        <is>
          <t>服饰穿搭</t>
        </is>
      </c>
      <c r="U4534" t="inlineStr">
        <is>
          <t>鞋靴箱包</t>
        </is>
      </c>
      <c r="V4534" s="3">
        <v>46128.98467592592</v>
      </c>
      <c r="W4534" t="inlineStr">
        <is>
          <t>2026-Q2</t>
        </is>
      </c>
    </row>
    <row r="4535" ht="25.5" customHeight="1">
      <c r="A4535" t="inlineStr">
        <is>
          <t>mutong牧童 · 叫叫鞋2026夏季新款透气可爱宝宝学步鞋婴幼儿软底叫叫鞋机能鞋</t>
        </is>
      </c>
      <c r="B4535" t="inlineStr">
        <is>
          <t>__upload_recvgY7N5zRWdv.jpg</t>
        </is>
      </c>
      <c r="C4535" s="2" t="str">
        <f>=HYPERLINK("https://xhslink.com/m/6K1cxoqL7pr", "https://xhslink.com/m/6K1cxoqL7pr")</f>
        <v>https://xhslink.com/m/6K1cxoqL7pr</v>
      </c>
      <c r="D4535"/>
      <c r="E4535">
        <v>13000</v>
      </c>
      <c r="F4535">
        <v>109</v>
      </c>
      <c r="G4535">
        <v>79</v>
      </c>
      <c r="H4535">
        <v>100</v>
      </c>
      <c r="I4535" t="inlineStr">
        <is>
          <t>宝宝鞋</t>
        </is>
      </c>
      <c r="J4535" t="inlineStr">
        <is>
          <t>0.01</t>
        </is>
      </c>
      <c r="K4535"/>
      <c r="L4535" t="inlineStr">
        <is>
          <t>牧童童鞋专卖店</t>
        </is>
      </c>
      <c r="M4535">
        <v>172000</v>
      </c>
      <c r="N4535">
        <v>4.6</v>
      </c>
      <c r="O4535">
        <v>212000</v>
      </c>
      <c r="P4535" t="inlineStr">
        <is>
          <t>69c359d75e5f05000129d26d</t>
        </is>
      </c>
      <c r="Q4535" t="inlineStr">
        <is>
          <t>🚫重复</t>
        </is>
      </c>
      <c r="R4535" t="inlineStr">
        <is>
          <t>16周</t>
        </is>
      </c>
      <c r="S4535" t="inlineStr">
        <is>
          <t>0.08</t>
        </is>
      </c>
      <c r="T4535" t="inlineStr">
        <is>
          <t>母婴亲子</t>
        </is>
      </c>
      <c r="U4535" t="inlineStr">
        <is>
          <t>童装童鞋</t>
        </is>
      </c>
      <c r="V4535" s="3">
        <v>46128.98467592592</v>
      </c>
      <c r="W4535" t="inlineStr">
        <is>
          <t>2026-Q2</t>
        </is>
      </c>
    </row>
    <row r="4536" ht="25.5" customHeight="1">
      <c r="A4536" t="inlineStr">
        <is>
          <t>宝宝步前鞋春夏新款小月龄软底点胶防滑婴儿鞋子柔软魔术贴鞋子</t>
        </is>
      </c>
      <c r="B4536" t="inlineStr">
        <is>
          <t>__upload_recvgY7N5zNPb7.jpg</t>
        </is>
      </c>
      <c r="C4536" s="2" t="str">
        <f>=HYPERLINK("https://xhslink.com/m/ALTAI6YYqks", "https://xhslink.com/m/ALTAI6YYqks")</f>
        <v>https://xhslink.com/m/ALTAI6YYqks</v>
      </c>
      <c r="D4536"/>
      <c r="E4536">
        <v>1324</v>
      </c>
      <c r="F4536">
        <v>30.8</v>
      </c>
      <c r="G4536">
        <v>29.8</v>
      </c>
      <c r="H4536">
        <v>100</v>
      </c>
      <c r="I4536" t="inlineStr">
        <is>
          <t>宝宝鞋</t>
        </is>
      </c>
      <c r="J4536" t="inlineStr">
        <is>
          <t>0.08</t>
        </is>
      </c>
      <c r="K4536" t="inlineStr">
        <is>
          <t>🔥低粉爆款</t>
        </is>
      </c>
      <c r="L4536" t="inlineStr">
        <is>
          <t>浠浠酱呀的店</t>
        </is>
      </c>
      <c r="M4536">
        <v>199</v>
      </c>
      <c r="N4536">
        <v>4.65</v>
      </c>
      <c r="O4536">
        <v>9960</v>
      </c>
      <c r="P4536" t="inlineStr">
        <is>
          <t>69a2b50dfb672a0015e6031a</t>
        </is>
      </c>
      <c r="Q4536" t="inlineStr">
        <is>
          <t>🚫重复</t>
        </is>
      </c>
      <c r="R4536" t="inlineStr">
        <is>
          <t>16周</t>
        </is>
      </c>
      <c r="S4536" t="inlineStr">
        <is>
          <t>6.65</t>
        </is>
      </c>
      <c r="T4536" t="inlineStr">
        <is>
          <t>母婴亲子</t>
        </is>
      </c>
      <c r="U4536" t="inlineStr">
        <is>
          <t>童装童鞋</t>
        </is>
      </c>
      <c r="V4536" s="3">
        <v>46128.98467592592</v>
      </c>
      <c r="W4536" t="inlineStr">
        <is>
          <t>2026-Q2</t>
        </is>
      </c>
    </row>
    <row r="4537" ht="25.5" customHeight="1">
      <c r="A4537" t="inlineStr">
        <is>
          <t>超轻折叠背包女轻便双肩包学生书包短途出差旅行包户外登山包收纳</t>
        </is>
      </c>
      <c r="B4537" t="inlineStr">
        <is>
          <t>__upload_recvgY7N5zV21v.jpg</t>
        </is>
      </c>
      <c r="C4537" s="2" t="str">
        <f>=HYPERLINK("https://xhslink.com/m/344sIYasfcE", "https://xhslink.com/m/344sIYasfcE")</f>
        <v>https://xhslink.com/m/344sIYasfcE</v>
      </c>
      <c r="D4537"/>
      <c r="E4537">
        <v>10000</v>
      </c>
      <c r="F4537">
        <v>42.9</v>
      </c>
      <c r="G4537"/>
      <c r="H4537">
        <v>100</v>
      </c>
      <c r="I4537" t="inlineStr">
        <is>
          <t>背包</t>
        </is>
      </c>
      <c r="J4537" t="inlineStr">
        <is>
          <t>0.01</t>
        </is>
      </c>
      <c r="K4537"/>
      <c r="L4537" t="inlineStr">
        <is>
          <t>小荆皮具的店</t>
        </is>
      </c>
      <c r="M4537">
        <v>9642</v>
      </c>
      <c r="N4537">
        <v>4.74</v>
      </c>
      <c r="O4537">
        <v>212000</v>
      </c>
      <c r="P4537" t="inlineStr">
        <is>
          <t>67da76b208549900015291cc</t>
        </is>
      </c>
      <c r="Q4537" t="inlineStr">
        <is>
          <t>🚫重复</t>
        </is>
      </c>
      <c r="R4537" t="inlineStr">
        <is>
          <t>16周</t>
        </is>
      </c>
      <c r="S4537" t="inlineStr">
        <is>
          <t>1.04</t>
        </is>
      </c>
      <c r="T4537" t="inlineStr">
        <is>
          <t>服饰穿搭</t>
        </is>
      </c>
      <c r="U4537" t="inlineStr">
        <is>
          <t>鞋靴箱包</t>
        </is>
      </c>
      <c r="V4537" s="3">
        <v>46128.98467592592</v>
      </c>
      <c r="W4537" t="inlineStr">
        <is>
          <t>2026-Q2</t>
        </is>
      </c>
    </row>
    <row r="4538" ht="25.5" customHeight="1">
      <c r="A4538" t="inlineStr">
        <is>
          <t>Nicor · 按摩头氨基酸洗面奶深层清洁清肌洁面乳男女学生推荐</t>
        </is>
      </c>
      <c r="B4538" t="inlineStr">
        <is>
          <t>__upload_recvgY7N5zeWD6.jpg</t>
        </is>
      </c>
      <c r="C4538" s="2" t="str">
        <f>=HYPERLINK("https://xhslink.com/m/f3uKCV4C0F", "https://xhslink.com/m/f3uKCV4C0F")</f>
        <v>https://xhslink.com/m/f3uKCV4C0F</v>
      </c>
      <c r="D4538"/>
      <c r="E4538">
        <v>35000</v>
      </c>
      <c r="F4538">
        <v>9.9</v>
      </c>
      <c r="G4538"/>
      <c r="H4538">
        <v>100</v>
      </c>
      <c r="I4538" t="inlineStr">
        <is>
          <t>男生护肤</t>
        </is>
      </c>
      <c r="J4538" t="inlineStr">
        <is>
          <t>0.00</t>
        </is>
      </c>
      <c r="K4538" t="inlineStr">
        <is>
          <t>🔥低粉爆款</t>
        </is>
      </c>
      <c r="L4538" t="inlineStr">
        <is>
          <t>西阅护肤甄选的店</t>
        </is>
      </c>
      <c r="M4538">
        <v>4224</v>
      </c>
      <c r="N4538">
        <v>4.59</v>
      </c>
      <c r="O4538">
        <v>98000</v>
      </c>
      <c r="P4538" t="inlineStr">
        <is>
          <t>6613a5bef47a780001f7db58</t>
        </is>
      </c>
      <c r="Q4538" t="inlineStr">
        <is>
          <t>🚫重复</t>
        </is>
      </c>
      <c r="R4538" t="inlineStr">
        <is>
          <t>16周</t>
        </is>
      </c>
      <c r="S4538" t="inlineStr">
        <is>
          <t>8.29</t>
        </is>
      </c>
      <c r="T4538" t="inlineStr">
        <is>
          <t>美妆个护</t>
        </is>
      </c>
      <c r="U4538" t="inlineStr">
        <is>
          <t>护肤彩妆</t>
        </is>
      </c>
      <c r="V4538" s="3">
        <v>46128.98467592592</v>
      </c>
      <c r="W4538" t="inlineStr">
        <is>
          <t>2026-Q2</t>
        </is>
      </c>
    </row>
    <row r="4539" ht="25.5" customHeight="1">
      <c r="A4539" t="inlineStr">
        <is>
          <t>邹三和 · 【店长推荐】500g去骨鸭掌贡菜脆爽 椒麻/香辣/酸辣 追剧露营零食</t>
        </is>
      </c>
      <c r="B4539" t="inlineStr">
        <is>
          <t>__upload_recvgY7N5z0loE.jpg</t>
        </is>
      </c>
      <c r="C4539" s="2" t="str">
        <f>=HYPERLINK("https://xhslink.com/m/8MzMdCf56KP", "https://xhslink.com/m/8MzMdCf56KP")</f>
        <v>https://xhslink.com/m/8MzMdCf56KP</v>
      </c>
      <c r="D4539"/>
      <c r="E4539">
        <v>334000</v>
      </c>
      <c r="F4539">
        <v>43.9</v>
      </c>
      <c r="G4539">
        <v>34.9</v>
      </c>
      <c r="H4539">
        <v>100</v>
      </c>
      <c r="I4539" t="inlineStr">
        <is>
          <t>卤味肉干</t>
        </is>
      </c>
      <c r="J4539" t="inlineStr">
        <is>
          <t>0.00</t>
        </is>
      </c>
      <c r="K4539"/>
      <c r="L4539" t="inlineStr">
        <is>
          <t>邹三和旗舰店</t>
        </is>
      </c>
      <c r="M4539">
        <v>270000</v>
      </c>
      <c r="N4539">
        <v>4.58</v>
      </c>
      <c r="O4539">
        <v>1762000</v>
      </c>
      <c r="P4539" t="inlineStr">
        <is>
          <t>688d8795ebefca0001a33a41</t>
        </is>
      </c>
      <c r="Q4539" t="inlineStr">
        <is>
          <t>🚫重复</t>
        </is>
      </c>
      <c r="R4539" t="inlineStr">
        <is>
          <t>16周</t>
        </is>
      </c>
      <c r="S4539" t="inlineStr">
        <is>
          <t>1.24</t>
        </is>
      </c>
      <c r="T4539" t="inlineStr">
        <is>
          <t>美食滋补</t>
        </is>
      </c>
      <c r="U4539" t="inlineStr">
        <is>
          <t>休闲零食</t>
        </is>
      </c>
      <c r="V4539" s="3">
        <v>46128.98467592592</v>
      </c>
      <c r="W4539" t="inlineStr">
        <is>
          <t>2026-Q2</t>
        </is>
      </c>
    </row>
    <row r="4540" ht="25.5" customHeight="1">
      <c r="A4540" t="inlineStr">
        <is>
          <t>杨矮子 · 安乡酱板鸭湖南常德特产正宗酱板鸭香辣/特辣鸭肉零食小吃</t>
        </is>
      </c>
      <c r="B4540" t="inlineStr">
        <is>
          <t>__upload_recvgY7N5zjmO8.jpg</t>
        </is>
      </c>
      <c r="C4540" s="2" t="str">
        <f>=HYPERLINK("https://xhslink.com/m/A64hqWCXGtK", "https://xhslink.com/m/A64hqWCXGtK")</f>
        <v>https://xhslink.com/m/A64hqWCXGtK</v>
      </c>
      <c r="D4540"/>
      <c r="E4540">
        <v>49000</v>
      </c>
      <c r="F4540">
        <v>52.9</v>
      </c>
      <c r="G4540"/>
      <c r="H4540">
        <v>100</v>
      </c>
      <c r="I4540" t="inlineStr">
        <is>
          <t>卤味肉干</t>
        </is>
      </c>
      <c r="J4540" t="inlineStr">
        <is>
          <t>0.00</t>
        </is>
      </c>
      <c r="K4540" t="inlineStr">
        <is>
          <t>🔥低粉爆款</t>
        </is>
      </c>
      <c r="L4540" t="inlineStr">
        <is>
          <t>杨矮子旗舰店</t>
        </is>
      </c>
      <c r="M4540">
        <v>11000</v>
      </c>
      <c r="N4540">
        <v>4.57</v>
      </c>
      <c r="O4540">
        <v>112000</v>
      </c>
      <c r="P4540" t="inlineStr">
        <is>
          <t>64bba2b314685f0001de7849</t>
        </is>
      </c>
      <c r="Q4540"/>
      <c r="R4540" t="inlineStr">
        <is>
          <t>16周</t>
        </is>
      </c>
      <c r="S4540" t="inlineStr">
        <is>
          <t>4.45</t>
        </is>
      </c>
      <c r="T4540" t="inlineStr">
        <is>
          <t>美食滋补</t>
        </is>
      </c>
      <c r="U4540" t="inlineStr">
        <is>
          <t>休闲零食</t>
        </is>
      </c>
      <c r="V4540" s="3">
        <v>46128.98467592592</v>
      </c>
      <c r="W4540" t="inlineStr">
        <is>
          <t>2026-Q2</t>
        </is>
      </c>
    </row>
    <row r="4541" ht="25.5" customHeight="1">
      <c r="A4541" t="inlineStr">
        <is>
          <t>小石头 · 【9.99抢6包大鸭腿虎皮鸭翅氮气鸭翅根】组合零食鸭货即食熟食</t>
        </is>
      </c>
      <c r="B4541" t="inlineStr">
        <is>
          <t>__upload_recvgY7N5zTECA.jpg</t>
        </is>
      </c>
      <c r="C4541" s="2" t="str">
        <f>=HYPERLINK("https://xhslink.com/m/5kBEGjxFrWx", "https://xhslink.com/m/5kBEGjxFrWx")</f>
        <v>https://xhslink.com/m/5kBEGjxFrWx</v>
      </c>
      <c r="D4541"/>
      <c r="E4541">
        <v>67000</v>
      </c>
      <c r="F4541">
        <v>19.99</v>
      </c>
      <c r="G4541"/>
      <c r="H4541">
        <v>100</v>
      </c>
      <c r="I4541" t="inlineStr">
        <is>
          <t>卤味肉干</t>
        </is>
      </c>
      <c r="J4541" t="inlineStr">
        <is>
          <t>0.00</t>
        </is>
      </c>
      <c r="K4541"/>
      <c r="L4541" t="inlineStr">
        <is>
          <t>小石头旗舰店</t>
        </is>
      </c>
      <c r="M4541">
        <v>36000</v>
      </c>
      <c r="N4541">
        <v>4.66</v>
      </c>
      <c r="O4541">
        <v>796000</v>
      </c>
      <c r="P4541" t="inlineStr">
        <is>
          <t>68677da94d48950001ec5e79</t>
        </is>
      </c>
      <c r="Q4541" t="inlineStr">
        <is>
          <t>🚫重复</t>
        </is>
      </c>
      <c r="R4541" t="inlineStr">
        <is>
          <t>16周</t>
        </is>
      </c>
      <c r="S4541" t="inlineStr">
        <is>
          <t>1.86</t>
        </is>
      </c>
      <c r="T4541" t="inlineStr">
        <is>
          <t>美食滋补</t>
        </is>
      </c>
      <c r="U4541" t="inlineStr">
        <is>
          <t>休闲零食</t>
        </is>
      </c>
      <c r="V4541" s="3">
        <v>46128.98467592592</v>
      </c>
      <c r="W4541" t="inlineStr">
        <is>
          <t>2026-Q2</t>
        </is>
      </c>
    </row>
    <row r="4542" ht="25.5" customHeight="1">
      <c r="A4542" t="inlineStr">
        <is>
          <t>【肉肉大全家桶】任选6件合并下单立减30元！顺丰！送牛板筋一袋</t>
        </is>
      </c>
      <c r="B4542" t="inlineStr">
        <is>
          <t>__upload_recvgY7N5z3XjN.jpg</t>
        </is>
      </c>
      <c r="C4542" s="2" t="str">
        <f>=HYPERLINK("https://xhslink.com/m/Auy4q4kY1Dq", "https://xhslink.com/m/Auy4q4kY1Dq")</f>
        <v>https://xhslink.com/m/Auy4q4kY1Dq</v>
      </c>
      <c r="D4542"/>
      <c r="E4542">
        <v>63000</v>
      </c>
      <c r="F4542">
        <v>68</v>
      </c>
      <c r="G4542"/>
      <c r="H4542">
        <v>100</v>
      </c>
      <c r="I4542" t="inlineStr">
        <is>
          <t>卤味肉干</t>
        </is>
      </c>
      <c r="J4542" t="inlineStr">
        <is>
          <t>0.00</t>
        </is>
      </c>
      <c r="K4542"/>
      <c r="L4542" t="inlineStr">
        <is>
          <t>内蒙老赵的店</t>
        </is>
      </c>
      <c r="M4542">
        <v>116000</v>
      </c>
      <c r="N4542">
        <v>4.66</v>
      </c>
      <c r="O4542">
        <v>570000</v>
      </c>
      <c r="P4542" t="inlineStr">
        <is>
          <t>693c3a827159580001c2a5fd</t>
        </is>
      </c>
      <c r="Q4542" t="inlineStr">
        <is>
          <t>🚫重复</t>
        </is>
      </c>
      <c r="R4542" t="inlineStr">
        <is>
          <t>16周</t>
        </is>
      </c>
      <c r="S4542" t="inlineStr">
        <is>
          <t>0.54</t>
        </is>
      </c>
      <c r="T4542" t="inlineStr">
        <is>
          <t>美食滋补</t>
        </is>
      </c>
      <c r="U4542" t="inlineStr">
        <is>
          <t>休闲零食</t>
        </is>
      </c>
      <c r="V4542" s="3">
        <v>46128.98467592592</v>
      </c>
      <c r="W4542" t="inlineStr">
        <is>
          <t>2026-Q2</t>
        </is>
      </c>
    </row>
    <row r="4543" ht="25.5" customHeight="1">
      <c r="A4543" t="inlineStr">
        <is>
          <t>盒界 · 净燃兽即食牛肉齐鲁号健身速食主食代餐轻食饱腹牛肉</t>
        </is>
      </c>
      <c r="B4543" t="inlineStr">
        <is>
          <t>__upload_recvgY7N5zMtyS.jpg</t>
        </is>
      </c>
      <c r="C4543" s="2" t="str">
        <f>=HYPERLINK("https://xhslink.com/m/8nIkE64j3YH", "https://xhslink.com/m/8nIkE64j3YH")</f>
        <v>https://xhslink.com/m/8nIkE64j3YH</v>
      </c>
      <c r="D4543"/>
      <c r="E4543">
        <v>48000</v>
      </c>
      <c r="F4543">
        <v>117</v>
      </c>
      <c r="G4543">
        <v>93.9</v>
      </c>
      <c r="H4543">
        <v>100</v>
      </c>
      <c r="I4543" t="inlineStr">
        <is>
          <t>卤味肉干</t>
        </is>
      </c>
      <c r="J4543" t="inlineStr">
        <is>
          <t>0.00</t>
        </is>
      </c>
      <c r="K4543"/>
      <c r="L4543" t="inlineStr">
        <is>
          <t>盒界生鲜旗舰店</t>
        </is>
      </c>
      <c r="M4543">
        <v>70000</v>
      </c>
      <c r="N4543">
        <v>4.56</v>
      </c>
      <c r="O4543">
        <v>382000</v>
      </c>
      <c r="P4543" t="inlineStr">
        <is>
          <t>675c04d2ada6590001935d6c</t>
        </is>
      </c>
      <c r="Q4543" t="inlineStr">
        <is>
          <t>🚫重复</t>
        </is>
      </c>
      <c r="R4543" t="inlineStr">
        <is>
          <t>16周</t>
        </is>
      </c>
      <c r="S4543" t="inlineStr">
        <is>
          <t>0.69</t>
        </is>
      </c>
      <c r="T4543" t="inlineStr">
        <is>
          <t>美食滋补</t>
        </is>
      </c>
      <c r="U4543" t="inlineStr">
        <is>
          <t>休闲零食</t>
        </is>
      </c>
      <c r="V4543" s="3">
        <v>46128.98467592592</v>
      </c>
      <c r="W4543" t="inlineStr">
        <is>
          <t>2026-Q2</t>
        </is>
      </c>
    </row>
    <row r="4544" ht="25.5" customHeight="1">
      <c r="A4544" t="inlineStr">
        <is>
          <t>敖朵朵【猪猪棒！】超干猪肉条长脆条，人类超香磨牙棒条肉肉零食</t>
        </is>
      </c>
      <c r="B4544" t="inlineStr">
        <is>
          <t>__upload_recvgY7N5zyA2g.jpg</t>
        </is>
      </c>
      <c r="C4544" s="2" t="str">
        <f>=HYPERLINK("https://xhslink.com/m/7HmBnEl5Wpm", "https://xhslink.com/m/7HmBnEl5Wpm")</f>
        <v>https://xhslink.com/m/7HmBnEl5Wpm</v>
      </c>
      <c r="D4544"/>
      <c r="E4544">
        <v>16000</v>
      </c>
      <c r="F4544">
        <v>52.9</v>
      </c>
      <c r="G4544">
        <v>39.9</v>
      </c>
      <c r="H4544">
        <v>100</v>
      </c>
      <c r="I4544" t="inlineStr">
        <is>
          <t>卤味肉干</t>
        </is>
      </c>
      <c r="J4544" t="inlineStr">
        <is>
          <t>0.01</t>
        </is>
      </c>
      <c r="K4544"/>
      <c r="L4544" t="inlineStr">
        <is>
          <t>内蒙小胖敖朵朵的店</t>
        </is>
      </c>
      <c r="M4544">
        <v>6802</v>
      </c>
      <c r="N4544">
        <v>4.36</v>
      </c>
      <c r="O4544">
        <v>23000</v>
      </c>
      <c r="P4544" t="inlineStr">
        <is>
          <t>697a0b1743eb7600019dbba9</t>
        </is>
      </c>
      <c r="Q4544"/>
      <c r="R4544" t="inlineStr">
        <is>
          <t>16周</t>
        </is>
      </c>
      <c r="S4544" t="inlineStr">
        <is>
          <t>2.35</t>
        </is>
      </c>
      <c r="T4544" t="inlineStr">
        <is>
          <t>美食滋补</t>
        </is>
      </c>
      <c r="U4544" t="inlineStr">
        <is>
          <t>休闲零食</t>
        </is>
      </c>
      <c r="V4544" s="3">
        <v>46128.98467592592</v>
      </c>
      <c r="W4544" t="inlineStr">
        <is>
          <t>2026-Q2</t>
        </is>
      </c>
    </row>
    <row r="4545" ht="25.5" customHeight="1">
      <c r="A4545" t="inlineStr">
        <is>
          <t>氧默 · 速食鸡胸肉健身代餐即食零食鸡胸肉轻食食品学生碳水蛋白</t>
        </is>
      </c>
      <c r="B4545" t="inlineStr">
        <is>
          <t>__upload_recvgY7N5zU6Zk.jpg</t>
        </is>
      </c>
      <c r="C4545" s="2" t="str">
        <f>=HYPERLINK("https://xhslink.com/m/AzJ7pvfV89B", "https://xhslink.com/m/AzJ7pvfV89B")</f>
        <v>https://xhslink.com/m/AzJ7pvfV89B</v>
      </c>
      <c r="D4545"/>
      <c r="E4545">
        <v>20000</v>
      </c>
      <c r="F4545">
        <v>14.9</v>
      </c>
      <c r="G4545"/>
      <c r="H4545">
        <v>100</v>
      </c>
      <c r="I4545" t="inlineStr">
        <is>
          <t>卤味肉干</t>
        </is>
      </c>
      <c r="J4545" t="inlineStr">
        <is>
          <t>0.01</t>
        </is>
      </c>
      <c r="K4545"/>
      <c r="L4545" t="inlineStr">
        <is>
          <t>氧默旗舰店</t>
        </is>
      </c>
      <c r="M4545">
        <v>26000</v>
      </c>
      <c r="N4545">
        <v>4.57</v>
      </c>
      <c r="O4545">
        <v>266000</v>
      </c>
      <c r="P4545" t="inlineStr">
        <is>
          <t>64d03c9c2d914200016cbe75</t>
        </is>
      </c>
      <c r="Q4545" t="inlineStr">
        <is>
          <t>🚫重复</t>
        </is>
      </c>
      <c r="R4545" t="inlineStr">
        <is>
          <t>16周</t>
        </is>
      </c>
      <c r="S4545" t="inlineStr">
        <is>
          <t>0.77</t>
        </is>
      </c>
      <c r="T4545" t="inlineStr">
        <is>
          <t>美食滋补</t>
        </is>
      </c>
      <c r="U4545" t="inlineStr">
        <is>
          <t>休闲零食</t>
        </is>
      </c>
      <c r="V4545" s="3">
        <v>46128.98467592592</v>
      </c>
      <c r="W4545" t="inlineStr">
        <is>
          <t>2026-Q2</t>
        </is>
      </c>
    </row>
    <row r="4546" ht="25.5" customHeight="1">
      <c r="A4546" t="inlineStr">
        <is>
          <t>【顺丰冷链包邮】正宗潮汕牛肉丸牛筋丸无添加潮汕特产</t>
        </is>
      </c>
      <c r="B4546" t="inlineStr">
        <is>
          <t>__upload_recvgY7N5zXrns.jpg</t>
        </is>
      </c>
      <c r="C4546" s="2" t="str">
        <f>=HYPERLINK("https://xhslink.com/m/2GehnfXCFoD", "https://xhslink.com/m/2GehnfXCFoD")</f>
        <v>https://xhslink.com/m/2GehnfXCFoD</v>
      </c>
      <c r="D4546"/>
      <c r="E4546">
        <v>94000</v>
      </c>
      <c r="F4546">
        <v>154</v>
      </c>
      <c r="G4546">
        <v>143</v>
      </c>
      <c r="H4546">
        <v>100</v>
      </c>
      <c r="I4546" t="inlineStr">
        <is>
          <t>卤味肉干</t>
        </is>
      </c>
      <c r="J4546" t="inlineStr">
        <is>
          <t>0.00</t>
        </is>
      </c>
      <c r="K4546" t="inlineStr">
        <is>
          <t>🔥低粉爆款</t>
        </is>
      </c>
      <c r="L4546" t="inlineStr">
        <is>
          <t>思思牛肉丸的店</t>
        </is>
      </c>
      <c r="M4546">
        <v>11000</v>
      </c>
      <c r="N4546">
        <v>4.76</v>
      </c>
      <c r="O4546">
        <v>111000</v>
      </c>
      <c r="P4546" t="inlineStr">
        <is>
          <t>67bb05a2cb5e4200011c4295</t>
        </is>
      </c>
      <c r="Q4546"/>
      <c r="R4546" t="inlineStr">
        <is>
          <t>16周</t>
        </is>
      </c>
      <c r="S4546" t="inlineStr">
        <is>
          <t>8.55</t>
        </is>
      </c>
      <c r="T4546" t="inlineStr">
        <is>
          <t>美食滋补</t>
        </is>
      </c>
      <c r="U4546" t="inlineStr">
        <is>
          <t>生鲜特产</t>
        </is>
      </c>
      <c r="V4546" s="3">
        <v>46128.98467592592</v>
      </c>
      <c r="W4546" t="inlineStr">
        <is>
          <t>2026-Q2</t>
        </is>
      </c>
    </row>
    <row r="4547" ht="25.5" customHeight="1">
      <c r="A4547" t="inlineStr">
        <is>
          <t>王大爪 · 柠檬无骨鸡爪 顺丰包邮 现做现发 无添加纯手工制作</t>
        </is>
      </c>
      <c r="B4547" t="inlineStr">
        <is>
          <t>__upload_recvgY7N5zR9LV.jpg</t>
        </is>
      </c>
      <c r="C4547" s="2" t="str">
        <f>=HYPERLINK("https://xhslink.com/m/838zDkTVtt8", "https://xhslink.com/m/838zDkTVtt8")</f>
        <v>https://xhslink.com/m/838zDkTVtt8</v>
      </c>
      <c r="D4547"/>
      <c r="E4547">
        <v>42000</v>
      </c>
      <c r="F4547">
        <v>38</v>
      </c>
      <c r="G4547">
        <v>37</v>
      </c>
      <c r="H4547">
        <v>100</v>
      </c>
      <c r="I4547" t="inlineStr">
        <is>
          <t>卤味肉干</t>
        </is>
      </c>
      <c r="J4547" t="inlineStr">
        <is>
          <t>0.00</t>
        </is>
      </c>
      <c r="K4547" t="inlineStr">
        <is>
          <t>🔥低粉爆款</t>
        </is>
      </c>
      <c r="L4547" t="inlineStr">
        <is>
          <t>强哥美食的店</t>
        </is>
      </c>
      <c r="M4547">
        <v>3810</v>
      </c>
      <c r="N4547">
        <v>4.66</v>
      </c>
      <c r="O4547">
        <v>43000</v>
      </c>
      <c r="P4547" t="inlineStr">
        <is>
          <t>68148c87f8bbf80001ed66ad</t>
        </is>
      </c>
      <c r="Q4547" t="inlineStr">
        <is>
          <t>🚫重复</t>
        </is>
      </c>
      <c r="R4547" t="inlineStr">
        <is>
          <t>16周</t>
        </is>
      </c>
      <c r="S4547" t="inlineStr">
        <is>
          <t>11.02</t>
        </is>
      </c>
      <c r="T4547" t="inlineStr">
        <is>
          <t>美食滋补</t>
        </is>
      </c>
      <c r="U4547" t="inlineStr">
        <is>
          <t>休闲零食</t>
        </is>
      </c>
      <c r="V4547" s="3">
        <v>46128.98467592592</v>
      </c>
      <c r="W4547" t="inlineStr">
        <is>
          <t>2026-Q2</t>
        </is>
      </c>
    </row>
    <row r="4548" ht="25.5" customHeight="1">
      <c r="A4548" t="inlineStr">
        <is>
          <t>新款肥瘦牛胸口（奶香会有不脆的，比老款口味淡一点，请看详情）</t>
        </is>
      </c>
      <c r="B4548" t="inlineStr">
        <is>
          <t>__upload_recvgY7N5zli3i.jpg</t>
        </is>
      </c>
      <c r="C4548" s="2" t="str">
        <f>=HYPERLINK("https://xhslink.com/m/23TgVEcYHNW", "https://xhslink.com/m/23TgVEcYHNW")</f>
        <v>https://xhslink.com/m/23TgVEcYHNW</v>
      </c>
      <c r="D4548"/>
      <c r="E4548">
        <v>4737</v>
      </c>
      <c r="F4548">
        <v>85.9</v>
      </c>
      <c r="G4548"/>
      <c r="H4548">
        <v>100</v>
      </c>
      <c r="I4548" t="inlineStr">
        <is>
          <t>卤味肉干</t>
        </is>
      </c>
      <c r="J4548" t="inlineStr">
        <is>
          <t>0.02</t>
        </is>
      </c>
      <c r="K4548"/>
      <c r="L4548" t="inlineStr">
        <is>
          <t>爱吃牛胸口的小当家的店</t>
        </is>
      </c>
      <c r="M4548">
        <v>9913</v>
      </c>
      <c r="N4548">
        <v>4.61</v>
      </c>
      <c r="O4548">
        <v>73000</v>
      </c>
      <c r="P4548" t="inlineStr">
        <is>
          <t>68541d416256090001d06336</t>
        </is>
      </c>
      <c r="Q4548"/>
      <c r="R4548" t="inlineStr">
        <is>
          <t>16周</t>
        </is>
      </c>
      <c r="S4548" t="inlineStr">
        <is>
          <t>0.48</t>
        </is>
      </c>
      <c r="T4548" t="inlineStr">
        <is>
          <t>美食滋补</t>
        </is>
      </c>
      <c r="U4548" t="inlineStr">
        <is>
          <t>休闲零食</t>
        </is>
      </c>
      <c r="V4548" s="3">
        <v>46128.98467592592</v>
      </c>
      <c r="W4548" t="inlineStr">
        <is>
          <t>2026-Q2</t>
        </is>
      </c>
    </row>
    <row r="4549" ht="25.5" customHeight="1">
      <c r="A4549" t="inlineStr">
        <is>
          <t>花田熊 · 牛奶黄油小汉堡胚儿童营养早餐面包胚家庭用半成品旗舰店</t>
        </is>
      </c>
      <c r="B4549" t="inlineStr">
        <is>
          <t>__upload_recvgY7N5zUQor.jpg</t>
        </is>
      </c>
      <c r="C4549" s="2" t="str">
        <f>=HYPERLINK("https://xhslink.com/m/6y2Wq3Mz2Hd", "https://xhslink.com/m/6y2Wq3Mz2Hd")</f>
        <v>https://xhslink.com/m/6y2Wq3Mz2Hd</v>
      </c>
      <c r="D4549"/>
      <c r="E4549">
        <v>30000</v>
      </c>
      <c r="F4549">
        <v>17.8</v>
      </c>
      <c r="G4549"/>
      <c r="H4549">
        <v>100</v>
      </c>
      <c r="I4549" t="inlineStr">
        <is>
          <t>早餐面包</t>
        </is>
      </c>
      <c r="J4549" t="inlineStr">
        <is>
          <t>0.00</t>
        </is>
      </c>
      <c r="K4549"/>
      <c r="L4549" t="inlineStr">
        <is>
          <t>花田熊旗舰店</t>
        </is>
      </c>
      <c r="M4549">
        <v>15000</v>
      </c>
      <c r="N4549">
        <v>4.56</v>
      </c>
      <c r="O4549">
        <v>177000</v>
      </c>
      <c r="P4549" t="inlineStr">
        <is>
          <t>67330ba06a6c180001bc3bdc</t>
        </is>
      </c>
      <c r="Q4549"/>
      <c r="R4549" t="inlineStr">
        <is>
          <t>16周</t>
        </is>
      </c>
      <c r="S4549" t="inlineStr">
        <is>
          <t>2.00</t>
        </is>
      </c>
      <c r="T4549" t="inlineStr">
        <is>
          <t>美食滋补</t>
        </is>
      </c>
      <c r="U4549" t="inlineStr">
        <is>
          <t>休闲零食</t>
        </is>
      </c>
      <c r="V4549" s="3">
        <v>46128.98467592592</v>
      </c>
      <c r="W4549" t="inlineStr">
        <is>
          <t>2026-Q2</t>
        </is>
      </c>
    </row>
    <row r="4550" ht="25.5" customHeight="1">
      <c r="A4550" t="inlineStr">
        <is>
          <t>手作意式恰巴塔（无馅）29元7个|天然酵种发酵</t>
        </is>
      </c>
      <c r="B4550" t="inlineStr">
        <is>
          <t>__upload_recvgY7N5zerQI.jpg</t>
        </is>
      </c>
      <c r="C4550" s="2" t="str">
        <f>=HYPERLINK("https://xhslink.com/m/7ZE1XfPxZWC", "https://xhslink.com/m/7ZE1XfPxZWC")</f>
        <v>https://xhslink.com/m/7ZE1XfPxZWC</v>
      </c>
      <c r="D4550"/>
      <c r="E4550">
        <v>16000</v>
      </c>
      <c r="F4550">
        <v>49</v>
      </c>
      <c r="G4550">
        <v>29</v>
      </c>
      <c r="H4550">
        <v>100</v>
      </c>
      <c r="I4550" t="inlineStr">
        <is>
          <t>早餐面包</t>
        </is>
      </c>
      <c r="J4550" t="inlineStr">
        <is>
          <t>0.01</t>
        </is>
      </c>
      <c r="K4550"/>
      <c r="L4550" t="inlineStr">
        <is>
          <t>法岸欧包（手作面包)的店</t>
        </is>
      </c>
      <c r="M4550">
        <v>24000</v>
      </c>
      <c r="N4550">
        <v>4.44</v>
      </c>
      <c r="O4550">
        <v>40000</v>
      </c>
      <c r="P4550" t="inlineStr">
        <is>
          <t>692ae1bb01312b00018685a9</t>
        </is>
      </c>
      <c r="Q4550" t="inlineStr">
        <is>
          <t>🚫重复</t>
        </is>
      </c>
      <c r="R4550" t="inlineStr">
        <is>
          <t>16周</t>
        </is>
      </c>
      <c r="S4550" t="inlineStr">
        <is>
          <t>0.67</t>
        </is>
      </c>
      <c r="T4550" t="inlineStr">
        <is>
          <t>美食滋补</t>
        </is>
      </c>
      <c r="U4550" t="inlineStr">
        <is>
          <t>休闲零食</t>
        </is>
      </c>
      <c r="V4550" s="3">
        <v>46128.98467592592</v>
      </c>
      <c r="W4550" t="inlineStr">
        <is>
          <t>2026-Q2</t>
        </is>
      </c>
    </row>
    <row r="4551" ht="25.5" customHeight="1">
      <c r="A4551" t="inlineStr">
        <is>
          <t>暴肌独角兽 · &lt;手作恰巴塔&gt; 意大利硬欧包西式糕点早餐即食代餐面包</t>
        </is>
      </c>
      <c r="B4551" t="inlineStr">
        <is>
          <t>__upload_recvgY7N5zRLuU.jpg</t>
        </is>
      </c>
      <c r="C4551" s="2" t="str">
        <f>=HYPERLINK("https://xhslink.com/m/9IgBtgRZLXM", "https://xhslink.com/m/9IgBtgRZLXM")</f>
        <v>https://xhslink.com/m/9IgBtgRZLXM</v>
      </c>
      <c r="D4551"/>
      <c r="E4551">
        <v>124000</v>
      </c>
      <c r="F4551">
        <v>22.9</v>
      </c>
      <c r="G4551">
        <v>18.9</v>
      </c>
      <c r="H4551">
        <v>100</v>
      </c>
      <c r="I4551" t="inlineStr">
        <is>
          <t>早餐面包</t>
        </is>
      </c>
      <c r="J4551" t="inlineStr">
        <is>
          <t>0.00</t>
        </is>
      </c>
      <c r="K4551"/>
      <c r="L4551" t="inlineStr">
        <is>
          <t>暴肌独角兽旗舰店</t>
        </is>
      </c>
      <c r="M4551">
        <v>52000</v>
      </c>
      <c r="N4551">
        <v>4.49</v>
      </c>
      <c r="O4551">
        <v>1140000</v>
      </c>
      <c r="P4551" t="inlineStr">
        <is>
          <t>6746cf7c1db14200018644b1</t>
        </is>
      </c>
      <c r="Q4551" t="inlineStr">
        <is>
          <t>🚫重复</t>
        </is>
      </c>
      <c r="R4551" t="inlineStr">
        <is>
          <t>16周</t>
        </is>
      </c>
      <c r="S4551" t="inlineStr">
        <is>
          <t>2.38</t>
        </is>
      </c>
      <c r="T4551" t="inlineStr">
        <is>
          <t>美食滋补</t>
        </is>
      </c>
      <c r="U4551" t="inlineStr">
        <is>
          <t>休闲零食</t>
        </is>
      </c>
      <c r="V4551" s="3">
        <v>46128.98467592592</v>
      </c>
      <c r="W4551" t="inlineStr">
        <is>
          <t>2026-Q2</t>
        </is>
      </c>
    </row>
    <row r="4552" ht="25.5" customHeight="1">
      <c r="A4552" t="inlineStr">
        <is>
          <t>八千步 · 全麦面包糕点吐司整箱早餐代餐饱腹粗粮</t>
        </is>
      </c>
      <c r="B4552" t="inlineStr">
        <is>
          <t>__upload_recvgY7N5z80AE.jpg</t>
        </is>
      </c>
      <c r="C4552" s="2" t="str">
        <f>=HYPERLINK("https://xhslink.com/m/ADwzQkqZ6dK", "https://xhslink.com/m/ADwzQkqZ6dK")</f>
        <v>https://xhslink.com/m/ADwzQkqZ6dK</v>
      </c>
      <c r="D4552"/>
      <c r="E4552">
        <v>44000</v>
      </c>
      <c r="F4552">
        <v>19.9</v>
      </c>
      <c r="G4552"/>
      <c r="H4552">
        <v>100</v>
      </c>
      <c r="I4552" t="inlineStr">
        <is>
          <t>早餐面包</t>
        </is>
      </c>
      <c r="J4552" t="inlineStr">
        <is>
          <t>0.00</t>
        </is>
      </c>
      <c r="K4552"/>
      <c r="L4552" t="inlineStr">
        <is>
          <t>八千步旗舰店</t>
        </is>
      </c>
      <c r="M4552">
        <v>45000</v>
      </c>
      <c r="N4552">
        <v>4.43</v>
      </c>
      <c r="O4552">
        <v>235000</v>
      </c>
      <c r="P4552" t="inlineStr">
        <is>
          <t>634370265b203e00015d4cc6</t>
        </is>
      </c>
      <c r="Q4552" t="inlineStr">
        <is>
          <t>🚫重复</t>
        </is>
      </c>
      <c r="R4552" t="inlineStr">
        <is>
          <t>16周</t>
        </is>
      </c>
      <c r="S4552" t="inlineStr">
        <is>
          <t>0.98</t>
        </is>
      </c>
      <c r="T4552" t="inlineStr">
        <is>
          <t>美食滋补</t>
        </is>
      </c>
      <c r="U4552" t="inlineStr">
        <is>
          <t>休闲零食</t>
        </is>
      </c>
      <c r="V4552" s="3">
        <v>46128.98467592592</v>
      </c>
      <c r="W4552" t="inlineStr">
        <is>
          <t>2026-Q2</t>
        </is>
      </c>
    </row>
    <row r="4553" ht="25.5" customHeight="1">
      <c r="A4553" t="inlineStr">
        <is>
          <t>Juicy法式酸面包朗姆酒提子抹茶红豆手工欧包健康早餐代餐下午茶</t>
        </is>
      </c>
      <c r="B4553" t="inlineStr">
        <is>
          <t>__upload_recvgY7N5zRwLk.jpg</t>
        </is>
      </c>
      <c r="C4553" s="2" t="str">
        <f>=HYPERLINK("https://xhslink.com/m/9qXGkLEMTkX", "https://xhslink.com/m/9qXGkLEMTkX")</f>
        <v>https://xhslink.com/m/9qXGkLEMTkX</v>
      </c>
      <c r="D4553"/>
      <c r="E4553">
        <v>5121</v>
      </c>
      <c r="F4553">
        <v>35.99</v>
      </c>
      <c r="G4553">
        <v>28.99</v>
      </c>
      <c r="H4553">
        <v>100</v>
      </c>
      <c r="I4553" t="inlineStr">
        <is>
          <t>早餐面包</t>
        </is>
      </c>
      <c r="J4553" t="inlineStr">
        <is>
          <t>0.02</t>
        </is>
      </c>
      <c r="K4553"/>
      <c r="L4553" t="inlineStr">
        <is>
          <t>JUICY SUPPLY的店</t>
        </is>
      </c>
      <c r="M4553">
        <v>271000</v>
      </c>
      <c r="N4553">
        <v>4.39</v>
      </c>
      <c r="O4553">
        <v>862000</v>
      </c>
      <c r="P4553" t="inlineStr">
        <is>
          <t>69a443b31b52bf0001582193</t>
        </is>
      </c>
      <c r="Q4553" t="inlineStr">
        <is>
          <t>🚫重复</t>
        </is>
      </c>
      <c r="R4553" t="inlineStr">
        <is>
          <t>16周</t>
        </is>
      </c>
      <c r="S4553" t="inlineStr">
        <is>
          <t>0.02</t>
        </is>
      </c>
      <c r="T4553" t="inlineStr">
        <is>
          <t>美食滋补</t>
        </is>
      </c>
      <c r="U4553" t="inlineStr">
        <is>
          <t>休闲零食</t>
        </is>
      </c>
      <c r="V4553" s="3">
        <v>46128.98467592592</v>
      </c>
      <c r="W4553" t="inlineStr">
        <is>
          <t>2026-Q2</t>
        </is>
      </c>
    </row>
    <row r="4554" ht="25.5" customHeight="1">
      <c r="A4554" t="inlineStr">
        <is>
          <t>大包装9-10枚恰巴塔 600克法式乡村面包手工烘焙面包早餐三明治</t>
        </is>
      </c>
      <c r="B4554" t="inlineStr">
        <is>
          <t>__upload_recvgY7N5zU9lj.jpg</t>
        </is>
      </c>
      <c r="C4554" s="2" t="str">
        <f>=HYPERLINK("https://xhslink.com/m/eRXK5MWKZw", "https://xhslink.com/m/eRXK5MWKZw")</f>
        <v>https://xhslink.com/m/eRXK5MWKZw</v>
      </c>
      <c r="D4554"/>
      <c r="E4554">
        <v>957</v>
      </c>
      <c r="F4554">
        <v>29.9</v>
      </c>
      <c r="G4554"/>
      <c r="H4554">
        <v>100</v>
      </c>
      <c r="I4554" t="inlineStr">
        <is>
          <t>早餐面包</t>
        </is>
      </c>
      <c r="J4554" t="inlineStr">
        <is>
          <t>0.10</t>
        </is>
      </c>
      <c r="K4554"/>
      <c r="L4554" t="inlineStr">
        <is>
          <t>MEETOWN美糖烘焙的店</t>
        </is>
      </c>
      <c r="M4554">
        <v>553</v>
      </c>
      <c r="N4554">
        <v>4.64</v>
      </c>
      <c r="O4554">
        <v>934</v>
      </c>
      <c r="P4554" t="inlineStr">
        <is>
          <t>696216a67900530001713f0a</t>
        </is>
      </c>
      <c r="Q4554"/>
      <c r="R4554" t="inlineStr">
        <is>
          <t>16周</t>
        </is>
      </c>
      <c r="S4554" t="inlineStr">
        <is>
          <t>1.73</t>
        </is>
      </c>
      <c r="T4554" t="inlineStr">
        <is>
          <t>美食滋补</t>
        </is>
      </c>
      <c r="U4554" t="inlineStr">
        <is>
          <t>休闲零食</t>
        </is>
      </c>
      <c r="V4554" s="3">
        <v>46128.98467592592</v>
      </c>
      <c r="W4554" t="inlineStr">
        <is>
          <t>2026-Q2</t>
        </is>
      </c>
    </row>
    <row r="4555" ht="25.5" customHeight="1">
      <c r="A4555" t="inlineStr">
        <is>
          <t>麦浪里 · 【28.8任选八个顺丰包邮】手作碱水棒夹心带馅全麦营养早餐面包</t>
        </is>
      </c>
      <c r="B4555" t="inlineStr">
        <is>
          <t>__upload_recvgY7N5zO9oG.jpg</t>
        </is>
      </c>
      <c r="C4555" s="2" t="str">
        <f>=HYPERLINK("https://xhslink.com/m/9EUuJCfqzAS", "https://xhslink.com/m/9EUuJCfqzAS")</f>
        <v>https://xhslink.com/m/9EUuJCfqzAS</v>
      </c>
      <c r="D4555"/>
      <c r="E4555">
        <v>25000</v>
      </c>
      <c r="F4555">
        <v>20</v>
      </c>
      <c r="G4555">
        <v>11.6</v>
      </c>
      <c r="H4555">
        <v>100</v>
      </c>
      <c r="I4555" t="inlineStr">
        <is>
          <t>早餐面包</t>
        </is>
      </c>
      <c r="J4555" t="inlineStr">
        <is>
          <t>0.00</t>
        </is>
      </c>
      <c r="K4555" t="inlineStr">
        <is>
          <t>🔥低粉爆款</t>
        </is>
      </c>
      <c r="L4555" t="inlineStr">
        <is>
          <t>麦浪里旗舰店</t>
        </is>
      </c>
      <c r="M4555">
        <v>5599</v>
      </c>
      <c r="N4555">
        <v>4.56</v>
      </c>
      <c r="O4555">
        <v>259000</v>
      </c>
      <c r="P4555" t="inlineStr">
        <is>
          <t>695a349396a9fa00016cc532</t>
        </is>
      </c>
      <c r="Q4555" t="inlineStr">
        <is>
          <t>🚫重复</t>
        </is>
      </c>
      <c r="R4555" t="inlineStr">
        <is>
          <t>16周</t>
        </is>
      </c>
      <c r="S4555" t="inlineStr">
        <is>
          <t>4.47</t>
        </is>
      </c>
      <c r="T4555" t="inlineStr">
        <is>
          <t>美食滋补</t>
        </is>
      </c>
      <c r="U4555" t="inlineStr">
        <is>
          <t>休闲零食</t>
        </is>
      </c>
      <c r="V4555" s="3">
        <v>46128.98467592592</v>
      </c>
      <c r="W4555" t="inlineStr">
        <is>
          <t>2026-Q2</t>
        </is>
      </c>
    </row>
    <row r="4556" ht="25.5" customHeight="1">
      <c r="A4556" t="inlineStr">
        <is>
          <t>【每日仅100单】私房手作碱水包 低卡低脂饱腹早餐健身代餐</t>
        </is>
      </c>
      <c r="B4556" t="inlineStr">
        <is>
          <t>__upload_recvgY7N5zgHu3.jpg</t>
        </is>
      </c>
      <c r="C4556" s="2" t="str">
        <f>=HYPERLINK("https://xhslink.com/m/6Ct1eP61kMz", "https://xhslink.com/m/6Ct1eP61kMz")</f>
        <v>https://xhslink.com/m/6Ct1eP61kMz</v>
      </c>
      <c r="D4556"/>
      <c r="E4556">
        <v>14000</v>
      </c>
      <c r="F4556">
        <v>20.8</v>
      </c>
      <c r="G4556">
        <v>9.9</v>
      </c>
      <c r="H4556">
        <v>100</v>
      </c>
      <c r="I4556" t="inlineStr">
        <is>
          <t>早餐面包</t>
        </is>
      </c>
      <c r="J4556" t="inlineStr">
        <is>
          <t>0.01</t>
        </is>
      </c>
      <c r="K4556" t="inlineStr">
        <is>
          <t>🔥低粉爆款</t>
        </is>
      </c>
      <c r="L4556" t="inlineStr">
        <is>
          <t>毛球的面包的店</t>
        </is>
      </c>
      <c r="M4556">
        <v>607</v>
      </c>
      <c r="N4556">
        <v>3.61</v>
      </c>
      <c r="O4556">
        <v>21000</v>
      </c>
      <c r="P4556" t="inlineStr">
        <is>
          <t>694768511f22d20001cdc629</t>
        </is>
      </c>
      <c r="Q4556"/>
      <c r="R4556" t="inlineStr">
        <is>
          <t>16周</t>
        </is>
      </c>
      <c r="S4556" t="inlineStr">
        <is>
          <t>23.06</t>
        </is>
      </c>
      <c r="T4556" t="inlineStr">
        <is>
          <t>美食滋补</t>
        </is>
      </c>
      <c r="U4556" t="inlineStr">
        <is>
          <t>休闲零食</t>
        </is>
      </c>
      <c r="V4556" s="3">
        <v>46128.98467592592</v>
      </c>
      <c r="W4556" t="inlineStr">
        <is>
          <t>2026-Q2</t>
        </is>
      </c>
    </row>
    <row r="4557" ht="25.5" customHeight="1">
      <c r="A4557" t="inlineStr">
        <is>
          <t>Juicy巴斯克吐司健康早餐代餐零食</t>
        </is>
      </c>
      <c r="B4557" t="inlineStr">
        <is>
          <t>__upload_recvgY7N5zZjyf.jpg</t>
        </is>
      </c>
      <c r="C4557" s="2" t="str">
        <f>=HYPERLINK("https://xhslink.com/m/68mJ1oJGWT9", "https://xhslink.com/m/68mJ1oJGWT9")</f>
        <v>https://xhslink.com/m/68mJ1oJGWT9</v>
      </c>
      <c r="D4557"/>
      <c r="E4557">
        <v>9172</v>
      </c>
      <c r="F4557">
        <v>39</v>
      </c>
      <c r="G4557">
        <v>25.99</v>
      </c>
      <c r="H4557">
        <v>100</v>
      </c>
      <c r="I4557" t="inlineStr">
        <is>
          <t>早餐面包</t>
        </is>
      </c>
      <c r="J4557" t="inlineStr">
        <is>
          <t>0.01</t>
        </is>
      </c>
      <c r="K4557"/>
      <c r="L4557" t="inlineStr">
        <is>
          <t>JUICY SUPPLY的店</t>
        </is>
      </c>
      <c r="M4557">
        <v>271000</v>
      </c>
      <c r="N4557">
        <v>4.39</v>
      </c>
      <c r="O4557">
        <v>862000</v>
      </c>
      <c r="P4557" t="inlineStr">
        <is>
          <t>691aa3d334256f00019fc4b1</t>
        </is>
      </c>
      <c r="Q4557" t="inlineStr">
        <is>
          <t>🚫重复</t>
        </is>
      </c>
      <c r="R4557" t="inlineStr">
        <is>
          <t>16周</t>
        </is>
      </c>
      <c r="S4557" t="inlineStr">
        <is>
          <t>0.03</t>
        </is>
      </c>
      <c r="T4557" t="inlineStr">
        <is>
          <t>美食滋补</t>
        </is>
      </c>
      <c r="U4557" t="inlineStr">
        <is>
          <t>休闲零食</t>
        </is>
      </c>
      <c r="V4557" s="3">
        <v>46128.98467592592</v>
      </c>
      <c r="W4557" t="inlineStr">
        <is>
          <t>2026-Q2</t>
        </is>
      </c>
    </row>
    <row r="4558" ht="25.5" customHeight="1">
      <c r="A4558" t="inlineStr">
        <is>
          <t>【18.8R到手7枚】全麦0蔗糖早八党贝果早餐大学生</t>
        </is>
      </c>
      <c r="B4558" t="inlineStr">
        <is>
          <t>__upload_recvgY7N5zbgP0.jpg</t>
        </is>
      </c>
      <c r="C4558" s="2" t="str">
        <f>=HYPERLINK("https://xhslink.com/m/4lrBEpRI7fc", "https://xhslink.com/m/4lrBEpRI7fc")</f>
        <v>https://xhslink.com/m/4lrBEpRI7fc</v>
      </c>
      <c r="D4558"/>
      <c r="E4558">
        <v>64000</v>
      </c>
      <c r="F4558">
        <v>37.8</v>
      </c>
      <c r="G4558">
        <v>18.8</v>
      </c>
      <c r="H4558">
        <v>100</v>
      </c>
      <c r="I4558" t="inlineStr">
        <is>
          <t>早餐面包</t>
        </is>
      </c>
      <c r="J4558" t="inlineStr">
        <is>
          <t>0.00</t>
        </is>
      </c>
      <c r="K4558" t="inlineStr">
        <is>
          <t>🔥低粉爆款</t>
        </is>
      </c>
      <c r="L4558" t="inlineStr">
        <is>
          <t>麦语烘焙坊的店</t>
        </is>
      </c>
      <c r="M4558">
        <v>3995</v>
      </c>
      <c r="N4558">
        <v>4.5</v>
      </c>
      <c r="O4558">
        <v>108000</v>
      </c>
      <c r="P4558" t="inlineStr">
        <is>
          <t>67bdc5d6f6588900013033d0</t>
        </is>
      </c>
      <c r="Q4558" t="inlineStr">
        <is>
          <t>🚫重复</t>
        </is>
      </c>
      <c r="R4558" t="inlineStr">
        <is>
          <t>16周</t>
        </is>
      </c>
      <c r="S4558" t="inlineStr">
        <is>
          <t>16.02</t>
        </is>
      </c>
      <c r="T4558" t="inlineStr">
        <is>
          <t>美食滋补</t>
        </is>
      </c>
      <c r="U4558" t="inlineStr">
        <is>
          <t>休闲零食</t>
        </is>
      </c>
      <c r="V4558" s="3">
        <v>46128.98467592592</v>
      </c>
      <c r="W4558" t="inlineStr">
        <is>
          <t>2026-Q2</t>
        </is>
      </c>
    </row>
    <row r="4559" ht="25.5" customHeight="1">
      <c r="A4559" t="inlineStr">
        <is>
          <t>【常温可囤贝果面包】早八大学生早餐推荐代餐全麦无蔗糖夹低心卡</t>
        </is>
      </c>
      <c r="B4559" t="inlineStr">
        <is>
          <t>__upload_recvgY7N5zsE6C.jpg</t>
        </is>
      </c>
      <c r="C4559" s="2" t="str">
        <f>=HYPERLINK("https://xhslink.com/m/4d6MDOiFPPq", "https://xhslink.com/m/4d6MDOiFPPq")</f>
        <v>https://xhslink.com/m/4d6MDOiFPPq</v>
      </c>
      <c r="D4559"/>
      <c r="E4559">
        <v>157000</v>
      </c>
      <c r="F4559">
        <v>38.8</v>
      </c>
      <c r="G4559">
        <v>17.8</v>
      </c>
      <c r="H4559">
        <v>100</v>
      </c>
      <c r="I4559" t="inlineStr">
        <is>
          <t>早餐面包</t>
        </is>
      </c>
      <c r="J4559" t="inlineStr">
        <is>
          <t>0.00</t>
        </is>
      </c>
      <c r="K4559" t="inlineStr">
        <is>
          <t>🔥低粉爆款</t>
        </is>
      </c>
      <c r="L4559" t="inlineStr">
        <is>
          <t>糖隐烘焙坊的店</t>
        </is>
      </c>
      <c r="M4559">
        <v>17000</v>
      </c>
      <c r="N4559">
        <v>4.59</v>
      </c>
      <c r="O4559">
        <v>190000</v>
      </c>
      <c r="P4559" t="inlineStr">
        <is>
          <t>6713280d758fa40001ae2afb</t>
        </is>
      </c>
      <c r="Q4559" t="inlineStr">
        <is>
          <t>🚫重复</t>
        </is>
      </c>
      <c r="R4559" t="inlineStr">
        <is>
          <t>16周</t>
        </is>
      </c>
      <c r="S4559" t="inlineStr">
        <is>
          <t>9.24</t>
        </is>
      </c>
      <c r="T4559" t="inlineStr">
        <is>
          <t>美食滋补</t>
        </is>
      </c>
      <c r="U4559" t="inlineStr">
        <is>
          <t>休闲零食</t>
        </is>
      </c>
      <c r="V4559" s="3">
        <v>46128.98467592592</v>
      </c>
      <c r="W4559" t="inlineStr">
        <is>
          <t>2026-Q2</t>
        </is>
      </c>
    </row>
    <row r="4560" ht="25.5" customHeight="1">
      <c r="A4560" t="inlineStr">
        <is>
          <t>孕之优品 · 孕妇牛仔裤2026新款小个子九分直筒无托腹孕妇裤春夏款外穿</t>
        </is>
      </c>
      <c r="B4560" t="inlineStr">
        <is>
          <t>__upload_recvgY7N5zQFt4.jpg</t>
        </is>
      </c>
      <c r="C4560" s="2" t="str">
        <f>=HYPERLINK("https://xhslink.com/m/7cChI5taeAq", "https://xhslink.com/m/7cChI5taeAq")</f>
        <v>https://xhslink.com/m/7cChI5taeAq</v>
      </c>
      <c r="D4560"/>
      <c r="E4560">
        <v>1133</v>
      </c>
      <c r="F4560">
        <v>169</v>
      </c>
      <c r="G4560">
        <v>159</v>
      </c>
      <c r="H4560">
        <v>100</v>
      </c>
      <c r="I4560" t="inlineStr">
        <is>
          <t>孕妇装</t>
        </is>
      </c>
      <c r="J4560" t="inlineStr">
        <is>
          <t>0.09</t>
        </is>
      </c>
      <c r="K4560"/>
      <c r="L4560" t="inlineStr">
        <is>
          <t>孕之优品旗舰店</t>
        </is>
      </c>
      <c r="M4560">
        <v>12000</v>
      </c>
      <c r="N4560">
        <v>4.55</v>
      </c>
      <c r="O4560">
        <v>46000</v>
      </c>
      <c r="P4560" t="inlineStr">
        <is>
          <t>67b5476efb962200016029f7</t>
        </is>
      </c>
      <c r="Q4560" t="inlineStr">
        <is>
          <t>🚫重复</t>
        </is>
      </c>
      <c r="R4560" t="inlineStr">
        <is>
          <t>16周</t>
        </is>
      </c>
      <c r="S4560" t="inlineStr">
        <is>
          <t>0.09</t>
        </is>
      </c>
      <c r="T4560" t="inlineStr">
        <is>
          <t>服饰穿搭</t>
        </is>
      </c>
      <c r="U4560" t="inlineStr">
        <is>
          <t>女装</t>
        </is>
      </c>
      <c r="V4560" s="3">
        <v>46128.98467592592</v>
      </c>
      <c r="W4560" t="inlineStr">
        <is>
          <t>2026-Q2</t>
        </is>
      </c>
    </row>
    <row r="4561" ht="25.5" customHeight="1">
      <c r="A4561" t="inlineStr">
        <is>
          <t>夏季简约印花波点系绳经典修身孕妇短袖懒人连衣裙孕期穿搭</t>
        </is>
      </c>
      <c r="B4561" t="inlineStr">
        <is>
          <t>__upload_recvgY7N5zabLC.jpg</t>
        </is>
      </c>
      <c r="C4561" s="2" t="str">
        <f>=HYPERLINK("https://xhslink.com/m/6KXOkFrObIz", "https://xhslink.com/m/6KXOkFrObIz")</f>
        <v>https://xhslink.com/m/6KXOkFrObIz</v>
      </c>
      <c r="D4561"/>
      <c r="E4561">
        <v>1421</v>
      </c>
      <c r="F4561">
        <v>119</v>
      </c>
      <c r="G4561">
        <v>109</v>
      </c>
      <c r="H4561">
        <v>100</v>
      </c>
      <c r="I4561" t="inlineStr">
        <is>
          <t>孕妇装</t>
        </is>
      </c>
      <c r="J4561" t="inlineStr">
        <is>
          <t>0.07</t>
        </is>
      </c>
      <c r="K4561"/>
      <c r="L4561" t="inlineStr">
        <is>
          <t>小懒孕期穿搭的店</t>
        </is>
      </c>
      <c r="M4561">
        <v>36000</v>
      </c>
      <c r="N4561">
        <v>4.51</v>
      </c>
      <c r="O4561">
        <v>105000</v>
      </c>
      <c r="P4561" t="inlineStr">
        <is>
          <t>6841db99317c9000018ed5e4</t>
        </is>
      </c>
      <c r="Q4561" t="inlineStr">
        <is>
          <t>🚫重复</t>
        </is>
      </c>
      <c r="R4561" t="inlineStr">
        <is>
          <t>16周</t>
        </is>
      </c>
      <c r="S4561" t="inlineStr">
        <is>
          <t>0.04</t>
        </is>
      </c>
      <c r="T4561" t="inlineStr">
        <is>
          <t>服饰穿搭</t>
        </is>
      </c>
      <c r="U4561" t="inlineStr">
        <is>
          <t>女装</t>
        </is>
      </c>
      <c r="V4561" s="3">
        <v>46128.98467592592</v>
      </c>
      <c r="W4561" t="inlineStr">
        <is>
          <t>2026-Q2</t>
        </is>
      </c>
    </row>
    <row r="4562" ht="25.5" customHeight="1">
      <c r="A4562" t="inlineStr">
        <is>
          <t>宝宝步前鞋春夏软底点胶防滑小月龄学步鞋魔术贴不易摔新生儿鞋子</t>
        </is>
      </c>
      <c r="B4562" t="inlineStr">
        <is>
          <t>__upload_recvgY7N5zeGjH.jpg</t>
        </is>
      </c>
      <c r="C4562" s="2" t="str">
        <f>=HYPERLINK("https://xhslink.com/m/7rgRGGS89u1", "https://xhslink.com/m/7rgRGGS89u1")</f>
        <v>https://xhslink.com/m/7rgRGGS89u1</v>
      </c>
      <c r="D4562"/>
      <c r="E4562">
        <v>6245</v>
      </c>
      <c r="F4562">
        <v>29.8</v>
      </c>
      <c r="G4562">
        <v>28.8</v>
      </c>
      <c r="H4562">
        <v>100</v>
      </c>
      <c r="I4562" t="inlineStr">
        <is>
          <t>宝宝鞋</t>
        </is>
      </c>
      <c r="J4562" t="inlineStr">
        <is>
          <t>0.02</t>
        </is>
      </c>
      <c r="K4562" t="inlineStr">
        <is>
          <t>🔥低粉爆款</t>
        </is>
      </c>
      <c r="L4562" t="inlineStr">
        <is>
          <t>浠浠酱呀的店</t>
        </is>
      </c>
      <c r="M4562">
        <v>199</v>
      </c>
      <c r="N4562">
        <v>4.65</v>
      </c>
      <c r="O4562">
        <v>9960</v>
      </c>
      <c r="P4562" t="inlineStr">
        <is>
          <t>69a2b52b79e41000150d1bfa</t>
        </is>
      </c>
      <c r="Q4562" t="inlineStr">
        <is>
          <t>🚫重复</t>
        </is>
      </c>
      <c r="R4562" t="inlineStr">
        <is>
          <t>16周</t>
        </is>
      </c>
      <c r="S4562" t="inlineStr">
        <is>
          <t>31.38</t>
        </is>
      </c>
      <c r="T4562" t="inlineStr">
        <is>
          <t>母婴亲子</t>
        </is>
      </c>
      <c r="U4562" t="inlineStr">
        <is>
          <t>童装童鞋</t>
        </is>
      </c>
      <c r="V4562" s="3">
        <v>46128.98467592592</v>
      </c>
      <c r="W4562" t="inlineStr">
        <is>
          <t>2026-Q2</t>
        </is>
      </c>
    </row>
    <row r="4563" ht="25.5" customHeight="1">
      <c r="A4563" t="inlineStr">
        <is>
          <t>【矮牵牛】10cm盆栽苗（请查看详情页再下单）全店满39包邮</t>
        </is>
      </c>
      <c r="B4563" t="inlineStr">
        <is>
          <t>__upload_recvh40wndluLx.jpg</t>
        </is>
      </c>
      <c r="C4563" s="2" t="str">
        <f>=HYPERLINK("https://xhslink.com/m/3kosdBrmZ4c", "https://xhslink.com/m/3kosdBrmZ4c")</f>
        <v>https://xhslink.com/m/3kosdBrmZ4c</v>
      </c>
      <c r="D4563"/>
      <c r="E4563">
        <v>26000</v>
      </c>
      <c r="F4563">
        <v>7.9</v>
      </c>
      <c r="G4563"/>
      <c r="H4563">
        <v>100</v>
      </c>
      <c r="I4563" t="inlineStr">
        <is>
          <t>绿植</t>
        </is>
      </c>
      <c r="J4563" t="inlineStr">
        <is>
          <t>0.00</t>
        </is>
      </c>
      <c r="K4563"/>
      <c r="L4563" t="inlineStr">
        <is>
          <t>深夜种花的男子-48小时内发货的店</t>
        </is>
      </c>
      <c r="M4563">
        <v>29000</v>
      </c>
      <c r="N4563">
        <v>4.6</v>
      </c>
      <c r="O4563">
        <v>170000</v>
      </c>
      <c r="P4563" t="inlineStr">
        <is>
          <t>67612b7479f3cb0001601c81</t>
        </is>
      </c>
      <c r="Q4563" t="inlineStr">
        <is>
          <t>🚫重复</t>
        </is>
      </c>
      <c r="R4563" t="inlineStr">
        <is>
          <t>16周</t>
        </is>
      </c>
      <c r="S4563" t="inlineStr">
        <is>
          <t>0.90</t>
        </is>
      </c>
      <c r="T4563" t="inlineStr">
        <is>
          <t>家居生活</t>
        </is>
      </c>
      <c r="U4563" t="inlineStr">
        <is>
          <t>家具家装</t>
        </is>
      </c>
      <c r="V4563" s="3">
        <v>46129.99076388889</v>
      </c>
      <c r="W4563" t="inlineStr">
        <is>
          <t>2026-Q2</t>
        </is>
      </c>
    </row>
    <row r="4564" ht="25.5" customHeight="1">
      <c r="A4564" t="inlineStr">
        <is>
          <t>特价香水百合花种球大球带芽耐寒四季盆栽好养易活室内外阳台花卉</t>
        </is>
      </c>
      <c r="B4564" t="inlineStr">
        <is>
          <t>__upload_recvh40z22zPml.jpg</t>
        </is>
      </c>
      <c r="C4564" s="2" t="str">
        <f>=HYPERLINK("https://xhslink.com/m/A2Ue8bkUoUc", "https://xhslink.com/m/A2Ue8bkUoUc")</f>
        <v>https://xhslink.com/m/A2Ue8bkUoUc</v>
      </c>
      <c r="D4564"/>
      <c r="E4564">
        <v>8370</v>
      </c>
      <c r="F4564">
        <v>11.8</v>
      </c>
      <c r="G4564"/>
      <c r="H4564">
        <v>100</v>
      </c>
      <c r="I4564" t="inlineStr">
        <is>
          <t>绿植</t>
        </is>
      </c>
      <c r="J4564" t="inlineStr">
        <is>
          <t>0.01</t>
        </is>
      </c>
      <c r="K4564" t="inlineStr">
        <is>
          <t>🔥低粉爆款</t>
        </is>
      </c>
      <c r="L4564" t="inlineStr">
        <is>
          <t>姗姗家花卉种球的店</t>
        </is>
      </c>
      <c r="M4564">
        <v>1024</v>
      </c>
      <c r="N4564">
        <v>4.15</v>
      </c>
      <c r="O4564">
        <v>8941</v>
      </c>
      <c r="P4564" t="inlineStr">
        <is>
          <t>69b2a2323250830001ea95f6</t>
        </is>
      </c>
      <c r="Q4564" t="inlineStr">
        <is>
          <t>🚫重复</t>
        </is>
      </c>
      <c r="R4564" t="inlineStr">
        <is>
          <t>16周</t>
        </is>
      </c>
      <c r="S4564" t="inlineStr">
        <is>
          <t>8.17</t>
        </is>
      </c>
      <c r="T4564" t="inlineStr">
        <is>
          <t>家居生活</t>
        </is>
      </c>
      <c r="U4564" t="inlineStr">
        <is>
          <t>家具家装</t>
        </is>
      </c>
      <c r="V4564" s="3">
        <v>46129.99087962963</v>
      </c>
      <c r="W4564" t="inlineStr">
        <is>
          <t>2026-Q2</t>
        </is>
      </c>
    </row>
    <row r="4565" ht="25.5" customHeight="1">
      <c r="A4565" t="inlineStr">
        <is>
          <t>天狼月季 2.8升棒棒糖树月季 盆栽花卉植物</t>
        </is>
      </c>
      <c r="B4565" t="inlineStr">
        <is>
          <t>__upload_recvh40CU0PXYD.jpg</t>
        </is>
      </c>
      <c r="C4565" s="2" t="str">
        <f>=HYPERLINK("https://xhslink.com/m/2sw6yYLY4H1", "https://xhslink.com/m/2sw6yYLY4H1")</f>
        <v>https://xhslink.com/m/2sw6yYLY4H1</v>
      </c>
      <c r="D4565"/>
      <c r="E4565">
        <v>6787</v>
      </c>
      <c r="F4565">
        <v>99.75</v>
      </c>
      <c r="G4565">
        <v>79.8</v>
      </c>
      <c r="H4565">
        <v>100</v>
      </c>
      <c r="I4565" t="inlineStr">
        <is>
          <t>绿植</t>
        </is>
      </c>
      <c r="J4565" t="inlineStr">
        <is>
          <t>0.01</t>
        </is>
      </c>
      <c r="K4565"/>
      <c r="L4565" t="inlineStr">
        <is>
          <t>天狼月季的店</t>
        </is>
      </c>
      <c r="M4565">
        <v>384000</v>
      </c>
      <c r="N4565">
        <v>4.07</v>
      </c>
      <c r="O4565">
        <v>335000</v>
      </c>
      <c r="P4565" t="inlineStr">
        <is>
          <t>65221114d67ef10001760a85</t>
        </is>
      </c>
      <c r="Q4565"/>
      <c r="R4565" t="inlineStr">
        <is>
          <t>16周</t>
        </is>
      </c>
      <c r="S4565" t="inlineStr">
        <is>
          <t>0.02</t>
        </is>
      </c>
      <c r="T4565" t="inlineStr">
        <is>
          <t>家居生活</t>
        </is>
      </c>
      <c r="U4565" t="inlineStr">
        <is>
          <t>家具家装</t>
        </is>
      </c>
      <c r="V4565" s="3">
        <v>46129.991064814814</v>
      </c>
      <c r="W4565" t="inlineStr">
        <is>
          <t>2026-Q2</t>
        </is>
      </c>
    </row>
    <row r="4566" ht="25.5" customHeight="1">
      <c r="A4566" t="inlineStr">
        <is>
          <t>佛手 佛手柑-超长花期 越大越香 天然香薰 懒人必备 多为绿果</t>
        </is>
      </c>
      <c r="B4566" t="inlineStr">
        <is>
          <t>__upload_recvh40CU0FYyq.jpg</t>
        </is>
      </c>
      <c r="C4566" s="2" t="str">
        <f>=HYPERLINK("https://xhslink.com/m/5FaZ0SHNUK1", "https://xhslink.com/m/5FaZ0SHNUK1")</f>
        <v>https://xhslink.com/m/5FaZ0SHNUK1</v>
      </c>
      <c r="D4566"/>
      <c r="E4566">
        <v>22000</v>
      </c>
      <c r="F4566">
        <v>42.9</v>
      </c>
      <c r="G4566">
        <v>37.9</v>
      </c>
      <c r="H4566">
        <v>100</v>
      </c>
      <c r="I4566" t="inlineStr">
        <is>
          <t>绿植</t>
        </is>
      </c>
      <c r="J4566" t="inlineStr">
        <is>
          <t>0.00</t>
        </is>
      </c>
      <c r="K4566" t="inlineStr">
        <is>
          <t>🔥低粉爆款</t>
        </is>
      </c>
      <c r="L4566" t="inlineStr">
        <is>
          <t>云梦花语的店</t>
        </is>
      </c>
      <c r="M4566">
        <v>3331</v>
      </c>
      <c r="N4566">
        <v>4.44</v>
      </c>
      <c r="O4566">
        <v>32000</v>
      </c>
      <c r="P4566" t="inlineStr">
        <is>
          <t>66e8f3b734fae900014eefc0</t>
        </is>
      </c>
      <c r="Q4566" t="inlineStr">
        <is>
          <t>🚫重复</t>
        </is>
      </c>
      <c r="R4566" t="inlineStr">
        <is>
          <t>16周</t>
        </is>
      </c>
      <c r="S4566" t="inlineStr">
        <is>
          <t>6.60</t>
        </is>
      </c>
      <c r="T4566" t="inlineStr">
        <is>
          <t>家居生活</t>
        </is>
      </c>
      <c r="U4566" t="inlineStr">
        <is>
          <t>家居日用</t>
        </is>
      </c>
      <c r="V4566" s="3">
        <v>46129.991064814814</v>
      </c>
      <c r="W4566" t="inlineStr">
        <is>
          <t>2026-Q2</t>
        </is>
      </c>
    </row>
    <row r="4567" ht="25.5" customHeight="1">
      <c r="A4567" t="inlineStr">
        <is>
          <t>德国鸢尾盆栽·买一送一【正价送一芽穴盘德鸢】太高会剪叶发货</t>
        </is>
      </c>
      <c r="B4567" t="inlineStr">
        <is>
          <t>__upload_recvh40CU06H9P.jpg</t>
        </is>
      </c>
      <c r="C4567" s="2" t="str">
        <f>=HYPERLINK("https://xhslink.com/m/CiaFqQ0Iqw", "https://xhslink.com/m/CiaFqQ0Iqw")</f>
        <v>https://xhslink.com/m/CiaFqQ0Iqw</v>
      </c>
      <c r="D4567"/>
      <c r="E4567">
        <v>7809</v>
      </c>
      <c r="F4567">
        <v>29.9</v>
      </c>
      <c r="G4567"/>
      <c r="H4567">
        <v>100</v>
      </c>
      <c r="I4567" t="inlineStr">
        <is>
          <t>绿植</t>
        </is>
      </c>
      <c r="J4567" t="inlineStr">
        <is>
          <t>0.01</t>
        </is>
      </c>
      <c r="K4567"/>
      <c r="L4567" t="inlineStr">
        <is>
          <t>深夜种花的男子-48小时内发货的店</t>
        </is>
      </c>
      <c r="M4567">
        <v>29000</v>
      </c>
      <c r="N4567">
        <v>4.6</v>
      </c>
      <c r="O4567">
        <v>170000</v>
      </c>
      <c r="P4567" t="inlineStr">
        <is>
          <t>64454971a317a70001205d5d</t>
        </is>
      </c>
      <c r="Q4567" t="inlineStr">
        <is>
          <t>🚫重复</t>
        </is>
      </c>
      <c r="R4567" t="inlineStr">
        <is>
          <t>16周</t>
        </is>
      </c>
      <c r="S4567" t="inlineStr">
        <is>
          <t>0.27</t>
        </is>
      </c>
      <c r="T4567" t="inlineStr">
        <is>
          <t>家居生活</t>
        </is>
      </c>
      <c r="U4567" t="inlineStr">
        <is>
          <t>家具家装</t>
        </is>
      </c>
      <c r="V4567" s="3">
        <v>46129.991064814814</v>
      </c>
      <c r="W4567" t="inlineStr">
        <is>
          <t>2026-Q2</t>
        </is>
      </c>
    </row>
    <row r="4568" ht="25.5" customHeight="1">
      <c r="A4568" t="inlineStr">
        <is>
          <t>植物再生剂通用型浓缩营养液绿植花卉家庭园艺肥料</t>
        </is>
      </c>
      <c r="B4568" t="inlineStr">
        <is>
          <t>__upload_recvh40CU07o5I.jpg</t>
        </is>
      </c>
      <c r="C4568" s="2" t="str">
        <f>=HYPERLINK("https://xhslink.com/m/9Lbkbo3ydiR", "https://xhslink.com/m/9Lbkbo3ydiR")</f>
        <v>https://xhslink.com/m/9Lbkbo3ydiR</v>
      </c>
      <c r="D4568"/>
      <c r="E4568">
        <v>40000</v>
      </c>
      <c r="F4568">
        <v>39.9</v>
      </c>
      <c r="G4568"/>
      <c r="H4568">
        <v>100</v>
      </c>
      <c r="I4568" t="inlineStr">
        <is>
          <t>绿植</t>
        </is>
      </c>
      <c r="J4568" t="inlineStr">
        <is>
          <t>0.00</t>
        </is>
      </c>
      <c r="K4568"/>
      <c r="L4568" t="inlineStr">
        <is>
          <t>垦博士园艺的店</t>
        </is>
      </c>
      <c r="M4568">
        <v>14000</v>
      </c>
      <c r="N4568">
        <v>4.67</v>
      </c>
      <c r="O4568">
        <v>64000</v>
      </c>
      <c r="P4568" t="inlineStr">
        <is>
          <t>68e6392b8aa5760001a97878</t>
        </is>
      </c>
      <c r="Q4568"/>
      <c r="R4568" t="inlineStr">
        <is>
          <t>16周</t>
        </is>
      </c>
      <c r="S4568" t="inlineStr">
        <is>
          <t>2.86</t>
        </is>
      </c>
      <c r="T4568" t="inlineStr">
        <is>
          <t>家居生活</t>
        </is>
      </c>
      <c r="U4568" t="inlineStr">
        <is>
          <t>家具家装</t>
        </is>
      </c>
      <c r="V4568" s="3">
        <v>46129.991064814814</v>
      </c>
      <c r="W4568" t="inlineStr">
        <is>
          <t>2026-Q2</t>
        </is>
      </c>
    </row>
    <row r="4569" ht="25.5" customHeight="1">
      <c r="A4569" t="inlineStr">
        <is>
          <t>臻敷堂 · 品质升级3.0送运费险】海盐热敷包暖宫/祛湿/护腰/肩颈</t>
        </is>
      </c>
      <c r="B4569" t="inlineStr">
        <is>
          <t>__upload_recvh40CU0zbI5.jpg</t>
        </is>
      </c>
      <c r="C4569" s="2" t="str">
        <f>=HYPERLINK("https://xhslink.com/m/1ZQVkMgpxGn", "https://xhslink.com/m/1ZQVkMgpxGn")</f>
        <v>https://xhslink.com/m/1ZQVkMgpxGn</v>
      </c>
      <c r="D4569"/>
      <c r="E4569">
        <v>51000</v>
      </c>
      <c r="F4569">
        <v>89.9</v>
      </c>
      <c r="G4569">
        <v>56.6</v>
      </c>
      <c r="H4569">
        <v>100</v>
      </c>
      <c r="I4569" t="inlineStr">
        <is>
          <t>海盐热敷包</t>
        </is>
      </c>
      <c r="J4569" t="inlineStr">
        <is>
          <t>0.00</t>
        </is>
      </c>
      <c r="K4569" t="inlineStr">
        <is>
          <t>🔥低粉爆款</t>
        </is>
      </c>
      <c r="L4569" t="inlineStr">
        <is>
          <t>洛神家LSh定制的店</t>
        </is>
      </c>
      <c r="M4569">
        <v>8235</v>
      </c>
      <c r="N4569">
        <v>4.66</v>
      </c>
      <c r="O4569">
        <v>211000</v>
      </c>
      <c r="P4569" t="inlineStr">
        <is>
          <t>66973c205cf22c000151036c</t>
        </is>
      </c>
      <c r="Q4569"/>
      <c r="R4569" t="inlineStr">
        <is>
          <t>16周</t>
        </is>
      </c>
      <c r="S4569" t="inlineStr">
        <is>
          <t>6.19</t>
        </is>
      </c>
      <c r="T4569" t="inlineStr">
        <is>
          <t>美食滋补</t>
        </is>
      </c>
      <c r="U4569" t="inlineStr">
        <is>
          <t>营养滋补</t>
        </is>
      </c>
      <c r="V4569" s="3">
        <v>46129.991064814814</v>
      </c>
      <c r="W4569" t="inlineStr">
        <is>
          <t>2026-Q2</t>
        </is>
      </c>
    </row>
    <row r="4570" ht="25.5" customHeight="1">
      <c r="A4570" t="inlineStr">
        <is>
          <t>无火香薰家用香熏高级酒店精油卧室卫生间客厅持久留香摆件除味女</t>
        </is>
      </c>
      <c r="B4570" t="inlineStr">
        <is>
          <t>__upload_recvh40CU0ppqA.jpg</t>
        </is>
      </c>
      <c r="C4570" s="2" t="str">
        <f>=HYPERLINK("https://xhslink.com/m/8DqFMDPhj5B", "https://xhslink.com/m/8DqFMDPhj5B")</f>
        <v>https://xhslink.com/m/8DqFMDPhj5B</v>
      </c>
      <c r="D4570"/>
      <c r="E4570">
        <v>42000</v>
      </c>
      <c r="F4570">
        <v>79</v>
      </c>
      <c r="G4570">
        <v>62</v>
      </c>
      <c r="H4570">
        <v>100</v>
      </c>
      <c r="I4570" t="inlineStr">
        <is>
          <t>无火香薰</t>
        </is>
      </c>
      <c r="J4570" t="inlineStr">
        <is>
          <t>0.00</t>
        </is>
      </c>
      <c r="K4570" t="inlineStr">
        <is>
          <t>🔥低粉爆款</t>
        </is>
      </c>
      <c r="L4570" t="inlineStr">
        <is>
          <t>Quivenic奇闻纪的店</t>
        </is>
      </c>
      <c r="M4570">
        <v>6242</v>
      </c>
      <c r="N4570">
        <v>4.58</v>
      </c>
      <c r="O4570">
        <v>122000</v>
      </c>
      <c r="P4570" t="inlineStr">
        <is>
          <t>682d71b3a5e39b0015ffa947</t>
        </is>
      </c>
      <c r="Q4570" t="inlineStr">
        <is>
          <t>🚫重复</t>
        </is>
      </c>
      <c r="R4570" t="inlineStr">
        <is>
          <t>16周</t>
        </is>
      </c>
      <c r="S4570" t="inlineStr">
        <is>
          <t>6.73</t>
        </is>
      </c>
      <c r="T4570" t="inlineStr">
        <is>
          <t>家居生活</t>
        </is>
      </c>
      <c r="U4570" t="inlineStr">
        <is>
          <t>家居日用</t>
        </is>
      </c>
      <c r="V4570" s="3">
        <v>46129.991064814814</v>
      </c>
      <c r="W4570" t="inlineStr">
        <is>
          <t>2026-Q2</t>
        </is>
      </c>
    </row>
    <row r="4571" ht="25.5" customHeight="1">
      <c r="A4571" t="inlineStr">
        <is>
          <t>家用平底锅牛排锅煎锅手抓饼鸡蛋煎锅免开锅电磁炉燃气灶通用</t>
        </is>
      </c>
      <c r="B4571" t="inlineStr">
        <is>
          <t>__upload_recvh40CU02zDY.jpg</t>
        </is>
      </c>
      <c r="C4571" s="2" t="str">
        <f>=HYPERLINK("https://xhslink.com/m/7rEf18IZCQC", "https://xhslink.com/m/7rEf18IZCQC")</f>
        <v>https://xhslink.com/m/7rEf18IZCQC</v>
      </c>
      <c r="D4571"/>
      <c r="E4571">
        <v>36000</v>
      </c>
      <c r="F4571">
        <v>69</v>
      </c>
      <c r="G4571"/>
      <c r="H4571">
        <v>100</v>
      </c>
      <c r="I4571" t="inlineStr">
        <is>
          <t>厨房用品</t>
        </is>
      </c>
      <c r="J4571" t="inlineStr">
        <is>
          <t>0.00</t>
        </is>
      </c>
      <c r="K4571" t="inlineStr">
        <is>
          <t>🔥低粉爆款</t>
        </is>
      </c>
      <c r="L4571" t="inlineStr">
        <is>
          <t>露露家居的店</t>
        </is>
      </c>
      <c r="M4571">
        <v>2110</v>
      </c>
      <c r="N4571">
        <v>4.58</v>
      </c>
      <c r="O4571">
        <v>41000</v>
      </c>
      <c r="P4571" t="inlineStr">
        <is>
          <t>653a887f06b0b400010aba18</t>
        </is>
      </c>
      <c r="Q4571" t="inlineStr">
        <is>
          <t>🚫重复</t>
        </is>
      </c>
      <c r="R4571" t="inlineStr">
        <is>
          <t>16周</t>
        </is>
      </c>
      <c r="S4571" t="inlineStr">
        <is>
          <t>17.06</t>
        </is>
      </c>
      <c r="T4571" t="inlineStr">
        <is>
          <t>家居生活</t>
        </is>
      </c>
      <c r="U4571" t="inlineStr">
        <is>
          <t>厨房餐饮</t>
        </is>
      </c>
      <c r="V4571" s="3">
        <v>46129.991064814814</v>
      </c>
      <c r="W4571" t="inlineStr">
        <is>
          <t>2026-Q2</t>
        </is>
      </c>
    </row>
    <row r="4572" ht="25.5" customHeight="1">
      <c r="A4572" t="inlineStr">
        <is>
          <t>与西 · 硅胶气垫粉扑化妆刷收纳盒防脏防尘便携透气专用收纳包旅行必备</t>
        </is>
      </c>
      <c r="B4572" t="inlineStr">
        <is>
          <t>__upload_recvh40CU03oPO.jpg</t>
        </is>
      </c>
      <c r="C4572" s="2" t="str">
        <f>=HYPERLINK("https://xhslink.com/m/5irV8Evhflg", "https://xhslink.com/m/5irV8Evhflg")</f>
        <v>https://xhslink.com/m/5irV8Evhflg</v>
      </c>
      <c r="D4572"/>
      <c r="E4572">
        <v>22000</v>
      </c>
      <c r="F4572">
        <v>23</v>
      </c>
      <c r="G4572">
        <v>16</v>
      </c>
      <c r="H4572">
        <v>100</v>
      </c>
      <c r="I4572" t="inlineStr">
        <is>
          <t>厨房用品</t>
        </is>
      </c>
      <c r="J4572" t="inlineStr">
        <is>
          <t>0.00</t>
        </is>
      </c>
      <c r="K4572"/>
      <c r="L4572" t="inlineStr">
        <is>
          <t>哩哩李✨的店</t>
        </is>
      </c>
      <c r="M4572">
        <v>110000</v>
      </c>
      <c r="N4572">
        <v>4.67</v>
      </c>
      <c r="O4572">
        <v>616000</v>
      </c>
      <c r="P4572" t="inlineStr">
        <is>
          <t>67174c6855f45a0001222817</t>
        </is>
      </c>
      <c r="Q4572"/>
      <c r="R4572" t="inlineStr">
        <is>
          <t>16周</t>
        </is>
      </c>
      <c r="S4572" t="inlineStr">
        <is>
          <t>0.20</t>
        </is>
      </c>
      <c r="T4572" t="inlineStr">
        <is>
          <t>美妆个护</t>
        </is>
      </c>
      <c r="U4572" t="inlineStr">
        <is>
          <t>护肤彩妆</t>
        </is>
      </c>
      <c r="V4572" s="3">
        <v>46129.991064814814</v>
      </c>
      <c r="W4572" t="inlineStr">
        <is>
          <t>2026-Q2</t>
        </is>
      </c>
    </row>
    <row r="4573" ht="25.5" customHeight="1">
      <c r="A4573" t="inlineStr">
        <is>
          <t>派司path小方锅 陶瓷钛极岩铸不粘锅 物理不沾 电磁炉燃气灶通用</t>
        </is>
      </c>
      <c r="B4573" t="inlineStr">
        <is>
          <t>__upload_recvh40CU0I0U1.jpg</t>
        </is>
      </c>
      <c r="C4573" s="2" t="str">
        <f>=HYPERLINK("https://xhslink.com/m/2pr7Sl04yTy", "https://xhslink.com/m/2pr7Sl04yTy")</f>
        <v>https://xhslink.com/m/2pr7Sl04yTy</v>
      </c>
      <c r="D4573"/>
      <c r="E4573">
        <v>2777</v>
      </c>
      <c r="F4573">
        <v>208</v>
      </c>
      <c r="G4573">
        <v>98</v>
      </c>
      <c r="H4573">
        <v>100</v>
      </c>
      <c r="I4573" t="inlineStr">
        <is>
          <t>厨房用品</t>
        </is>
      </c>
      <c r="J4573" t="inlineStr">
        <is>
          <t>0.04</t>
        </is>
      </c>
      <c r="K4573"/>
      <c r="L4573" t="inlineStr">
        <is>
          <t>小奈BY的店</t>
        </is>
      </c>
      <c r="M4573">
        <v>1078</v>
      </c>
      <c r="N4573">
        <v>4.59</v>
      </c>
      <c r="O4573">
        <v>30000</v>
      </c>
      <c r="P4573" t="inlineStr">
        <is>
          <t>69523e03d0c58a00012d0286</t>
        </is>
      </c>
      <c r="Q4573"/>
      <c r="R4573" t="inlineStr">
        <is>
          <t>16周</t>
        </is>
      </c>
      <c r="S4573" t="inlineStr">
        <is>
          <t>2.58</t>
        </is>
      </c>
      <c r="T4573" t="inlineStr">
        <is>
          <t>家居生活</t>
        </is>
      </c>
      <c r="U4573" t="inlineStr">
        <is>
          <t>厨房餐饮</t>
        </is>
      </c>
      <c r="V4573" s="3">
        <v>46129.991064814814</v>
      </c>
      <c r="W4573" t="inlineStr">
        <is>
          <t>2026-Q2</t>
        </is>
      </c>
    </row>
    <row r="4574" ht="25.5" customHeight="1">
      <c r="A4574" t="inlineStr">
        <is>
          <t>章丘鱼鳞无涂层平底锅铁锅烙饼煎锅不易粘锅煎蛋锅家用牛排煎锅</t>
        </is>
      </c>
      <c r="B4574" t="inlineStr">
        <is>
          <t>__upload_recvh40CU0URL5.jpg</t>
        </is>
      </c>
      <c r="C4574" s="2" t="str">
        <f>=HYPERLINK("https://xhslink.com/m/A3on4DZteJT", "https://xhslink.com/m/A3on4DZteJT")</f>
        <v>https://xhslink.com/m/A3on4DZteJT</v>
      </c>
      <c r="D4574"/>
      <c r="E4574">
        <v>3301</v>
      </c>
      <c r="F4574">
        <v>65</v>
      </c>
      <c r="G4574">
        <v>35</v>
      </c>
      <c r="H4574">
        <v>100</v>
      </c>
      <c r="I4574" t="inlineStr">
        <is>
          <t>厨房用品</t>
        </is>
      </c>
      <c r="J4574" t="inlineStr">
        <is>
          <t>0.03</t>
        </is>
      </c>
      <c r="K4574" t="inlineStr">
        <is>
          <t>🔥低粉爆款</t>
        </is>
      </c>
      <c r="L4574" t="inlineStr">
        <is>
          <t>章丘匠四安厨具的店</t>
        </is>
      </c>
      <c r="M4574">
        <v>938</v>
      </c>
      <c r="N4574">
        <v>4.69</v>
      </c>
      <c r="O4574">
        <v>6865</v>
      </c>
      <c r="P4574" t="inlineStr">
        <is>
          <t>6857dcc30f1443000137723e</t>
        </is>
      </c>
      <c r="Q4574"/>
      <c r="R4574" t="inlineStr">
        <is>
          <t>16周</t>
        </is>
      </c>
      <c r="S4574" t="inlineStr">
        <is>
          <t>3.52</t>
        </is>
      </c>
      <c r="T4574" t="inlineStr">
        <is>
          <t>家居生活</t>
        </is>
      </c>
      <c r="U4574" t="inlineStr">
        <is>
          <t>厨房餐饮</t>
        </is>
      </c>
      <c r="V4574" s="3">
        <v>46129.991064814814</v>
      </c>
      <c r="W4574" t="inlineStr">
        <is>
          <t>2026-Q2</t>
        </is>
      </c>
    </row>
    <row r="4575" ht="25.5" customHeight="1">
      <c r="A4575" t="inlineStr">
        <is>
          <t>花梨木整木菜板实心整木原木原色健康砧板厨房无漆无蜡无醛双面用</t>
        </is>
      </c>
      <c r="B4575" t="inlineStr">
        <is>
          <t>__upload_recvh40CU0E0B0.jpg</t>
        </is>
      </c>
      <c r="C4575" s="2" t="str">
        <f>=HYPERLINK("https://xhslink.com/m/6WkHNXyaLta", "https://xhslink.com/m/6WkHNXyaLta")</f>
        <v>https://xhslink.com/m/6WkHNXyaLta</v>
      </c>
      <c r="D4575"/>
      <c r="E4575">
        <v>3651</v>
      </c>
      <c r="F4575">
        <v>208</v>
      </c>
      <c r="G4575">
        <v>173</v>
      </c>
      <c r="H4575">
        <v>100</v>
      </c>
      <c r="I4575" t="inlineStr">
        <is>
          <t>厨房用品</t>
        </is>
      </c>
      <c r="J4575" t="inlineStr">
        <is>
          <t>0.03</t>
        </is>
      </c>
      <c r="K4575"/>
      <c r="L4575" t="inlineStr">
        <is>
          <t>东逸整木菜板的店</t>
        </is>
      </c>
      <c r="M4575">
        <v>5821</v>
      </c>
      <c r="N4575">
        <v>4.68</v>
      </c>
      <c r="O4575">
        <v>4311</v>
      </c>
      <c r="P4575" t="inlineStr">
        <is>
          <t>6863a14d8823690001327d10</t>
        </is>
      </c>
      <c r="Q4575" t="inlineStr">
        <is>
          <t>🚫重复</t>
        </is>
      </c>
      <c r="R4575" t="inlineStr">
        <is>
          <t>16周</t>
        </is>
      </c>
      <c r="S4575" t="inlineStr">
        <is>
          <t>0.63</t>
        </is>
      </c>
      <c r="T4575" t="inlineStr">
        <is>
          <t>家居生活</t>
        </is>
      </c>
      <c r="U4575" t="inlineStr">
        <is>
          <t>厨房餐饮</t>
        </is>
      </c>
      <c r="V4575" s="3">
        <v>46129.991064814814</v>
      </c>
      <c r="W4575" t="inlineStr">
        <is>
          <t>2026-Q2</t>
        </is>
      </c>
    </row>
    <row r="4576" ht="25.5" customHeight="1">
      <c r="A4576" t="inlineStr">
        <is>
          <t>困困鸭 · 【深睡礼盒】100%桑蚕丝眼罩睡眠套装遮光眼罩女生送礼生日礼物</t>
        </is>
      </c>
      <c r="B4576" t="inlineStr">
        <is>
          <t>__upload_recvh40CU0Q0ft.jpg</t>
        </is>
      </c>
      <c r="C4576" s="2" t="str">
        <f>=HYPERLINK("https://xhslink.com/m/9rSMK0QjLWu", "https://xhslink.com/m/9rSMK0QjLWu")</f>
        <v>https://xhslink.com/m/9rSMK0QjLWu</v>
      </c>
      <c r="D4576"/>
      <c r="E4576">
        <v>6647</v>
      </c>
      <c r="F4576">
        <v>29.9</v>
      </c>
      <c r="G4576"/>
      <c r="H4576">
        <v>100</v>
      </c>
      <c r="I4576" t="inlineStr">
        <is>
          <t>眼罩</t>
        </is>
      </c>
      <c r="J4576" t="inlineStr">
        <is>
          <t>0.02</t>
        </is>
      </c>
      <c r="K4576"/>
      <c r="L4576" t="inlineStr">
        <is>
          <t>困困鸭 KIPZZZ旗舰店</t>
        </is>
      </c>
      <c r="M4576">
        <v>10000</v>
      </c>
      <c r="N4576">
        <v>4.63</v>
      </c>
      <c r="O4576">
        <v>113000</v>
      </c>
      <c r="P4576" t="inlineStr">
        <is>
          <t>686510fba455ca0001c65e63</t>
        </is>
      </c>
      <c r="Q4576"/>
      <c r="R4576" t="inlineStr">
        <is>
          <t>16周</t>
        </is>
      </c>
      <c r="S4576" t="inlineStr">
        <is>
          <t>0.66</t>
        </is>
      </c>
      <c r="T4576" t="inlineStr">
        <is>
          <t>美妆个护</t>
        </is>
      </c>
      <c r="U4576" t="inlineStr">
        <is>
          <t>个人护理</t>
        </is>
      </c>
      <c r="V4576" s="3">
        <v>46129.991064814814</v>
      </c>
      <c r="W4576" t="inlineStr">
        <is>
          <t>2026-Q2</t>
        </is>
      </c>
    </row>
    <row r="4577" ht="25.5" customHeight="1">
      <c r="A4577" t="inlineStr">
        <is>
          <t>BetterDaily柏日 · 睡眠眼罩遮光不压眼透气缎面羽绒棉零压遮光午睡专用睡眠神器</t>
        </is>
      </c>
      <c r="B4577" t="inlineStr">
        <is>
          <t>__upload_recvh40CU0d1yk.jpg</t>
        </is>
      </c>
      <c r="C4577" s="2" t="str">
        <f>=HYPERLINK("https://xhslink.com/m/u8cWKjZqrf", "https://xhslink.com/m/u8cWKjZqrf")</f>
        <v>https://xhslink.com/m/u8cWKjZqrf</v>
      </c>
      <c r="D4577"/>
      <c r="E4577">
        <v>2877</v>
      </c>
      <c r="F4577">
        <v>69</v>
      </c>
      <c r="G4577">
        <v>49</v>
      </c>
      <c r="H4577">
        <v>100</v>
      </c>
      <c r="I4577" t="inlineStr">
        <is>
          <t>眼罩</t>
        </is>
      </c>
      <c r="J4577" t="inlineStr">
        <is>
          <t>0.03</t>
        </is>
      </c>
      <c r="K4577"/>
      <c r="L4577" t="inlineStr">
        <is>
          <t>BetterDaily的店</t>
        </is>
      </c>
      <c r="M4577">
        <v>12000</v>
      </c>
      <c r="N4577">
        <v>4.62</v>
      </c>
      <c r="O4577">
        <v>131000</v>
      </c>
      <c r="P4577" t="inlineStr">
        <is>
          <t>68ad88fb8ec6fa0001483c49</t>
        </is>
      </c>
      <c r="Q4577"/>
      <c r="R4577" t="inlineStr">
        <is>
          <t>16周</t>
        </is>
      </c>
      <c r="S4577" t="inlineStr">
        <is>
          <t>0.24</t>
        </is>
      </c>
      <c r="T4577" t="inlineStr">
        <is>
          <t>美妆个护</t>
        </is>
      </c>
      <c r="U4577" t="inlineStr">
        <is>
          <t>个人护理</t>
        </is>
      </c>
      <c r="V4577" s="3">
        <v>46129.991064814814</v>
      </c>
      <c r="W4577" t="inlineStr">
        <is>
          <t>2026-Q2</t>
        </is>
      </c>
    </row>
    <row r="4578" ht="25.5" customHeight="1">
      <c r="A4578" t="inlineStr">
        <is>
          <t>桌面杂物收纳盒零食整理盒玩具衣服家用宿舍衣柜储物箱杂物收纳箱</t>
        </is>
      </c>
      <c r="B4578" t="inlineStr">
        <is>
          <t>__upload_recvh40CU09ohT.jpg</t>
        </is>
      </c>
      <c r="C4578" s="2" t="str">
        <f>=HYPERLINK("https://xhslink.com/m/2Xu6UWlNlHt", "https://xhslink.com/m/2Xu6UWlNlHt")</f>
        <v>https://xhslink.com/m/2Xu6UWlNlHt</v>
      </c>
      <c r="D4578"/>
      <c r="E4578">
        <v>71000</v>
      </c>
      <c r="F4578">
        <v>19.99</v>
      </c>
      <c r="G4578">
        <v>6.9</v>
      </c>
      <c r="H4578">
        <v>100</v>
      </c>
      <c r="I4578" t="inlineStr">
        <is>
          <t>桌面收纳</t>
        </is>
      </c>
      <c r="J4578" t="inlineStr">
        <is>
          <t>0.00</t>
        </is>
      </c>
      <c r="K4578" t="inlineStr">
        <is>
          <t>🔥低粉爆款</t>
        </is>
      </c>
      <c r="L4578" t="inlineStr">
        <is>
          <t>郑红志的店</t>
        </is>
      </c>
      <c r="M4578">
        <v>18000</v>
      </c>
      <c r="N4578">
        <v>4.51</v>
      </c>
      <c r="O4578">
        <v>197000</v>
      </c>
      <c r="P4578" t="inlineStr">
        <is>
          <t>64da1e00666695000128b21c</t>
        </is>
      </c>
      <c r="Q4578" t="inlineStr">
        <is>
          <t>🚫重复</t>
        </is>
      </c>
      <c r="R4578" t="inlineStr">
        <is>
          <t>16周</t>
        </is>
      </c>
      <c r="S4578" t="inlineStr">
        <is>
          <t>3.94</t>
        </is>
      </c>
      <c r="T4578" t="inlineStr">
        <is>
          <t>家居生活</t>
        </is>
      </c>
      <c r="U4578" t="inlineStr">
        <is>
          <t>家居日用</t>
        </is>
      </c>
      <c r="V4578" s="3">
        <v>46129.991064814814</v>
      </c>
      <c r="W4578" t="inlineStr">
        <is>
          <t>2026-Q2</t>
        </is>
      </c>
    </row>
    <row r="4579" ht="25.5" customHeight="1">
      <c r="A4579" t="inlineStr">
        <is>
          <t>长条收纳盒分隔神器桌面收纳盒衣橱柜储物抽屉化妆品手机收纳盒</t>
        </is>
      </c>
      <c r="B4579" t="inlineStr">
        <is>
          <t>__upload_recvh40CU0vKXy.jpg</t>
        </is>
      </c>
      <c r="C4579" s="2" t="str">
        <f>=HYPERLINK("https://xhslink.com/m/4uRC5NgQoKm", "https://xhslink.com/m/4uRC5NgQoKm")</f>
        <v>https://xhslink.com/m/4uRC5NgQoKm</v>
      </c>
      <c r="D4579"/>
      <c r="E4579">
        <v>55000</v>
      </c>
      <c r="F4579">
        <v>37.9</v>
      </c>
      <c r="G4579">
        <v>17.9</v>
      </c>
      <c r="H4579">
        <v>100</v>
      </c>
      <c r="I4579" t="inlineStr">
        <is>
          <t>桌面收纳</t>
        </is>
      </c>
      <c r="J4579" t="inlineStr">
        <is>
          <t>0.00</t>
        </is>
      </c>
      <c r="K4579" t="inlineStr">
        <is>
          <t>🔥低粉爆款</t>
        </is>
      </c>
      <c r="L4579" t="inlineStr">
        <is>
          <t>烟火气研究所的店</t>
        </is>
      </c>
      <c r="M4579">
        <v>1793</v>
      </c>
      <c r="N4579">
        <v>4.48</v>
      </c>
      <c r="O4579">
        <v>68000</v>
      </c>
      <c r="P4579" t="inlineStr">
        <is>
          <t>6982be7be04706000199baf0</t>
        </is>
      </c>
      <c r="Q4579" t="inlineStr">
        <is>
          <t>🚫重复</t>
        </is>
      </c>
      <c r="R4579" t="inlineStr">
        <is>
          <t>16周</t>
        </is>
      </c>
      <c r="S4579" t="inlineStr">
        <is>
          <t>30.67</t>
        </is>
      </c>
      <c r="T4579" t="inlineStr">
        <is>
          <t>家居生活</t>
        </is>
      </c>
      <c r="U4579" t="inlineStr">
        <is>
          <t>家居日用</t>
        </is>
      </c>
      <c r="V4579" s="3">
        <v>46129.991064814814</v>
      </c>
      <c r="W4579" t="inlineStr">
        <is>
          <t>2026-Q2</t>
        </is>
      </c>
    </row>
    <row r="4580" ht="25.5" customHeight="1">
      <c r="A4580" t="inlineStr">
        <is>
          <t>稞间 · 麻辣子芝麻烧筋豆角干味劲道辣条爆辣手工老式零食油泼辣子陕西</t>
        </is>
      </c>
      <c r="B4580" t="inlineStr">
        <is>
          <t>__upload_recvh40CU0XzdX.jpg</t>
        </is>
      </c>
      <c r="C4580" s="2" t="str">
        <f>=HYPERLINK("https://xhslink.com/m/Ak0ZboMWvxV", "https://xhslink.com/m/Ak0ZboMWvxV")</f>
        <v>https://xhslink.com/m/Ak0ZboMWvxV</v>
      </c>
      <c r="D4580"/>
      <c r="E4580">
        <v>98000</v>
      </c>
      <c r="F4580">
        <v>8.9</v>
      </c>
      <c r="G4580">
        <v>5.9</v>
      </c>
      <c r="H4580">
        <v>100</v>
      </c>
      <c r="I4580" t="inlineStr">
        <is>
          <t>宿舍零食</t>
        </is>
      </c>
      <c r="J4580" t="inlineStr">
        <is>
          <t>0.00</t>
        </is>
      </c>
      <c r="K4580" t="inlineStr">
        <is>
          <t>🔥低粉爆款</t>
        </is>
      </c>
      <c r="L4580" t="inlineStr">
        <is>
          <t>稞间KeJian的店</t>
        </is>
      </c>
      <c r="M4580">
        <v>2737</v>
      </c>
      <c r="N4580">
        <v>4.56</v>
      </c>
      <c r="O4580">
        <v>111000</v>
      </c>
      <c r="P4580" t="inlineStr">
        <is>
          <t>67c5740ceef182000153fbdf</t>
        </is>
      </c>
      <c r="Q4580"/>
      <c r="R4580" t="inlineStr">
        <is>
          <t>16周</t>
        </is>
      </c>
      <c r="S4580" t="inlineStr">
        <is>
          <t>35.81</t>
        </is>
      </c>
      <c r="T4580" t="inlineStr">
        <is>
          <t>美食滋补</t>
        </is>
      </c>
      <c r="U4580" t="inlineStr">
        <is>
          <t>休闲零食</t>
        </is>
      </c>
      <c r="V4580" s="3">
        <v>46129.991064814814</v>
      </c>
      <c r="W4580" t="inlineStr">
        <is>
          <t>2026-Q2</t>
        </is>
      </c>
    </row>
    <row r="4581" ht="25.5" customHeight="1">
      <c r="A4581" t="inlineStr">
        <is>
          <t>必吃榜！半斤/约30包潮汕特产办公室零食核桃木烤蜜猪肉脯</t>
        </is>
      </c>
      <c r="B4581" t="inlineStr">
        <is>
          <t>__upload_recvh40CU0uAjJ.jpg</t>
        </is>
      </c>
      <c r="C4581" s="2" t="str">
        <f>=HYPERLINK("https://xhslink.com/m/8JkguzJxWkA", "https://xhslink.com/m/8JkguzJxWkA")</f>
        <v>https://xhslink.com/m/8JkguzJxWkA</v>
      </c>
      <c r="D4581"/>
      <c r="E4581">
        <v>379000</v>
      </c>
      <c r="F4581">
        <v>70</v>
      </c>
      <c r="G4581">
        <v>35.8</v>
      </c>
      <c r="H4581">
        <v>100</v>
      </c>
      <c r="I4581" t="inlineStr">
        <is>
          <t>宿舍零食</t>
        </is>
      </c>
      <c r="J4581" t="inlineStr">
        <is>
          <t>0.00</t>
        </is>
      </c>
      <c r="K4581" t="inlineStr">
        <is>
          <t>🔥低粉爆款</t>
        </is>
      </c>
      <c r="L4581" t="inlineStr">
        <is>
          <t>喜成福运核桃木烤猪肉脯的店</t>
        </is>
      </c>
      <c r="M4581">
        <v>18000</v>
      </c>
      <c r="N4581">
        <v>4.43</v>
      </c>
      <c r="O4581">
        <v>416000</v>
      </c>
      <c r="P4581" t="inlineStr">
        <is>
          <t>6522c25841d7570001b2b443</t>
        </is>
      </c>
      <c r="Q4581" t="inlineStr">
        <is>
          <t>🚫重复</t>
        </is>
      </c>
      <c r="R4581" t="inlineStr">
        <is>
          <t>16周</t>
        </is>
      </c>
      <c r="S4581" t="inlineStr">
        <is>
          <t>21.06</t>
        </is>
      </c>
      <c r="T4581" t="inlineStr">
        <is>
          <t>美食滋补</t>
        </is>
      </c>
      <c r="U4581" t="inlineStr">
        <is>
          <t>休闲零食</t>
        </is>
      </c>
      <c r="V4581" s="3">
        <v>46129.991064814814</v>
      </c>
      <c r="W4581" t="inlineStr">
        <is>
          <t>2026-Q2</t>
        </is>
      </c>
    </row>
    <row r="4582" ht="25.5" customHeight="1">
      <c r="A4582" t="inlineStr">
        <is>
          <t>陈皮青梅抱葡萄爆浆夹心无核梅子梅有葡萄蜜饯酸甜开胃休闲零食</t>
        </is>
      </c>
      <c r="B4582" t="inlineStr">
        <is>
          <t>__upload_recvh40CU0ZIdP.jpg</t>
        </is>
      </c>
      <c r="C4582" s="2" t="str">
        <f>=HYPERLINK("https://xhslink.com/m/3ba9wTT3V08", "https://xhslink.com/m/3ba9wTT3V08")</f>
        <v>https://xhslink.com/m/3ba9wTT3V08</v>
      </c>
      <c r="D4582"/>
      <c r="E4582">
        <v>515000</v>
      </c>
      <c r="F4582">
        <v>19.9</v>
      </c>
      <c r="G4582">
        <v>9.9</v>
      </c>
      <c r="H4582">
        <v>100</v>
      </c>
      <c r="I4582" t="inlineStr">
        <is>
          <t>宿舍零食</t>
        </is>
      </c>
      <c r="J4582" t="inlineStr">
        <is>
          <t>0.00</t>
        </is>
      </c>
      <c r="K4582" t="inlineStr">
        <is>
          <t>🔥低粉爆款</t>
        </is>
      </c>
      <c r="L4582" t="inlineStr">
        <is>
          <t>潮汕果匣原晒的店</t>
        </is>
      </c>
      <c r="M4582">
        <v>17000</v>
      </c>
      <c r="N4582">
        <v>4.54</v>
      </c>
      <c r="O4582">
        <v>595000</v>
      </c>
      <c r="P4582" t="inlineStr">
        <is>
          <t>681e51bf38a9a60001a94291</t>
        </is>
      </c>
      <c r="Q4582"/>
      <c r="R4582" t="inlineStr">
        <is>
          <t>16周</t>
        </is>
      </c>
      <c r="S4582" t="inlineStr">
        <is>
          <t>30.29</t>
        </is>
      </c>
      <c r="T4582" t="inlineStr">
        <is>
          <t>美食滋补</t>
        </is>
      </c>
      <c r="U4582" t="inlineStr">
        <is>
          <t>休闲零食</t>
        </is>
      </c>
      <c r="V4582" s="3">
        <v>46129.991064814814</v>
      </c>
      <c r="W4582" t="inlineStr">
        <is>
          <t>2026-Q2</t>
        </is>
      </c>
    </row>
    <row r="4583" ht="25.5" customHeight="1">
      <c r="A4583" t="inlineStr">
        <is>
          <t>千层夹心酥饼干办公室零食配料干净孕妇小朋友可食用宿舍追剧夹心</t>
        </is>
      </c>
      <c r="B4583" t="inlineStr">
        <is>
          <t>__upload_recvh40CU0AI7I.jpg</t>
        </is>
      </c>
      <c r="C4583" s="2" t="str">
        <f>=HYPERLINK("https://xhslink.com/m/3RnC2EoqMnY", "https://xhslink.com/m/3RnC2EoqMnY")</f>
        <v>https://xhslink.com/m/3RnC2EoqMnY</v>
      </c>
      <c r="D4583"/>
      <c r="E4583">
        <v>53000</v>
      </c>
      <c r="F4583">
        <v>39.8</v>
      </c>
      <c r="G4583"/>
      <c r="H4583">
        <v>100</v>
      </c>
      <c r="I4583" t="inlineStr">
        <is>
          <t>宿舍零食</t>
        </is>
      </c>
      <c r="J4583" t="inlineStr">
        <is>
          <t>0.00</t>
        </is>
      </c>
      <c r="K4583" t="inlineStr">
        <is>
          <t>🔥低粉爆款</t>
        </is>
      </c>
      <c r="L4583" t="inlineStr">
        <is>
          <t>零食股东的店</t>
        </is>
      </c>
      <c r="M4583">
        <v>12000</v>
      </c>
      <c r="N4583">
        <v>4.69</v>
      </c>
      <c r="O4583">
        <v>263000</v>
      </c>
      <c r="P4583" t="inlineStr">
        <is>
          <t>6852871cf89aa5000174dac9</t>
        </is>
      </c>
      <c r="Q4583" t="inlineStr">
        <is>
          <t>🚫重复</t>
        </is>
      </c>
      <c r="R4583" t="inlineStr">
        <is>
          <t>16周</t>
        </is>
      </c>
      <c r="S4583" t="inlineStr">
        <is>
          <t>4.42</t>
        </is>
      </c>
      <c r="T4583" t="inlineStr">
        <is>
          <t>美食滋补</t>
        </is>
      </c>
      <c r="U4583" t="inlineStr">
        <is>
          <t>休闲零食</t>
        </is>
      </c>
      <c r="V4583" s="3">
        <v>46129.991064814814</v>
      </c>
      <c r="W4583" t="inlineStr">
        <is>
          <t>2026-Q2</t>
        </is>
      </c>
    </row>
    <row r="4584" ht="25.5" customHeight="1">
      <c r="A4584" t="inlineStr">
        <is>
          <t>煮食爷 · 四川卤味五香小豆干低碳解馋饱腹嚼劲小包装零食豆腐干偏硬</t>
        </is>
      </c>
      <c r="B4584" t="inlineStr">
        <is>
          <t>__upload_recvh40CU0F3ei.jpg</t>
        </is>
      </c>
      <c r="C4584" s="2" t="str">
        <f>=HYPERLINK("https://xhslink.com/m/5udMHKRxuAz", "https://xhslink.com/m/5udMHKRxuAz")</f>
        <v>https://xhslink.com/m/5udMHKRxuAz</v>
      </c>
      <c r="D4584"/>
      <c r="E4584">
        <v>23000</v>
      </c>
      <c r="F4584">
        <v>27.8</v>
      </c>
      <c r="G4584"/>
      <c r="H4584">
        <v>100</v>
      </c>
      <c r="I4584" t="inlineStr">
        <is>
          <t>宿舍零食</t>
        </is>
      </c>
      <c r="J4584" t="inlineStr">
        <is>
          <t>0.00</t>
        </is>
      </c>
      <c r="K4584" t="inlineStr">
        <is>
          <t>🔥低粉爆款</t>
        </is>
      </c>
      <c r="L4584" t="inlineStr">
        <is>
          <t>煮食爷旗舰店</t>
        </is>
      </c>
      <c r="M4584">
        <v>3372</v>
      </c>
      <c r="N4584">
        <v>4.5</v>
      </c>
      <c r="O4584">
        <v>63000</v>
      </c>
      <c r="P4584" t="inlineStr">
        <is>
          <t>646d8607db9efc0001371b27</t>
        </is>
      </c>
      <c r="Q4584"/>
      <c r="R4584" t="inlineStr">
        <is>
          <t>16周</t>
        </is>
      </c>
      <c r="S4584" t="inlineStr">
        <is>
          <t>6.82</t>
        </is>
      </c>
      <c r="T4584" t="inlineStr">
        <is>
          <t>美食滋补</t>
        </is>
      </c>
      <c r="U4584" t="inlineStr">
        <is>
          <t>休闲零食</t>
        </is>
      </c>
      <c r="V4584" s="3">
        <v>46129.991064814814</v>
      </c>
      <c r="W4584" t="inlineStr">
        <is>
          <t>2026-Q2</t>
        </is>
      </c>
    </row>
    <row r="4585" ht="25.5" customHeight="1">
      <c r="A4585" t="inlineStr">
        <is>
          <t>贡枝果栈 · 新鲜无花果农家应季时令水果天然孕妇下奶鲜果现摘现发顺丰包邮</t>
        </is>
      </c>
      <c r="B4585" t="inlineStr">
        <is>
          <t>__upload_recvh40CU0E22d.jpg</t>
        </is>
      </c>
      <c r="C4585" s="2" t="str">
        <f>=HYPERLINK("https://xhslink.com/m/8VM152Vl7nc", "https://xhslink.com/m/8VM152Vl7nc")</f>
        <v>https://xhslink.com/m/8VM152Vl7nc</v>
      </c>
      <c r="D4585"/>
      <c r="E4585">
        <v>207000</v>
      </c>
      <c r="F4585">
        <v>88.9</v>
      </c>
      <c r="G4585"/>
      <c r="H4585">
        <v>100</v>
      </c>
      <c r="I4585" t="inlineStr">
        <is>
          <t>水果</t>
        </is>
      </c>
      <c r="J4585" t="inlineStr">
        <is>
          <t>0.00</t>
        </is>
      </c>
      <c r="K4585" t="inlineStr">
        <is>
          <t>🔥低粉爆款</t>
        </is>
      </c>
      <c r="L4585" t="inlineStr">
        <is>
          <t>贡枝果栈旗舰店</t>
        </is>
      </c>
      <c r="M4585">
        <v>10000</v>
      </c>
      <c r="N4585">
        <v>4.62</v>
      </c>
      <c r="O4585">
        <v>240000</v>
      </c>
      <c r="P4585" t="inlineStr">
        <is>
          <t>6911f714f08ff500015b7110</t>
        </is>
      </c>
      <c r="Q4585" t="inlineStr">
        <is>
          <t>🚫重复</t>
        </is>
      </c>
      <c r="R4585" t="inlineStr">
        <is>
          <t>16周</t>
        </is>
      </c>
      <c r="S4585" t="inlineStr">
        <is>
          <t>20.70</t>
        </is>
      </c>
      <c r="T4585" t="inlineStr">
        <is>
          <t>美食滋补</t>
        </is>
      </c>
      <c r="U4585" t="inlineStr">
        <is>
          <t>生鲜特产</t>
        </is>
      </c>
      <c r="V4585" s="3">
        <v>46129.991064814814</v>
      </c>
      <c r="W4585" t="inlineStr">
        <is>
          <t>2026-Q2</t>
        </is>
      </c>
    </row>
    <row r="4586" ht="25.5" customHeight="1">
      <c r="A4586" t="inlineStr">
        <is>
          <t>【顺丰包邮】云南蓝莓花香蓝莓抚仙湖蓝莓脆甜带花香</t>
        </is>
      </c>
      <c r="B4586" t="inlineStr">
        <is>
          <t>__upload_recvh40CU0hieT.jpg</t>
        </is>
      </c>
      <c r="C4586" s="2" t="str">
        <f>=HYPERLINK("https://xhslink.com/m/7a7DORDft5s", "https://xhslink.com/m/7a7DORDft5s")</f>
        <v>https://xhslink.com/m/7a7DORDft5s</v>
      </c>
      <c r="D4586"/>
      <c r="E4586">
        <v>189000</v>
      </c>
      <c r="F4586">
        <v>131.8</v>
      </c>
      <c r="G4586">
        <v>111.8</v>
      </c>
      <c r="H4586">
        <v>100</v>
      </c>
      <c r="I4586" t="inlineStr">
        <is>
          <t>水果</t>
        </is>
      </c>
      <c r="J4586" t="inlineStr">
        <is>
          <t>0.00</t>
        </is>
      </c>
      <c r="K4586" t="inlineStr">
        <is>
          <t>🔥低粉爆款</t>
        </is>
      </c>
      <c r="L4586" t="inlineStr">
        <is>
          <t>sweet果记的店</t>
        </is>
      </c>
      <c r="M4586">
        <v>31000</v>
      </c>
      <c r="N4586">
        <v>4.46</v>
      </c>
      <c r="O4586">
        <v>339000</v>
      </c>
      <c r="P4586" t="inlineStr">
        <is>
          <t>6788edb5c93bbc0001a0079f</t>
        </is>
      </c>
      <c r="Q4586" t="inlineStr">
        <is>
          <t>🚫重复</t>
        </is>
      </c>
      <c r="R4586" t="inlineStr">
        <is>
          <t>16周</t>
        </is>
      </c>
      <c r="S4586" t="inlineStr">
        <is>
          <t>6.10</t>
        </is>
      </c>
      <c r="T4586" t="inlineStr">
        <is>
          <t>美食滋补</t>
        </is>
      </c>
      <c r="U4586" t="inlineStr">
        <is>
          <t>生鲜特产</t>
        </is>
      </c>
      <c r="V4586" s="3">
        <v>46129.991064814814</v>
      </c>
      <c r="W4586" t="inlineStr">
        <is>
          <t>2026-Q2</t>
        </is>
      </c>
    </row>
    <row r="4587" ht="25.5" customHeight="1">
      <c r="A4587" t="inlineStr">
        <is>
          <t>酸嘢脆甜大青芒送辣椒面酸梅粉脆爽口芒果花学生开胃吃货</t>
        </is>
      </c>
      <c r="B4587" t="inlineStr">
        <is>
          <t>__upload_recvh40CU04Zi7.jpg</t>
        </is>
      </c>
      <c r="C4587" s="2" t="str">
        <f>=HYPERLINK("https://xhslink.com/m/9kCTeLDzim0", "https://xhslink.com/m/9kCTeLDzim0")</f>
        <v>https://xhslink.com/m/9kCTeLDzim0</v>
      </c>
      <c r="D4587"/>
      <c r="E4587">
        <v>365000</v>
      </c>
      <c r="F4587">
        <v>33.6</v>
      </c>
      <c r="G4587">
        <v>20.9</v>
      </c>
      <c r="H4587">
        <v>100</v>
      </c>
      <c r="I4587" t="inlineStr">
        <is>
          <t>水果</t>
        </is>
      </c>
      <c r="J4587" t="inlineStr">
        <is>
          <t>0.00</t>
        </is>
      </c>
      <c r="K4587" t="inlineStr">
        <is>
          <t>🔥低粉爆款</t>
        </is>
      </c>
      <c r="L4587" t="inlineStr">
        <is>
          <t>朱一一的水果铺的店</t>
        </is>
      </c>
      <c r="M4587">
        <v>33000</v>
      </c>
      <c r="N4587">
        <v>4.57</v>
      </c>
      <c r="O4587">
        <v>570000</v>
      </c>
      <c r="P4587" t="inlineStr">
        <is>
          <t>65f3ee76e1eb440001b8dcbb</t>
        </is>
      </c>
      <c r="Q4587" t="inlineStr">
        <is>
          <t>🚫重复</t>
        </is>
      </c>
      <c r="R4587" t="inlineStr">
        <is>
          <t>16周</t>
        </is>
      </c>
      <c r="S4587" t="inlineStr">
        <is>
          <t>11.06</t>
        </is>
      </c>
      <c r="T4587" t="inlineStr">
        <is>
          <t>美食滋补</t>
        </is>
      </c>
      <c r="U4587" t="inlineStr">
        <is>
          <t>生鲜特产</t>
        </is>
      </c>
      <c r="V4587" s="3">
        <v>46129.991064814814</v>
      </c>
      <c r="W4587" t="inlineStr">
        <is>
          <t>2026-Q2</t>
        </is>
      </c>
    </row>
    <row r="4588" ht="25.5" customHeight="1">
      <c r="A4588" t="inlineStr">
        <is>
          <t>脆甜芒越南进口甜心芒送辣椒盐酸梅粉辣椒面冰袋</t>
        </is>
      </c>
      <c r="B4588" t="inlineStr">
        <is>
          <t>__upload_recvh40CU0blcX.jpg</t>
        </is>
      </c>
      <c r="C4588" s="2" t="str">
        <f>=HYPERLINK("https://xhslink.com/m/1Op97YAUUAp", "https://xhslink.com/m/1Op97YAUUAp")</f>
        <v>https://xhslink.com/m/1Op97YAUUAp</v>
      </c>
      <c r="D4588"/>
      <c r="E4588">
        <v>373000</v>
      </c>
      <c r="F4588">
        <v>53.8</v>
      </c>
      <c r="G4588">
        <v>48.8</v>
      </c>
      <c r="H4588">
        <v>100</v>
      </c>
      <c r="I4588" t="inlineStr">
        <is>
          <t>水果</t>
        </is>
      </c>
      <c r="J4588" t="inlineStr">
        <is>
          <t>0.00</t>
        </is>
      </c>
      <c r="K4588" t="inlineStr">
        <is>
          <t>🔥低粉爆款</t>
        </is>
      </c>
      <c r="L4588" t="inlineStr">
        <is>
          <t>不想上班的胖崽_的店</t>
        </is>
      </c>
      <c r="M4588">
        <v>12000</v>
      </c>
      <c r="N4588">
        <v>4.47</v>
      </c>
      <c r="O4588">
        <v>116000</v>
      </c>
      <c r="P4588" t="inlineStr">
        <is>
          <t>691ed41795624300012734ca</t>
        </is>
      </c>
      <c r="Q4588"/>
      <c r="R4588" t="inlineStr">
        <is>
          <t>16周</t>
        </is>
      </c>
      <c r="S4588" t="inlineStr">
        <is>
          <t>31.08</t>
        </is>
      </c>
      <c r="T4588" t="inlineStr">
        <is>
          <t>美食滋补</t>
        </is>
      </c>
      <c r="U4588" t="inlineStr">
        <is>
          <t>生鲜特产</t>
        </is>
      </c>
      <c r="V4588" s="3">
        <v>46129.991064814814</v>
      </c>
      <c r="W4588" t="inlineStr">
        <is>
          <t>2026-Q2</t>
        </is>
      </c>
    </row>
    <row r="4589" ht="25.5" customHeight="1">
      <c r="A4589" t="inlineStr">
        <is>
          <t>源味十二季 · 瑞香红苹果 香甜艳丽 国审新品种 减脂期解馋 顺丰JD随机</t>
        </is>
      </c>
      <c r="B4589" t="inlineStr">
        <is>
          <t>__upload_recvh40CU06G6G.jpg</t>
        </is>
      </c>
      <c r="C4589" s="2" t="str">
        <f>=HYPERLINK("https://xhslink.com/m/6pRErIi0VKc", "https://xhslink.com/m/6pRErIi0VKc")</f>
        <v>https://xhslink.com/m/6pRErIi0VKc</v>
      </c>
      <c r="D4589"/>
      <c r="E4589">
        <v>113000</v>
      </c>
      <c r="F4589">
        <v>69.9</v>
      </c>
      <c r="G4589">
        <v>49.9</v>
      </c>
      <c r="H4589">
        <v>100</v>
      </c>
      <c r="I4589" t="inlineStr">
        <is>
          <t>水果</t>
        </is>
      </c>
      <c r="J4589" t="inlineStr">
        <is>
          <t>0.00</t>
        </is>
      </c>
      <c r="K4589" t="inlineStr">
        <is>
          <t>🔥低粉爆款</t>
        </is>
      </c>
      <c r="L4589" t="inlineStr">
        <is>
          <t>源味十二季旗舰店</t>
        </is>
      </c>
      <c r="M4589">
        <v>13000</v>
      </c>
      <c r="N4589">
        <v>4.64</v>
      </c>
      <c r="O4589">
        <v>187000</v>
      </c>
      <c r="P4589" t="inlineStr">
        <is>
          <t>691d9027e78d990001b6d9a8</t>
        </is>
      </c>
      <c r="Q4589" t="inlineStr">
        <is>
          <t>🚫重复</t>
        </is>
      </c>
      <c r="R4589" t="inlineStr">
        <is>
          <t>16周</t>
        </is>
      </c>
      <c r="S4589" t="inlineStr">
        <is>
          <t>8.69</t>
        </is>
      </c>
      <c r="T4589" t="inlineStr">
        <is>
          <t>美食滋补</t>
        </is>
      </c>
      <c r="U4589" t="inlineStr">
        <is>
          <t>生鲜特产</t>
        </is>
      </c>
      <c r="V4589" s="3">
        <v>46129.991064814814</v>
      </c>
      <c r="W4589" t="inlineStr">
        <is>
          <t>2026-Q2</t>
        </is>
      </c>
    </row>
    <row r="4590" ht="25.5" customHeight="1">
      <c r="A4590" t="inlineStr">
        <is>
          <t>【顺丰空运全国包邮】正宗云南抚仙湖L25花香蓝莓 现摘现发</t>
        </is>
      </c>
      <c r="B4590" t="inlineStr">
        <is>
          <t>__upload_recvh40CU0Myh2.jpg</t>
        </is>
      </c>
      <c r="C4590" s="2" t="str">
        <f>=HYPERLINK("https://xhslink.com/m/8gLYY41PTYa", "https://xhslink.com/m/8gLYY41PTYa")</f>
        <v>https://xhslink.com/m/8gLYY41PTYa</v>
      </c>
      <c r="D4590"/>
      <c r="E4590">
        <v>3078</v>
      </c>
      <c r="F4590">
        <v>200</v>
      </c>
      <c r="G4590">
        <v>125</v>
      </c>
      <c r="H4590">
        <v>100</v>
      </c>
      <c r="I4590" t="inlineStr">
        <is>
          <t>水果</t>
        </is>
      </c>
      <c r="J4590" t="inlineStr">
        <is>
          <t>0.03</t>
        </is>
      </c>
      <c r="K4590"/>
      <c r="L4590" t="inlineStr">
        <is>
          <t>月光清唱11的店</t>
        </is>
      </c>
      <c r="M4590">
        <v>1083</v>
      </c>
      <c r="N4590">
        <v>4.78</v>
      </c>
      <c r="O4590">
        <v>7398</v>
      </c>
      <c r="P4590" t="inlineStr">
        <is>
          <t>67c007c6cb5e4200014a1154</t>
        </is>
      </c>
      <c r="Q4590" t="inlineStr">
        <is>
          <t>🚫重复</t>
        </is>
      </c>
      <c r="R4590" t="inlineStr">
        <is>
          <t>16周</t>
        </is>
      </c>
      <c r="S4590" t="inlineStr">
        <is>
          <t>2.84</t>
        </is>
      </c>
      <c r="T4590" t="inlineStr">
        <is>
          <t>美食滋补</t>
        </is>
      </c>
      <c r="U4590" t="inlineStr">
        <is>
          <t>生鲜特产</t>
        </is>
      </c>
      <c r="V4590" s="3">
        <v>46129.991064814814</v>
      </c>
      <c r="W4590" t="inlineStr">
        <is>
          <t>2026-Q2</t>
        </is>
      </c>
    </row>
    <row r="4591" ht="25.5" customHeight="1">
      <c r="A4591" t="inlineStr">
        <is>
          <t>极客农场 · 极客生态木瓜 | 晚下树滋味足 香甜丝滑细腻 常温变黄后冷藏储存</t>
        </is>
      </c>
      <c r="B4591" t="inlineStr">
        <is>
          <t>__upload_recvh40CU04iVC.jpg</t>
        </is>
      </c>
      <c r="C4591" s="2" t="str">
        <f>=HYPERLINK("https://xhslink.com/m/A8QqEaxhzrU", "https://xhslink.com/m/A8QqEaxhzrU")</f>
        <v>https://xhslink.com/m/A8QqEaxhzrU</v>
      </c>
      <c r="D4591"/>
      <c r="E4591">
        <v>21000</v>
      </c>
      <c r="F4591">
        <v>69</v>
      </c>
      <c r="G4591">
        <v>64</v>
      </c>
      <c r="H4591">
        <v>100</v>
      </c>
      <c r="I4591" t="inlineStr">
        <is>
          <t>水果</t>
        </is>
      </c>
      <c r="J4591" t="inlineStr">
        <is>
          <t>0.00</t>
        </is>
      </c>
      <c r="K4591"/>
      <c r="L4591" t="inlineStr">
        <is>
          <t>极客农场旗舰店</t>
        </is>
      </c>
      <c r="M4591">
        <v>121000</v>
      </c>
      <c r="N4591">
        <v>4.53</v>
      </c>
      <c r="O4591">
        <v>604000</v>
      </c>
      <c r="P4591" t="inlineStr">
        <is>
          <t>696debe48b93420001023b00</t>
        </is>
      </c>
      <c r="Q4591" t="inlineStr">
        <is>
          <t>🚫重复</t>
        </is>
      </c>
      <c r="R4591" t="inlineStr">
        <is>
          <t>16周</t>
        </is>
      </c>
      <c r="S4591" t="inlineStr">
        <is>
          <t>0.17</t>
        </is>
      </c>
      <c r="T4591" t="inlineStr">
        <is>
          <t>美食滋补</t>
        </is>
      </c>
      <c r="U4591" t="inlineStr">
        <is>
          <t>生鲜特产</t>
        </is>
      </c>
      <c r="V4591" s="3">
        <v>46129.991064814814</v>
      </c>
      <c r="W4591" t="inlineStr">
        <is>
          <t>2026-Q2</t>
        </is>
      </c>
    </row>
    <row r="4592" ht="25.5" customHeight="1">
      <c r="A4592" t="inlineStr">
        <is>
          <t>正宗冰糖心红心木瓜当季新鲜水果口感细腻</t>
        </is>
      </c>
      <c r="B4592" t="inlineStr">
        <is>
          <t>__upload_recvh40CU0605k.jpg</t>
        </is>
      </c>
      <c r="C4592" s="2" t="str">
        <f>=HYPERLINK("https://xhslink.com/m/2MSMF3viRRG", "https://xhslink.com/m/2MSMF3viRRG")</f>
        <v>https://xhslink.com/m/2MSMF3viRRG</v>
      </c>
      <c r="D4592"/>
      <c r="E4592">
        <v>3424</v>
      </c>
      <c r="F4592">
        <v>62.8</v>
      </c>
      <c r="G4592">
        <v>30.8</v>
      </c>
      <c r="H4592">
        <v>100</v>
      </c>
      <c r="I4592" t="inlineStr">
        <is>
          <t>水果</t>
        </is>
      </c>
      <c r="J4592" t="inlineStr">
        <is>
          <t>0.03</t>
        </is>
      </c>
      <c r="K4592" t="inlineStr">
        <is>
          <t>🔥低粉爆款</t>
        </is>
      </c>
      <c r="L4592" t="inlineStr">
        <is>
          <t>果小铺的店</t>
        </is>
      </c>
      <c r="M4592">
        <v>165</v>
      </c>
      <c r="N4592">
        <v>4.48</v>
      </c>
      <c r="O4592">
        <v>3371</v>
      </c>
      <c r="P4592" t="inlineStr">
        <is>
          <t>69ccae108423ad00010152d6</t>
        </is>
      </c>
      <c r="Q4592"/>
      <c r="R4592" t="inlineStr">
        <is>
          <t>16周</t>
        </is>
      </c>
      <c r="S4592" t="inlineStr">
        <is>
          <t>20.75</t>
        </is>
      </c>
      <c r="T4592" t="inlineStr">
        <is>
          <t>美食滋补</t>
        </is>
      </c>
      <c r="U4592" t="inlineStr">
        <is>
          <t>生鲜特产</t>
        </is>
      </c>
      <c r="V4592" s="3">
        <v>46129.991064814814</v>
      </c>
      <c r="W4592" t="inlineStr">
        <is>
          <t>2026-Q2</t>
        </is>
      </c>
    </row>
    <row r="4593" ht="25.5" customHeight="1">
      <c r="A4593" t="inlineStr">
        <is>
          <t>【敏希妈专属】顺丰/京东海南红玉芒果玉文芒礼盒装三亚香甜多汁</t>
        </is>
      </c>
      <c r="B4593" t="inlineStr">
        <is>
          <t>__upload_recvh40CU0wroX.jpg</t>
        </is>
      </c>
      <c r="C4593" s="2" t="str">
        <f>=HYPERLINK("https://xhslink.com/m/AvoBKRc1kKK", "https://xhslink.com/m/AvoBKRc1kKK")</f>
        <v>https://xhslink.com/m/AvoBKRc1kKK</v>
      </c>
      <c r="D4593"/>
      <c r="E4593">
        <v>7000</v>
      </c>
      <c r="F4593">
        <v>95.8</v>
      </c>
      <c r="G4593"/>
      <c r="H4593">
        <v>100</v>
      </c>
      <c r="I4593" t="inlineStr">
        <is>
          <t>水果</t>
        </is>
      </c>
      <c r="J4593" t="inlineStr">
        <is>
          <t>0.01</t>
        </is>
      </c>
      <c r="K4593"/>
      <c r="L4593"/>
      <c r="M4593"/>
      <c r="N4593"/>
      <c r="O4593"/>
      <c r="P4593"/>
      <c r="Q4593" t="inlineStr">
        <is>
          <t>🚫重复</t>
        </is>
      </c>
      <c r="R4593" t="inlineStr">
        <is>
          <t>16周</t>
        </is>
      </c>
      <c r="S4593"/>
      <c r="T4593" t="inlineStr">
        <is>
          <t>美食滋补</t>
        </is>
      </c>
      <c r="U4593" t="inlineStr">
        <is>
          <t>生鲜特产</t>
        </is>
      </c>
      <c r="V4593" s="3">
        <v>46129.991064814814</v>
      </c>
      <c r="W4593" t="inlineStr">
        <is>
          <t>2026-Q2</t>
        </is>
      </c>
    </row>
    <row r="4594" ht="25.5" customHeight="1">
      <c r="A4594" t="inlineStr">
        <is>
          <t>正宗陕西洛川红富士苹果脆甜孕妇小孩当季新鲜水果皮薄产地直发</t>
        </is>
      </c>
      <c r="B4594" t="inlineStr">
        <is>
          <t>__upload_recvh40CU0hubB.jpg</t>
        </is>
      </c>
      <c r="C4594" s="2" t="str">
        <f>=HYPERLINK("https://xhslink.com/m/vn977zhHs6", "https://xhslink.com/m/vn977zhHs6")</f>
        <v>https://xhslink.com/m/vn977zhHs6</v>
      </c>
      <c r="D4594"/>
      <c r="E4594">
        <v>2000</v>
      </c>
      <c r="F4594">
        <v>61.8</v>
      </c>
      <c r="G4594">
        <v>35.8</v>
      </c>
      <c r="H4594">
        <v>100</v>
      </c>
      <c r="I4594" t="inlineStr">
        <is>
          <t>水果</t>
        </is>
      </c>
      <c r="J4594" t="inlineStr">
        <is>
          <t>0.05</t>
        </is>
      </c>
      <c r="K4594" t="inlineStr">
        <is>
          <t>🔥低粉爆款</t>
        </is>
      </c>
      <c r="L4594" t="inlineStr">
        <is>
          <t>苏苏的果园的店</t>
        </is>
      </c>
      <c r="M4594">
        <v>34</v>
      </c>
      <c r="N4594">
        <v>4.46</v>
      </c>
      <c r="O4594">
        <v>769</v>
      </c>
      <c r="P4594" t="inlineStr">
        <is>
          <t>69cc82109347b10001e3fbd2</t>
        </is>
      </c>
      <c r="Q4594"/>
      <c r="R4594" t="inlineStr">
        <is>
          <t>16周</t>
        </is>
      </c>
      <c r="S4594" t="inlineStr">
        <is>
          <t>58.82</t>
        </is>
      </c>
      <c r="T4594" t="inlineStr">
        <is>
          <t>美食滋补</t>
        </is>
      </c>
      <c r="U4594" t="inlineStr">
        <is>
          <t>生鲜特产</t>
        </is>
      </c>
      <c r="V4594" s="3">
        <v>46129.991064814814</v>
      </c>
      <c r="W4594" t="inlineStr">
        <is>
          <t>2026-Q2</t>
        </is>
      </c>
    </row>
    <row r="4595" ht="25.5" customHeight="1">
      <c r="A4595" t="inlineStr">
        <is>
          <t>正宗云南红心三华李新鲜应季孕妇水果红心李子现摘现发</t>
        </is>
      </c>
      <c r="B4595" t="inlineStr">
        <is>
          <t>__upload_recvh40CU06lDX.jpg</t>
        </is>
      </c>
      <c r="C4595" s="2" t="str">
        <f>=HYPERLINK("https://xhslink.com/m/5Uxo1ZXtPFk", "https://xhslink.com/m/5Uxo1ZXtPFk")</f>
        <v>https://xhslink.com/m/5Uxo1ZXtPFk</v>
      </c>
      <c r="D4595"/>
      <c r="E4595">
        <v>869</v>
      </c>
      <c r="F4595">
        <v>27.3</v>
      </c>
      <c r="G4595">
        <v>18.3</v>
      </c>
      <c r="H4595">
        <v>100</v>
      </c>
      <c r="I4595" t="inlineStr">
        <is>
          <t>水果</t>
        </is>
      </c>
      <c r="J4595" t="inlineStr">
        <is>
          <t>0.12</t>
        </is>
      </c>
      <c r="K4595" t="inlineStr">
        <is>
          <t>🔥低粉爆款</t>
        </is>
      </c>
      <c r="L4595" t="inlineStr">
        <is>
          <t>瓜个瓜瓜乐的店</t>
        </is>
      </c>
      <c r="M4595">
        <v>18</v>
      </c>
      <c r="N4595">
        <v>4.07</v>
      </c>
      <c r="O4595">
        <v>1256</v>
      </c>
      <c r="P4595" t="inlineStr">
        <is>
          <t>69c63cbf15bd7400014a74f9</t>
        </is>
      </c>
      <c r="Q4595"/>
      <c r="R4595" t="inlineStr">
        <is>
          <t>16周</t>
        </is>
      </c>
      <c r="S4595" t="inlineStr">
        <is>
          <t>48.28</t>
        </is>
      </c>
      <c r="T4595" t="inlineStr">
        <is>
          <t>美食滋补</t>
        </is>
      </c>
      <c r="U4595" t="inlineStr">
        <is>
          <t>生鲜特产</t>
        </is>
      </c>
      <c r="V4595" s="3">
        <v>46129.991064814814</v>
      </c>
      <c r="W4595" t="inlineStr">
        <is>
          <t>2026-Q2</t>
        </is>
      </c>
    </row>
    <row r="4596" ht="25.5" customHeight="1">
      <c r="A4596" t="inlineStr">
        <is>
          <t>生态香甜蜜薯地瓜 金香蜜薯 蜜薯 软糯香甜甜糯红薯紫薯5斤</t>
        </is>
      </c>
      <c r="B4596" t="inlineStr">
        <is>
          <t>__upload_recvh40CU0MZem.jpg</t>
        </is>
      </c>
      <c r="C4596" s="2" t="str">
        <f>=HYPERLINK("https://xhslink.com/m/11J2boA5A54", "https://xhslink.com/m/11J2boA5A54")</f>
        <v>https://xhslink.com/m/11J2boA5A54</v>
      </c>
      <c r="D4596"/>
      <c r="E4596">
        <v>134000</v>
      </c>
      <c r="F4596">
        <v>25.9</v>
      </c>
      <c r="G4596"/>
      <c r="H4596">
        <v>100</v>
      </c>
      <c r="I4596" t="inlineStr">
        <is>
          <t>蔬菜</t>
        </is>
      </c>
      <c r="J4596" t="inlineStr">
        <is>
          <t>0.00</t>
        </is>
      </c>
      <c r="K4596" t="inlineStr">
        <is>
          <t>🔥低粉爆款</t>
        </is>
      </c>
      <c r="L4596" t="inlineStr">
        <is>
          <t>元元生态农场的店</t>
        </is>
      </c>
      <c r="M4596">
        <v>35000</v>
      </c>
      <c r="N4596">
        <v>4.44</v>
      </c>
      <c r="O4596">
        <v>475000</v>
      </c>
      <c r="P4596" t="inlineStr">
        <is>
          <t>67cc619c29b9f7000132128b</t>
        </is>
      </c>
      <c r="Q4596" t="inlineStr">
        <is>
          <t>🚫重复</t>
        </is>
      </c>
      <c r="R4596" t="inlineStr">
        <is>
          <t>16周</t>
        </is>
      </c>
      <c r="S4596" t="inlineStr">
        <is>
          <t>3.83</t>
        </is>
      </c>
      <c r="T4596" t="inlineStr">
        <is>
          <t>美食滋补</t>
        </is>
      </c>
      <c r="U4596" t="inlineStr">
        <is>
          <t>生鲜特产</t>
        </is>
      </c>
      <c r="V4596" s="3">
        <v>46129.991064814814</v>
      </c>
      <c r="W4596" t="inlineStr">
        <is>
          <t>2026-Q2</t>
        </is>
      </c>
    </row>
    <row r="4597" ht="25.5" customHeight="1">
      <c r="A4597" t="inlineStr">
        <is>
          <t>正宗2025现挖温县垆土铁棍山药怀山药软糯香粉宝宝辅食药食同源</t>
        </is>
      </c>
      <c r="B4597" t="inlineStr">
        <is>
          <t>__upload_recvh40CU0CQ7U.jpg</t>
        </is>
      </c>
      <c r="C4597" s="2" t="str">
        <f>=HYPERLINK("https://xhslink.com/m/3h4Fxd9Mo4w", "https://xhslink.com/m/3h4Fxd9Mo4w")</f>
        <v>https://xhslink.com/m/3h4Fxd9Mo4w</v>
      </c>
      <c r="D4597"/>
      <c r="E4597">
        <v>29000</v>
      </c>
      <c r="F4597">
        <v>49.9</v>
      </c>
      <c r="G4597"/>
      <c r="H4597">
        <v>100</v>
      </c>
      <c r="I4597" t="inlineStr">
        <is>
          <t>蔬菜</t>
        </is>
      </c>
      <c r="J4597" t="inlineStr">
        <is>
          <t>0.00</t>
        </is>
      </c>
      <c r="K4597"/>
      <c r="L4597" t="inlineStr">
        <is>
          <t>安安垆土怀山药的店</t>
        </is>
      </c>
      <c r="M4597">
        <v>10000</v>
      </c>
      <c r="N4597">
        <v>4.59</v>
      </c>
      <c r="O4597">
        <v>31000</v>
      </c>
      <c r="P4597" t="inlineStr">
        <is>
          <t>662d964b30b5ae000151f839</t>
        </is>
      </c>
      <c r="Q4597"/>
      <c r="R4597" t="inlineStr">
        <is>
          <t>16周</t>
        </is>
      </c>
      <c r="S4597" t="inlineStr">
        <is>
          <t>2.90</t>
        </is>
      </c>
      <c r="T4597" t="inlineStr">
        <is>
          <t>母婴亲子</t>
        </is>
      </c>
      <c r="U4597" t="inlineStr">
        <is>
          <t>童装童鞋</t>
        </is>
      </c>
      <c r="V4597" s="3">
        <v>46129.991064814814</v>
      </c>
      <c r="W4597" t="inlineStr">
        <is>
          <t>2026-Q2</t>
        </is>
      </c>
    </row>
    <row r="4598" ht="25.5" customHeight="1">
      <c r="A4598" t="inlineStr">
        <is>
          <t>芋喜人家 · 去芯木薯黄心木薯先挖现拨糖水专用</t>
        </is>
      </c>
      <c r="B4598" t="inlineStr">
        <is>
          <t>__upload_recvh40CU09MuL.jpg</t>
        </is>
      </c>
      <c r="C4598" s="2" t="str">
        <f>=HYPERLINK("https://xhslink.com/m/A0RWS4EFMO8", "https://xhslink.com/m/A0RWS4EFMO8")</f>
        <v>https://xhslink.com/m/A0RWS4EFMO8</v>
      </c>
      <c r="D4598"/>
      <c r="E4598">
        <v>30000</v>
      </c>
      <c r="F4598">
        <v>56</v>
      </c>
      <c r="G4598">
        <v>46.8</v>
      </c>
      <c r="H4598">
        <v>100</v>
      </c>
      <c r="I4598" t="inlineStr">
        <is>
          <t>蔬菜</t>
        </is>
      </c>
      <c r="J4598" t="inlineStr">
        <is>
          <t>0.00</t>
        </is>
      </c>
      <c r="K4598" t="inlineStr">
        <is>
          <t>🔥低粉爆款</t>
        </is>
      </c>
      <c r="L4598" t="inlineStr">
        <is>
          <t>芋喜人家（自然本味）的店</t>
        </is>
      </c>
      <c r="M4598">
        <v>5707</v>
      </c>
      <c r="N4598">
        <v>4.72</v>
      </c>
      <c r="O4598">
        <v>47000</v>
      </c>
      <c r="P4598" t="inlineStr">
        <is>
          <t>67e35a7360845d0001a31522</t>
        </is>
      </c>
      <c r="Q4598" t="inlineStr">
        <is>
          <t>🚫重复</t>
        </is>
      </c>
      <c r="R4598" t="inlineStr">
        <is>
          <t>16周</t>
        </is>
      </c>
      <c r="S4598" t="inlineStr">
        <is>
          <t>5.26</t>
        </is>
      </c>
      <c r="T4598" t="inlineStr">
        <is>
          <t>美食滋补</t>
        </is>
      </c>
      <c r="U4598" t="inlineStr">
        <is>
          <t>生鲜特产</t>
        </is>
      </c>
      <c r="V4598" s="3">
        <v>46129.991064814814</v>
      </c>
      <c r="W4598" t="inlineStr">
        <is>
          <t>2026-Q2</t>
        </is>
      </c>
    </row>
    <row r="4599" ht="25.5" customHeight="1">
      <c r="A4599" t="inlineStr">
        <is>
          <t>新鲜现挖粉糯香甜鸣门金时澄迈富硒桥头地瓜沙地板栗红薯番薯山芋</t>
        </is>
      </c>
      <c r="B4599" t="inlineStr">
        <is>
          <t>__upload_recvh40CU0ILIy.jpg</t>
        </is>
      </c>
      <c r="C4599" s="2" t="str">
        <f>=HYPERLINK("https://xhslink.com/m/4DWXu5Fzlon", "https://xhslink.com/m/4DWXu5Fzlon")</f>
        <v>https://xhslink.com/m/4DWXu5Fzlon</v>
      </c>
      <c r="D4599"/>
      <c r="E4599">
        <v>8985</v>
      </c>
      <c r="F4599">
        <v>36.9</v>
      </c>
      <c r="G4599">
        <v>26.9</v>
      </c>
      <c r="H4599">
        <v>100</v>
      </c>
      <c r="I4599" t="inlineStr">
        <is>
          <t>蔬菜</t>
        </is>
      </c>
      <c r="J4599" t="inlineStr">
        <is>
          <t>0.01</t>
        </is>
      </c>
      <c r="K4599"/>
      <c r="L4599" t="inlineStr">
        <is>
          <t>赵阳鲜生（桥头地瓜）的店</t>
        </is>
      </c>
      <c r="M4599">
        <v>6690</v>
      </c>
      <c r="N4599">
        <v>4.58</v>
      </c>
      <c r="O4599">
        <v>26000</v>
      </c>
      <c r="P4599" t="inlineStr">
        <is>
          <t>6902f54f1b78790001aaa630</t>
        </is>
      </c>
      <c r="Q4599"/>
      <c r="R4599" t="inlineStr">
        <is>
          <t>16周</t>
        </is>
      </c>
      <c r="S4599" t="inlineStr">
        <is>
          <t>1.34</t>
        </is>
      </c>
      <c r="T4599" t="inlineStr">
        <is>
          <t>美食滋补</t>
        </is>
      </c>
      <c r="U4599" t="inlineStr">
        <is>
          <t>生鲜特产</t>
        </is>
      </c>
      <c r="V4599" s="3">
        <v>46129.991064814814</v>
      </c>
      <c r="W4599" t="inlineStr">
        <is>
          <t>2026-Q2</t>
        </is>
      </c>
    </row>
    <row r="4600" ht="25.5" customHeight="1">
      <c r="A4600" t="inlineStr">
        <is>
          <t>【前1000单特价】双面磁吸手机支架大全合金材质桌面支架赠磁吸环</t>
        </is>
      </c>
      <c r="B4600" t="inlineStr">
        <is>
          <t>__upload_recvh40CU0KNpD.jpg</t>
        </is>
      </c>
      <c r="C4600" s="2" t="str">
        <f>=HYPERLINK("https://xhslink.com/m/4M3QKoxDGaJ", "https://xhslink.com/m/4M3QKoxDGaJ")</f>
        <v>https://xhslink.com/m/4M3QKoxDGaJ</v>
      </c>
      <c r="D4600"/>
      <c r="E4600">
        <v>19000</v>
      </c>
      <c r="F4600">
        <v>28.9</v>
      </c>
      <c r="G4600"/>
      <c r="H4600">
        <v>100</v>
      </c>
      <c r="I4600" t="inlineStr">
        <is>
          <t>百货</t>
        </is>
      </c>
      <c r="J4600" t="inlineStr">
        <is>
          <t>0.01</t>
        </is>
      </c>
      <c r="K4600" t="inlineStr">
        <is>
          <t>🔥低粉爆款</t>
        </is>
      </c>
      <c r="L4600" t="inlineStr">
        <is>
          <t>Hi-Tech的店</t>
        </is>
      </c>
      <c r="M4600">
        <v>423</v>
      </c>
      <c r="N4600">
        <v>4.57</v>
      </c>
      <c r="O4600">
        <v>20000</v>
      </c>
      <c r="P4600" t="inlineStr">
        <is>
          <t>68cea4cb2b812a00151c5228</t>
        </is>
      </c>
      <c r="Q4600" t="inlineStr">
        <is>
          <t>🚫重复</t>
        </is>
      </c>
      <c r="R4600" t="inlineStr">
        <is>
          <t>16周</t>
        </is>
      </c>
      <c r="S4600" t="inlineStr">
        <is>
          <t>44.92</t>
        </is>
      </c>
      <c r="T4600" t="inlineStr">
        <is>
          <t>数码家电</t>
        </is>
      </c>
      <c r="U4600" t="inlineStr">
        <is>
          <t>数码配件</t>
        </is>
      </c>
      <c r="V4600" s="3">
        <v>46129.991064814814</v>
      </c>
      <c r="W4600" t="inlineStr">
        <is>
          <t>2026-Q2</t>
        </is>
      </c>
    </row>
    <row r="4601" ht="25.5" customHeight="1">
      <c r="A4601" t="inlineStr">
        <is>
          <t>我爱幼儿园系列绘本2-6岁生活情景认知开发养成好习惯启蒙翻翻书</t>
        </is>
      </c>
      <c r="B4601" t="inlineStr">
        <is>
          <t>__upload_recvh40CU0uEsd.jpg</t>
        </is>
      </c>
      <c r="C4601" s="2" t="str">
        <f>=HYPERLINK("https://xhslink.com/m/1cAAdZmgzrz", "https://xhslink.com/m/1cAAdZmgzrz")</f>
        <v>https://xhslink.com/m/1cAAdZmgzrz</v>
      </c>
      <c r="D4601"/>
      <c r="E4601">
        <v>8051</v>
      </c>
      <c r="F4601">
        <v>129.8</v>
      </c>
      <c r="G4601"/>
      <c r="H4601">
        <v>100</v>
      </c>
      <c r="I4601" t="inlineStr">
        <is>
          <t>幼儿园绘本</t>
        </is>
      </c>
      <c r="J4601" t="inlineStr">
        <is>
          <t>0.01</t>
        </is>
      </c>
      <c r="K4601"/>
      <c r="L4601" t="inlineStr">
        <is>
          <t>洋洋童书屋的店</t>
        </is>
      </c>
      <c r="M4601">
        <v>10000</v>
      </c>
      <c r="N4601">
        <v>4.46</v>
      </c>
      <c r="O4601">
        <v>216000</v>
      </c>
      <c r="P4601" t="inlineStr">
        <is>
          <t>6847d28ffab3990001ba3d89</t>
        </is>
      </c>
      <c r="Q4601" t="inlineStr">
        <is>
          <t>🚫重复</t>
        </is>
      </c>
      <c r="R4601" t="inlineStr">
        <is>
          <t>16周</t>
        </is>
      </c>
      <c r="S4601" t="inlineStr">
        <is>
          <t>0.81</t>
        </is>
      </c>
      <c r="T4601" t="inlineStr">
        <is>
          <t>母婴亲子</t>
        </is>
      </c>
      <c r="U4601" t="inlineStr">
        <is>
          <t>玩具早教</t>
        </is>
      </c>
      <c r="V4601" s="3">
        <v>46129.991064814814</v>
      </c>
      <c r="W4601" t="inlineStr">
        <is>
          <t>2026-Q2</t>
        </is>
      </c>
    </row>
    <row r="4602" ht="25.5" customHeight="1">
      <c r="A4602" t="inlineStr">
        <is>
          <t>【出版社直发】德国幼儿专注力培养绘本（1—4岁）全套12册可点读</t>
        </is>
      </c>
      <c r="B4602" t="inlineStr">
        <is>
          <t>__upload_recvh40CU0NheY.jpg</t>
        </is>
      </c>
      <c r="C4602" s="2" t="str">
        <f>=HYPERLINK("https://xhslink.com/m/3nCONHBUoRb", "https://xhslink.com/m/3nCONHBUoRb")</f>
        <v>https://xhslink.com/m/3nCONHBUoRb</v>
      </c>
      <c r="D4602"/>
      <c r="E4602">
        <v>740</v>
      </c>
      <c r="F4602">
        <v>158</v>
      </c>
      <c r="G4602">
        <v>98.98</v>
      </c>
      <c r="H4602">
        <v>100</v>
      </c>
      <c r="I4602" t="inlineStr">
        <is>
          <t>幼儿园绘本</t>
        </is>
      </c>
      <c r="J4602" t="inlineStr">
        <is>
          <t>0.14</t>
        </is>
      </c>
      <c r="K4602"/>
      <c r="L4602" t="inlineStr">
        <is>
          <t>哈爸来了的店</t>
        </is>
      </c>
      <c r="M4602">
        <v>159000</v>
      </c>
      <c r="N4602">
        <v>4.55</v>
      </c>
      <c r="O4602">
        <v>288000</v>
      </c>
      <c r="P4602" t="inlineStr">
        <is>
          <t>696cfaaf5d156300013477b8</t>
        </is>
      </c>
      <c r="Q4602" t="inlineStr">
        <is>
          <t>🚫重复</t>
        </is>
      </c>
      <c r="R4602" t="inlineStr">
        <is>
          <t>16周</t>
        </is>
      </c>
      <c r="S4602" t="inlineStr">
        <is>
          <t>0.00</t>
        </is>
      </c>
      <c r="T4602" t="inlineStr">
        <is>
          <t>母婴亲子</t>
        </is>
      </c>
      <c r="U4602" t="inlineStr">
        <is>
          <t>玩具早教</t>
        </is>
      </c>
      <c r="V4602" s="3">
        <v>46129.991064814814</v>
      </c>
      <c r="W4602" t="inlineStr">
        <is>
          <t>2026-Q2</t>
        </is>
      </c>
    </row>
    <row r="4603" ht="25.5" customHeight="1">
      <c r="A4603" t="inlineStr">
        <is>
          <t>正版 原版 我的小小世界 盒装12册点读版 0-3岁早教启蒙行为习惯</t>
        </is>
      </c>
      <c r="B4603" t="inlineStr">
        <is>
          <t>__upload_recvh40CU0EH4g.jpg</t>
        </is>
      </c>
      <c r="C4603" s="2" t="str">
        <f>=HYPERLINK("https://xhslink.com/m/50ByPNirc67", "https://xhslink.com/m/50ByPNirc67")</f>
        <v>https://xhslink.com/m/50ByPNirc67</v>
      </c>
      <c r="D4603"/>
      <c r="E4603">
        <v>3322</v>
      </c>
      <c r="F4603">
        <v>158</v>
      </c>
      <c r="G4603">
        <v>128</v>
      </c>
      <c r="H4603">
        <v>100</v>
      </c>
      <c r="I4603" t="inlineStr">
        <is>
          <t>幼儿园绘本</t>
        </is>
      </c>
      <c r="J4603" t="inlineStr">
        <is>
          <t>0.03</t>
        </is>
      </c>
      <c r="K4603"/>
      <c r="L4603" t="inlineStr">
        <is>
          <t>泡泡星绘本馆的店</t>
        </is>
      </c>
      <c r="M4603">
        <v>5481</v>
      </c>
      <c r="N4603">
        <v>4.81</v>
      </c>
      <c r="O4603">
        <v>48000</v>
      </c>
      <c r="P4603" t="inlineStr">
        <is>
          <t>67b0a66b97592600018c70d6</t>
        </is>
      </c>
      <c r="Q4603"/>
      <c r="R4603" t="inlineStr">
        <is>
          <t>16周</t>
        </is>
      </c>
      <c r="S4603" t="inlineStr">
        <is>
          <t>0.61</t>
        </is>
      </c>
      <c r="T4603" t="inlineStr">
        <is>
          <t>母婴亲子</t>
        </is>
      </c>
      <c r="U4603" t="inlineStr">
        <is>
          <t>玩具早教</t>
        </is>
      </c>
      <c r="V4603" s="3">
        <v>46129.991064814814</v>
      </c>
      <c r="W4603" t="inlineStr">
        <is>
          <t>2026-Q2</t>
        </is>
      </c>
    </row>
    <row r="4604" ht="25.5" customHeight="1">
      <c r="A4604" t="inlineStr">
        <is>
          <t>歪歪兔 · 语言表达课（全4册）</t>
        </is>
      </c>
      <c r="B4604" t="inlineStr">
        <is>
          <t>__upload_recvh40CU0aDTO.jpg</t>
        </is>
      </c>
      <c r="C4604" s="2" t="str">
        <f>=HYPERLINK("https://xhslink.com/m/8iTLfkn9Zhb", "https://xhslink.com/m/8iTLfkn9Zhb")</f>
        <v>https://xhslink.com/m/8iTLfkn9Zhb</v>
      </c>
      <c r="D4604"/>
      <c r="E4604">
        <v>6855</v>
      </c>
      <c r="F4604">
        <v>36</v>
      </c>
      <c r="G4604">
        <v>33</v>
      </c>
      <c r="H4604">
        <v>100</v>
      </c>
      <c r="I4604" t="inlineStr">
        <is>
          <t>幼儿园绘本</t>
        </is>
      </c>
      <c r="J4604" t="inlineStr">
        <is>
          <t>0.01</t>
        </is>
      </c>
      <c r="K4604"/>
      <c r="L4604" t="inlineStr">
        <is>
          <t>歪歪兔旗舰店</t>
        </is>
      </c>
      <c r="M4604">
        <v>11000</v>
      </c>
      <c r="N4604">
        <v>4.64</v>
      </c>
      <c r="O4604">
        <v>123000</v>
      </c>
      <c r="P4604" t="inlineStr">
        <is>
          <t>623bd58732e2a50001aefc03</t>
        </is>
      </c>
      <c r="Q4604"/>
      <c r="R4604" t="inlineStr">
        <is>
          <t>16周</t>
        </is>
      </c>
      <c r="S4604" t="inlineStr">
        <is>
          <t>0.62</t>
        </is>
      </c>
      <c r="T4604" t="inlineStr">
        <is>
          <t>母婴亲子</t>
        </is>
      </c>
      <c r="U4604" t="inlineStr">
        <is>
          <t>玩具早教</t>
        </is>
      </c>
      <c r="V4604" s="3">
        <v>46129.991064814814</v>
      </c>
      <c r="W4604" t="inlineStr">
        <is>
          <t>2026-Q2</t>
        </is>
      </c>
    </row>
    <row r="4605" ht="25.5" customHeight="1">
      <c r="A4605" t="inlineStr">
        <is>
          <t>0-3岁全10册启蒙认知游戏翻翻书～！</t>
        </is>
      </c>
      <c r="B4605" t="inlineStr">
        <is>
          <t>__upload_recvh40CU0y1Qn.jpg</t>
        </is>
      </c>
      <c r="C4605" s="2" t="str">
        <f>=HYPERLINK("https://xhslink.com/m/Aw8m5o8T7Zh", "https://xhslink.com/m/Aw8m5o8T7Zh")</f>
        <v>https://xhslink.com/m/Aw8m5o8T7Zh</v>
      </c>
      <c r="D4605"/>
      <c r="E4605">
        <v>38000</v>
      </c>
      <c r="F4605">
        <v>59.8</v>
      </c>
      <c r="G4605">
        <v>19.8</v>
      </c>
      <c r="H4605">
        <v>100</v>
      </c>
      <c r="I4605" t="inlineStr">
        <is>
          <t>幼儿园绘本</t>
        </is>
      </c>
      <c r="J4605" t="inlineStr">
        <is>
          <t>0.00</t>
        </is>
      </c>
      <c r="K4605" t="inlineStr">
        <is>
          <t>🔥低粉爆款</t>
        </is>
      </c>
      <c r="L4605" t="inlineStr">
        <is>
          <t>鹿鸣读书房的店</t>
        </is>
      </c>
      <c r="M4605">
        <v>574</v>
      </c>
      <c r="N4605">
        <v>4.77</v>
      </c>
      <c r="O4605">
        <v>49000</v>
      </c>
      <c r="P4605" t="inlineStr">
        <is>
          <t>6912b60e886bed000184f8ed</t>
        </is>
      </c>
      <c r="Q4605"/>
      <c r="R4605" t="inlineStr">
        <is>
          <t>16周</t>
        </is>
      </c>
      <c r="S4605" t="inlineStr">
        <is>
          <t>66.20</t>
        </is>
      </c>
      <c r="T4605" t="inlineStr">
        <is>
          <t>运动潮玩</t>
        </is>
      </c>
      <c r="U4605" t="inlineStr">
        <is>
          <t>图书文创</t>
        </is>
      </c>
      <c r="V4605" s="3">
        <v>46129.991064814814</v>
      </c>
      <c r="W4605" t="inlineStr">
        <is>
          <t>2026-Q2</t>
        </is>
      </c>
    </row>
    <row r="4606" ht="25.5" customHeight="1">
      <c r="A4606" t="inlineStr">
        <is>
          <t>正版保证！共3册 熊猫面包+猴子列车+企鹅旅馆 想象力 绘本2~6岁</t>
        </is>
      </c>
      <c r="B4606" t="inlineStr">
        <is>
          <t>__upload_recvh40CU0yDLI.jpg</t>
        </is>
      </c>
      <c r="C4606" s="2" t="str">
        <f>=HYPERLINK("https://xhslink.com/m/BJFCKlgCgu", "https://xhslink.com/m/BJFCKlgCgu")</f>
        <v>https://xhslink.com/m/BJFCKlgCgu</v>
      </c>
      <c r="D4606"/>
      <c r="E4606">
        <v>47000</v>
      </c>
      <c r="F4606">
        <v>39</v>
      </c>
      <c r="G4606"/>
      <c r="H4606">
        <v>100</v>
      </c>
      <c r="I4606" t="inlineStr">
        <is>
          <t>幼儿园绘本</t>
        </is>
      </c>
      <c r="J4606" t="inlineStr">
        <is>
          <t>0.00</t>
        </is>
      </c>
      <c r="K4606"/>
      <c r="L4606" t="inlineStr">
        <is>
          <t>小宇的书屋的店</t>
        </is>
      </c>
      <c r="M4606">
        <v>52000</v>
      </c>
      <c r="N4606">
        <v>4.61</v>
      </c>
      <c r="O4606">
        <v>494000</v>
      </c>
      <c r="P4606" t="inlineStr">
        <is>
          <t>66529fed9e3cee00017dd54f</t>
        </is>
      </c>
      <c r="Q4606" t="inlineStr">
        <is>
          <t>🚫重复</t>
        </is>
      </c>
      <c r="R4606" t="inlineStr">
        <is>
          <t>16周</t>
        </is>
      </c>
      <c r="S4606" t="inlineStr">
        <is>
          <t>0.90</t>
        </is>
      </c>
      <c r="T4606" t="inlineStr">
        <is>
          <t>美食滋补</t>
        </is>
      </c>
      <c r="U4606" t="inlineStr">
        <is>
          <t>休闲零食</t>
        </is>
      </c>
      <c r="V4606" s="3">
        <v>46129.991064814814</v>
      </c>
      <c r="W4606" t="inlineStr">
        <is>
          <t>2026-Q2</t>
        </is>
      </c>
    </row>
    <row r="4607" ht="25.5" customHeight="1">
      <c r="A4607" t="inlineStr">
        <is>
          <t>0-3岁亲子互动食育翻翻书好吃的水果好吃的蔬菜好吃的美食10本</t>
        </is>
      </c>
      <c r="B4607" t="inlineStr">
        <is>
          <t>__upload_recvh40CU0lBQN.jpg</t>
        </is>
      </c>
      <c r="C4607" s="2" t="str">
        <f>=HYPERLINK("https://xhslink.com/m/5SwGjuAtZEf", "https://xhslink.com/m/5SwGjuAtZEf")</f>
        <v>https://xhslink.com/m/5SwGjuAtZEf</v>
      </c>
      <c r="D4607"/>
      <c r="E4607">
        <v>9439</v>
      </c>
      <c r="F4607">
        <v>36.8</v>
      </c>
      <c r="G4607"/>
      <c r="H4607">
        <v>100</v>
      </c>
      <c r="I4607" t="inlineStr">
        <is>
          <t>幼儿园绘本</t>
        </is>
      </c>
      <c r="J4607" t="inlineStr">
        <is>
          <t>0.01</t>
        </is>
      </c>
      <c r="K4607" t="inlineStr">
        <is>
          <t>🔥低粉爆款</t>
        </is>
      </c>
      <c r="L4607" t="inlineStr">
        <is>
          <t>春申图书的店</t>
        </is>
      </c>
      <c r="M4607">
        <v>1795</v>
      </c>
      <c r="N4607">
        <v>4.47</v>
      </c>
      <c r="O4607">
        <v>33000</v>
      </c>
      <c r="P4607" t="inlineStr">
        <is>
          <t>6954e56c96a9fa0001f89741</t>
        </is>
      </c>
      <c r="Q4607"/>
      <c r="R4607" t="inlineStr">
        <is>
          <t>16周</t>
        </is>
      </c>
      <c r="S4607" t="inlineStr">
        <is>
          <t>5.26</t>
        </is>
      </c>
      <c r="T4607" t="inlineStr">
        <is>
          <t>美食滋补</t>
        </is>
      </c>
      <c r="U4607" t="inlineStr">
        <is>
          <t>生鲜特产</t>
        </is>
      </c>
      <c r="V4607" s="3">
        <v>46129.991064814814</v>
      </c>
      <c r="W4607" t="inlineStr">
        <is>
          <t>2026-Q2</t>
        </is>
      </c>
    </row>
    <row r="4608" ht="25.5" customHeight="1">
      <c r="A4608" t="inlineStr">
        <is>
          <t>【18.8R到手7枚】全麦0蔗糖早八党贝果早餐大学生</t>
        </is>
      </c>
      <c r="B4608" t="inlineStr">
        <is>
          <t>__upload_recvh40CU0AxmA.jpg</t>
        </is>
      </c>
      <c r="C4608" s="2" t="str">
        <f>=HYPERLINK("https://xhslink.com/m/5BXGizSR6TO", "https://xhslink.com/m/5BXGizSR6TO")</f>
        <v>https://xhslink.com/m/5BXGizSR6TO</v>
      </c>
      <c r="D4608"/>
      <c r="E4608">
        <v>64000</v>
      </c>
      <c r="F4608">
        <v>37.8</v>
      </c>
      <c r="G4608">
        <v>18.8</v>
      </c>
      <c r="H4608">
        <v>100</v>
      </c>
      <c r="I4608" t="inlineStr">
        <is>
          <t>办公零食</t>
        </is>
      </c>
      <c r="J4608" t="inlineStr">
        <is>
          <t>0.00</t>
        </is>
      </c>
      <c r="K4608" t="inlineStr">
        <is>
          <t>🔥低粉爆款</t>
        </is>
      </c>
      <c r="L4608" t="inlineStr">
        <is>
          <t>麦语烘焙坊的店</t>
        </is>
      </c>
      <c r="M4608">
        <v>3998</v>
      </c>
      <c r="N4608">
        <v>4.5</v>
      </c>
      <c r="O4608">
        <v>108000</v>
      </c>
      <c r="P4608" t="inlineStr">
        <is>
          <t>67dd402098b4be0001409ae1</t>
        </is>
      </c>
      <c r="Q4608" t="inlineStr">
        <is>
          <t>🚫重复</t>
        </is>
      </c>
      <c r="R4608" t="inlineStr">
        <is>
          <t>16周</t>
        </is>
      </c>
      <c r="S4608" t="inlineStr">
        <is>
          <t>16.01</t>
        </is>
      </c>
      <c r="T4608" t="inlineStr">
        <is>
          <t>美食滋补</t>
        </is>
      </c>
      <c r="U4608" t="inlineStr">
        <is>
          <t>休闲零食</t>
        </is>
      </c>
      <c r="V4608" s="3">
        <v>46129.991064814814</v>
      </c>
      <c r="W4608" t="inlineStr">
        <is>
          <t>2026-Q2</t>
        </is>
      </c>
    </row>
    <row r="4609" ht="25.5" customHeight="1">
      <c r="A4609" t="inlineStr">
        <is>
          <t>食验室 · AA【闪脆瞬融】 钻石脆巧 冻干巧克力 香醇浓郁0代可可脂减脂期</t>
        </is>
      </c>
      <c r="B4609" t="inlineStr">
        <is>
          <t>__upload_recvh40CU0QEQc.jpg</t>
        </is>
      </c>
      <c r="C4609" s="2" t="str">
        <f>=HYPERLINK("https://xhslink.com/m/5RoiNN5IDJs", "https://xhslink.com/m/5RoiNN5IDJs")</f>
        <v>https://xhslink.com/m/5RoiNN5IDJs</v>
      </c>
      <c r="D4609"/>
      <c r="E4609">
        <v>7610</v>
      </c>
      <c r="F4609">
        <v>39.8</v>
      </c>
      <c r="G4609"/>
      <c r="H4609">
        <v>100</v>
      </c>
      <c r="I4609" t="inlineStr">
        <is>
          <t>办公零食</t>
        </is>
      </c>
      <c r="J4609" t="inlineStr">
        <is>
          <t>0.01</t>
        </is>
      </c>
      <c r="K4609"/>
      <c r="L4609" t="inlineStr">
        <is>
          <t>食验室旗舰店</t>
        </is>
      </c>
      <c r="M4609">
        <v>195000</v>
      </c>
      <c r="N4609">
        <v>4.68</v>
      </c>
      <c r="O4609">
        <v>1462000</v>
      </c>
      <c r="P4609" t="inlineStr">
        <is>
          <t>6800d5bd1201db00018dc39b</t>
        </is>
      </c>
      <c r="Q4609" t="inlineStr">
        <is>
          <t>🚫重复</t>
        </is>
      </c>
      <c r="R4609" t="inlineStr">
        <is>
          <t>16周</t>
        </is>
      </c>
      <c r="S4609" t="inlineStr">
        <is>
          <t>0.04</t>
        </is>
      </c>
      <c r="T4609" t="inlineStr">
        <is>
          <t>美食滋补</t>
        </is>
      </c>
      <c r="U4609" t="inlineStr">
        <is>
          <t>休闲零食</t>
        </is>
      </c>
      <c r="V4609" s="3">
        <v>46129.991064814814</v>
      </c>
      <c r="W4609" t="inlineStr">
        <is>
          <t>2026-Q2</t>
        </is>
      </c>
    </row>
    <row r="4610" ht="25.5" customHeight="1">
      <c r="A4610" t="inlineStr">
        <is>
          <t>Find it · 小圆瓶车载香薰汽车香水淡香味祛异味持久留香</t>
        </is>
      </c>
      <c r="B4610" t="inlineStr">
        <is>
          <t>__upload_recvh40CU02csv.jpg</t>
        </is>
      </c>
      <c r="C4610" s="2" t="str">
        <f>=HYPERLINK("https://xhslink.com/m/635UhOdPHSH", "https://xhslink.com/m/635UhOdPHSH")</f>
        <v>https://xhslink.com/m/635UhOdPHSH</v>
      </c>
      <c r="D4610"/>
      <c r="E4610">
        <v>44000</v>
      </c>
      <c r="F4610">
        <v>59</v>
      </c>
      <c r="G4610"/>
      <c r="H4610">
        <v>100</v>
      </c>
      <c r="I4610" t="inlineStr">
        <is>
          <t>车载香薰</t>
        </is>
      </c>
      <c r="J4610" t="inlineStr">
        <is>
          <t>0.00</t>
        </is>
      </c>
      <c r="K4610" t="inlineStr">
        <is>
          <t>🔥低粉爆款</t>
        </is>
      </c>
      <c r="L4610" t="inlineStr">
        <is>
          <t>Find it车载香薰的店</t>
        </is>
      </c>
      <c r="M4610">
        <v>1904</v>
      </c>
      <c r="N4610">
        <v>3.9</v>
      </c>
      <c r="O4610">
        <v>55000</v>
      </c>
      <c r="P4610" t="inlineStr">
        <is>
          <t>672dc0d86a6c18000196d02e</t>
        </is>
      </c>
      <c r="Q4610" t="inlineStr">
        <is>
          <t>🚫重复</t>
        </is>
      </c>
      <c r="R4610" t="inlineStr">
        <is>
          <t>16周</t>
        </is>
      </c>
      <c r="S4610" t="inlineStr">
        <is>
          <t>23.11</t>
        </is>
      </c>
      <c r="T4610" t="inlineStr">
        <is>
          <t>家居生活</t>
        </is>
      </c>
      <c r="U4610" t="inlineStr">
        <is>
          <t>家居日用</t>
        </is>
      </c>
      <c r="V4610" s="3">
        <v>46129.991064814814</v>
      </c>
      <c r="W4610" t="inlineStr">
        <is>
          <t>2026-Q2</t>
        </is>
      </c>
    </row>
    <row r="4611" ht="25.5" customHeight="1">
      <c r="A4611" t="inlineStr">
        <is>
          <t>卡西道夫 · 小风扇充电式电风扇学生宿舍床头风扇办公室桌面电扇usb小型风扇</t>
        </is>
      </c>
      <c r="B4611" t="inlineStr">
        <is>
          <t>__upload_recvh40CU0udEj.jpg</t>
        </is>
      </c>
      <c r="C4611" s="2" t="str">
        <f>=HYPERLINK("https://xhslink.com/m/70rlK47Vbg7", "https://xhslink.com/m/70rlK47Vbg7")</f>
        <v>https://xhslink.com/m/70rlK47Vbg7</v>
      </c>
      <c r="D4611"/>
      <c r="E4611">
        <v>40000</v>
      </c>
      <c r="F4611">
        <v>29</v>
      </c>
      <c r="G4611"/>
      <c r="H4611">
        <v>100</v>
      </c>
      <c r="I4611" t="inlineStr">
        <is>
          <t>风扇</t>
        </is>
      </c>
      <c r="J4611" t="inlineStr">
        <is>
          <t>0.00</t>
        </is>
      </c>
      <c r="K4611"/>
      <c r="L4611" t="inlineStr">
        <is>
          <t>卡西道夫旗舰店</t>
        </is>
      </c>
      <c r="M4611">
        <v>17000</v>
      </c>
      <c r="N4611">
        <v>4.68</v>
      </c>
      <c r="O4611">
        <v>108000</v>
      </c>
      <c r="P4611" t="inlineStr">
        <is>
          <t>66175a566a084a000135ba39</t>
        </is>
      </c>
      <c r="Q4611" t="inlineStr">
        <is>
          <t>🚫重复</t>
        </is>
      </c>
      <c r="R4611" t="inlineStr">
        <is>
          <t>16周</t>
        </is>
      </c>
      <c r="S4611" t="inlineStr">
        <is>
          <t>2.35</t>
        </is>
      </c>
      <c r="T4611" t="inlineStr">
        <is>
          <t>家居生活</t>
        </is>
      </c>
      <c r="U4611" t="inlineStr">
        <is>
          <t>家居日用</t>
        </is>
      </c>
      <c r="V4611" s="3">
        <v>46129.991064814814</v>
      </c>
      <c r="W4611" t="inlineStr">
        <is>
          <t>2026-Q2</t>
        </is>
      </c>
    </row>
    <row r="4612" ht="25.5" customHeight="1">
      <c r="A4612" t="inlineStr">
        <is>
          <t>卡西道夫 · 自动摇头夹扇充电静音大风力办公室宿舍学生桌面台扇usb小风扇</t>
        </is>
      </c>
      <c r="B4612" t="inlineStr">
        <is>
          <t>__upload_recvh40CU0bsXK.jpg</t>
        </is>
      </c>
      <c r="C4612" s="2" t="str">
        <f>=HYPERLINK("https://xhslink.com/m/95Z6d2JWgGa", "https://xhslink.com/m/95Z6d2JWgGa")</f>
        <v>https://xhslink.com/m/95Z6d2JWgGa</v>
      </c>
      <c r="D4612"/>
      <c r="E4612">
        <v>26000</v>
      </c>
      <c r="F4612">
        <v>29</v>
      </c>
      <c r="G4612"/>
      <c r="H4612">
        <v>100</v>
      </c>
      <c r="I4612" t="inlineStr">
        <is>
          <t>风扇</t>
        </is>
      </c>
      <c r="J4612" t="inlineStr">
        <is>
          <t>0.00</t>
        </is>
      </c>
      <c r="K4612"/>
      <c r="L4612" t="inlineStr">
        <is>
          <t>卡西道夫旗舰店</t>
        </is>
      </c>
      <c r="M4612">
        <v>17000</v>
      </c>
      <c r="N4612">
        <v>4.68</v>
      </c>
      <c r="O4612">
        <v>108000</v>
      </c>
      <c r="P4612" t="inlineStr">
        <is>
          <t>66175d2acf047100019c855f</t>
        </is>
      </c>
      <c r="Q4612" t="inlineStr">
        <is>
          <t>🚫重复</t>
        </is>
      </c>
      <c r="R4612" t="inlineStr">
        <is>
          <t>16周</t>
        </is>
      </c>
      <c r="S4612" t="inlineStr">
        <is>
          <t>1.53</t>
        </is>
      </c>
      <c r="T4612" t="inlineStr">
        <is>
          <t>家居生活</t>
        </is>
      </c>
      <c r="U4612" t="inlineStr">
        <is>
          <t>家居日用</t>
        </is>
      </c>
      <c r="V4612" s="3">
        <v>46129.991064814814</v>
      </c>
      <c r="W4612" t="inlineStr">
        <is>
          <t>2026-Q2</t>
        </is>
      </c>
    </row>
    <row r="4613" ht="25.5" customHeight="1">
      <c r="A4613" t="inlineStr">
        <is>
          <t>【樱桃小苹果】云南新鲜现摘脆甜野生小苹果糖心苹果当季孕妇水果</t>
        </is>
      </c>
      <c r="B4613" t="inlineStr">
        <is>
          <t>__upload_recvh40CU0vd8O.jpg</t>
        </is>
      </c>
      <c r="C4613" s="2" t="str">
        <f>=HYPERLINK("https://xhslink.com/m/AvoYY8M4Y1y", "https://xhslink.com/m/AvoYY8M4Y1y")</f>
        <v>https://xhslink.com/m/AvoYY8M4Y1y</v>
      </c>
      <c r="D4613"/>
      <c r="E4613">
        <v>173000</v>
      </c>
      <c r="F4613">
        <v>41.9</v>
      </c>
      <c r="G4613">
        <v>21.9</v>
      </c>
      <c r="H4613">
        <v>100</v>
      </c>
      <c r="I4613" t="inlineStr">
        <is>
          <t>苹果</t>
        </is>
      </c>
      <c r="J4613" t="inlineStr">
        <is>
          <t>0.00</t>
        </is>
      </c>
      <c r="K4613" t="inlineStr">
        <is>
          <t>🔥低粉爆款</t>
        </is>
      </c>
      <c r="L4613" t="inlineStr">
        <is>
          <t>果壹生鲜的店</t>
        </is>
      </c>
      <c r="M4613">
        <v>823</v>
      </c>
      <c r="N4613">
        <v>4.45</v>
      </c>
      <c r="O4613">
        <v>369000</v>
      </c>
      <c r="P4613" t="inlineStr">
        <is>
          <t>68f840cee0f3b20001c0dbf7</t>
        </is>
      </c>
      <c r="Q4613" t="inlineStr">
        <is>
          <t>🚫重复</t>
        </is>
      </c>
      <c r="R4613" t="inlineStr">
        <is>
          <t>16周</t>
        </is>
      </c>
      <c r="S4613" t="inlineStr">
        <is>
          <t>210.21</t>
        </is>
      </c>
      <c r="T4613" t="inlineStr">
        <is>
          <t>美食滋补</t>
        </is>
      </c>
      <c r="U4613" t="inlineStr">
        <is>
          <t>生鲜特产</t>
        </is>
      </c>
      <c r="V4613" s="3">
        <v>46129.991064814814</v>
      </c>
      <c r="W4613" t="inlineStr">
        <is>
          <t>2026-Q2</t>
        </is>
      </c>
    </row>
    <row r="4614" ht="25.5" customHeight="1">
      <c r="A4614" t="inlineStr">
        <is>
          <t>【顺丰/JD】新鲜云南蓝莓甄选当季鲜果孕妇宝宝辅食整箱现摘S8-1</t>
        </is>
      </c>
      <c r="B4614" t="inlineStr">
        <is>
          <t>__upload_recvh40CU0b8xa.jpg</t>
        </is>
      </c>
      <c r="C4614" s="2" t="str">
        <f>=HYPERLINK("https://xhslink.com/m/AYRKLFJqNOB", "https://xhslink.com/m/AYRKLFJqNOB")</f>
        <v>https://xhslink.com/m/AYRKLFJqNOB</v>
      </c>
      <c r="D4614"/>
      <c r="E4614">
        <v>53000</v>
      </c>
      <c r="F4614">
        <v>63.8</v>
      </c>
      <c r="G4614">
        <v>33.8</v>
      </c>
      <c r="H4614">
        <v>100</v>
      </c>
      <c r="I4614" t="inlineStr">
        <is>
          <t>水果</t>
        </is>
      </c>
      <c r="J4614" t="inlineStr">
        <is>
          <t>0.00</t>
        </is>
      </c>
      <c r="K4614" t="inlineStr">
        <is>
          <t>🔥低粉爆款</t>
        </is>
      </c>
      <c r="L4614" t="inlineStr">
        <is>
          <t>卓果鲜的店</t>
        </is>
      </c>
      <c r="M4614">
        <v>445</v>
      </c>
      <c r="N4614">
        <v>4.37</v>
      </c>
      <c r="O4614">
        <v>86000</v>
      </c>
      <c r="P4614" t="inlineStr">
        <is>
          <t>6916d0541c5b2a0001c226d8</t>
        </is>
      </c>
      <c r="Q4614" t="inlineStr">
        <is>
          <t>🚫重复</t>
        </is>
      </c>
      <c r="R4614" t="inlineStr">
        <is>
          <t>16周</t>
        </is>
      </c>
      <c r="S4614" t="inlineStr">
        <is>
          <t>119.10</t>
        </is>
      </c>
      <c r="T4614" t="inlineStr">
        <is>
          <t>母婴亲子</t>
        </is>
      </c>
      <c r="U4614" t="inlineStr">
        <is>
          <t>童装童鞋</t>
        </is>
      </c>
      <c r="V4614" s="3">
        <v>46129.991064814814</v>
      </c>
      <c r="W4614" t="inlineStr">
        <is>
          <t>2026-Q2</t>
        </is>
      </c>
    </row>
    <row r="4615" ht="25.5" customHeight="1">
      <c r="A4615" t="inlineStr">
        <is>
          <t>【顺丰包邮】云南蓝莓花香蓝莓抚仙湖蓝莓脆甜带花香</t>
        </is>
      </c>
      <c r="B4615" t="inlineStr">
        <is>
          <t>__upload_recvh40CU0qytw.jpg</t>
        </is>
      </c>
      <c r="C4615" s="2" t="str">
        <f>=HYPERLINK("https://xhslink.com/m/6t7SF3ukpTT", "https://xhslink.com/m/6t7SF3ukpTT")</f>
        <v>https://xhslink.com/m/6t7SF3ukpTT</v>
      </c>
      <c r="D4615"/>
      <c r="E4615">
        <v>189000</v>
      </c>
      <c r="F4615">
        <v>144.8</v>
      </c>
      <c r="G4615">
        <v>124.8</v>
      </c>
      <c r="H4615">
        <v>100</v>
      </c>
      <c r="I4615" t="inlineStr">
        <is>
          <t>水果</t>
        </is>
      </c>
      <c r="J4615" t="inlineStr">
        <is>
          <t>0.00</t>
        </is>
      </c>
      <c r="K4615" t="inlineStr">
        <is>
          <t>🔥低粉爆款</t>
        </is>
      </c>
      <c r="L4615" t="inlineStr">
        <is>
          <t>sweet果记的店</t>
        </is>
      </c>
      <c r="M4615">
        <v>31000</v>
      </c>
      <c r="N4615">
        <v>4.46</v>
      </c>
      <c r="O4615">
        <v>339000</v>
      </c>
      <c r="P4615" t="inlineStr">
        <is>
          <t>67b6003b9759260001b698e7</t>
        </is>
      </c>
      <c r="Q4615" t="inlineStr">
        <is>
          <t>🚫重复</t>
        </is>
      </c>
      <c r="R4615" t="inlineStr">
        <is>
          <t>16周</t>
        </is>
      </c>
      <c r="S4615" t="inlineStr">
        <is>
          <t>6.10</t>
        </is>
      </c>
      <c r="T4615" t="inlineStr">
        <is>
          <t>美食滋补</t>
        </is>
      </c>
      <c r="U4615" t="inlineStr">
        <is>
          <t>生鲜特产</t>
        </is>
      </c>
      <c r="V4615" s="3">
        <v>46129.991064814814</v>
      </c>
      <c r="W4615" t="inlineStr">
        <is>
          <t>2026-Q2</t>
        </is>
      </c>
    </row>
    <row r="4616" ht="25.5" customHeight="1">
      <c r="A4616" t="inlineStr">
        <is>
          <t>酸嘢脆甜大青芒送辣椒面酸梅粉脆爽口芒果花学生开胃吃货</t>
        </is>
      </c>
      <c r="B4616" t="inlineStr">
        <is>
          <t>__upload_recvh40CU0tNjR.jpg</t>
        </is>
      </c>
      <c r="C4616" s="2" t="str">
        <f>=HYPERLINK("https://xhslink.com/m/29vZkhuFRT2", "https://xhslink.com/m/29vZkhuFRT2")</f>
        <v>https://xhslink.com/m/29vZkhuFRT2</v>
      </c>
      <c r="D4616"/>
      <c r="E4616">
        <v>365000</v>
      </c>
      <c r="F4616">
        <v>33.6</v>
      </c>
      <c r="G4616">
        <v>19.6</v>
      </c>
      <c r="H4616">
        <v>100</v>
      </c>
      <c r="I4616" t="inlineStr">
        <is>
          <t>水果</t>
        </is>
      </c>
      <c r="J4616" t="inlineStr">
        <is>
          <t>0.00</t>
        </is>
      </c>
      <c r="K4616" t="inlineStr">
        <is>
          <t>🔥低粉爆款</t>
        </is>
      </c>
      <c r="L4616" t="inlineStr">
        <is>
          <t>朱一一的水果铺的店</t>
        </is>
      </c>
      <c r="M4616">
        <v>33000</v>
      </c>
      <c r="N4616">
        <v>4.57</v>
      </c>
      <c r="O4616">
        <v>570000</v>
      </c>
      <c r="P4616" t="inlineStr">
        <is>
          <t>6757d7e4ada659000117b7e4</t>
        </is>
      </c>
      <c r="Q4616" t="inlineStr">
        <is>
          <t>🚫重复</t>
        </is>
      </c>
      <c r="R4616" t="inlineStr">
        <is>
          <t>16周</t>
        </is>
      </c>
      <c r="S4616" t="inlineStr">
        <is>
          <t>11.06</t>
        </is>
      </c>
      <c r="T4616" t="inlineStr">
        <is>
          <t>美食滋补</t>
        </is>
      </c>
      <c r="U4616" t="inlineStr">
        <is>
          <t>生鲜特产</t>
        </is>
      </c>
      <c r="V4616" s="3">
        <v>46129.991064814814</v>
      </c>
      <c r="W4616" t="inlineStr">
        <is>
          <t>2026-Q2</t>
        </is>
      </c>
    </row>
    <row r="4617" ht="25.5" customHeight="1">
      <c r="A4617" t="inlineStr">
        <is>
          <t>猫小鲜格莱斯无花果顺丰发货 |冬季格莱斯较干，表皮皱</t>
        </is>
      </c>
      <c r="B4617" t="inlineStr">
        <is>
          <t>__upload_recvh40CU0lZEb.jpg</t>
        </is>
      </c>
      <c r="C4617" s="2" t="str">
        <f>=HYPERLINK("https://xhslink.com/m/8R8TxbvM4W2", "https://xhslink.com/m/8R8TxbvM4W2")</f>
        <v>https://xhslink.com/m/8R8TxbvM4W2</v>
      </c>
      <c r="D4617"/>
      <c r="E4617">
        <v>3344</v>
      </c>
      <c r="F4617">
        <v>176</v>
      </c>
      <c r="G4617">
        <v>166</v>
      </c>
      <c r="H4617">
        <v>100</v>
      </c>
      <c r="I4617" t="inlineStr">
        <is>
          <t>水果</t>
        </is>
      </c>
      <c r="J4617" t="inlineStr">
        <is>
          <t>0.03</t>
        </is>
      </c>
      <c r="K4617"/>
      <c r="L4617" t="inlineStr">
        <is>
          <t>猫小鲜无花果的店</t>
        </is>
      </c>
      <c r="M4617">
        <v>2729</v>
      </c>
      <c r="N4617">
        <v>4.74</v>
      </c>
      <c r="O4617">
        <v>8661</v>
      </c>
      <c r="P4617" t="inlineStr">
        <is>
          <t>69cdd6197c7d12000125f883</t>
        </is>
      </c>
      <c r="Q4617"/>
      <c r="R4617" t="inlineStr">
        <is>
          <t>16周</t>
        </is>
      </c>
      <c r="S4617" t="inlineStr">
        <is>
          <t>1.23</t>
        </is>
      </c>
      <c r="T4617" t="inlineStr">
        <is>
          <t>美食滋补</t>
        </is>
      </c>
      <c r="U4617" t="inlineStr">
        <is>
          <t>生鲜特产</t>
        </is>
      </c>
      <c r="V4617" s="3">
        <v>46129.991064814814</v>
      </c>
      <c r="W4617" t="inlineStr">
        <is>
          <t>2026-Q2</t>
        </is>
      </c>
    </row>
    <row r="4618" ht="25.5" customHeight="1">
      <c r="A4618" t="inlineStr">
        <is>
          <t>卓正儿康 · 易缓舒橘红膏儿童宝宝罗汉果陈皮甘草化州四季清润橘红膏成人</t>
        </is>
      </c>
      <c r="B4618" t="inlineStr">
        <is>
          <t>__upload_recvh40CU0HRqw.jpg</t>
        </is>
      </c>
      <c r="C4618" s="2" t="str">
        <f>=HYPERLINK("https://xhslink.com/m/9QmQ77q9dpZ", "https://xhslink.com/m/9QmQ77q9dpZ")</f>
        <v>https://xhslink.com/m/9QmQ77q9dpZ</v>
      </c>
      <c r="D4618"/>
      <c r="E4618">
        <v>31000</v>
      </c>
      <c r="F4618">
        <v>178</v>
      </c>
      <c r="G4618">
        <v>135</v>
      </c>
      <c r="H4618">
        <v>100</v>
      </c>
      <c r="I4618" t="inlineStr">
        <is>
          <t>辅食营养</t>
        </is>
      </c>
      <c r="J4618" t="inlineStr">
        <is>
          <t>0.00</t>
        </is>
      </c>
      <c r="K4618" t="inlineStr">
        <is>
          <t>🔥低粉爆款</t>
        </is>
      </c>
      <c r="L4618" t="inlineStr">
        <is>
          <t>卓正儿康旗舰店</t>
        </is>
      </c>
      <c r="M4618">
        <v>8917</v>
      </c>
      <c r="N4618">
        <v>4.65</v>
      </c>
      <c r="O4618">
        <v>83000</v>
      </c>
      <c r="P4618" t="inlineStr">
        <is>
          <t>66e2621e17128e000164689f</t>
        </is>
      </c>
      <c r="Q4618" t="inlineStr">
        <is>
          <t>🚫重复</t>
        </is>
      </c>
      <c r="R4618" t="inlineStr">
        <is>
          <t>16周</t>
        </is>
      </c>
      <c r="S4618" t="inlineStr">
        <is>
          <t>3.48</t>
        </is>
      </c>
      <c r="T4618" t="inlineStr">
        <is>
          <t>母婴亲子</t>
        </is>
      </c>
      <c r="U4618" t="inlineStr">
        <is>
          <t>童装童鞋</t>
        </is>
      </c>
      <c r="V4618" s="3">
        <v>46129.991064814814</v>
      </c>
      <c r="W4618" t="inlineStr">
        <is>
          <t>2026-Q2</t>
        </is>
      </c>
    </row>
    <row r="4619" ht="25.5" customHeight="1">
      <c r="A4619" t="inlineStr">
        <is>
          <t>嚼嚼乐软糖酸甜水果口味休闲零食磨牙小零食哏啾啾好吃</t>
        </is>
      </c>
      <c r="B4619" t="inlineStr">
        <is>
          <t>__upload_recvh40CU0qth7.jpg</t>
        </is>
      </c>
      <c r="C4619" s="2" t="str">
        <f>=HYPERLINK("https://xhslink.com/m/6plBpM5pZt2", "https://xhslink.com/m/6plBpM5pZt2")</f>
        <v>https://xhslink.com/m/6plBpM5pZt2</v>
      </c>
      <c r="D4619"/>
      <c r="E4619">
        <v>2731</v>
      </c>
      <c r="F4619">
        <v>44.9</v>
      </c>
      <c r="G4619">
        <v>43.9</v>
      </c>
      <c r="H4619">
        <v>100</v>
      </c>
      <c r="I4619" t="inlineStr">
        <is>
          <t>辅食营养</t>
        </is>
      </c>
      <c r="J4619" t="inlineStr">
        <is>
          <t>0.04</t>
        </is>
      </c>
      <c r="K4619"/>
      <c r="L4619" t="inlineStr">
        <is>
          <t>茉莉麻麻零食屋的店</t>
        </is>
      </c>
      <c r="M4619">
        <v>6782</v>
      </c>
      <c r="N4619">
        <v>4.39</v>
      </c>
      <c r="O4619">
        <v>34000</v>
      </c>
      <c r="P4619" t="inlineStr">
        <is>
          <t>69307346d4336a00015babbc</t>
        </is>
      </c>
      <c r="Q4619"/>
      <c r="R4619" t="inlineStr">
        <is>
          <t>16周</t>
        </is>
      </c>
      <c r="S4619" t="inlineStr">
        <is>
          <t>0.40</t>
        </is>
      </c>
      <c r="T4619" t="inlineStr">
        <is>
          <t>美食滋补</t>
        </is>
      </c>
      <c r="U4619" t="inlineStr">
        <is>
          <t>休闲零食</t>
        </is>
      </c>
      <c r="V4619" s="3">
        <v>46129.991064814814</v>
      </c>
      <c r="W4619" t="inlineStr">
        <is>
          <t>2026-Q2</t>
        </is>
      </c>
    </row>
    <row r="4620" ht="25.5" customHeight="1">
      <c r="A4620" t="inlineStr">
        <is>
          <t>sobam索邦 · 迷你多功能洗脸面巾小拖把夹布二次利用自动换纸地把</t>
        </is>
      </c>
      <c r="B4620" t="inlineStr">
        <is>
          <t>__upload_recvh40CU0hs0K.jpg</t>
        </is>
      </c>
      <c r="C4620" s="2" t="str">
        <f>=HYPERLINK("https://xhslink.com/m/5S8BFXmqFZk", "https://xhslink.com/m/5S8BFXmqFZk")</f>
        <v>https://xhslink.com/m/5S8BFXmqFZk</v>
      </c>
      <c r="D4620"/>
      <c r="E4620">
        <v>391000</v>
      </c>
      <c r="F4620">
        <v>29.9</v>
      </c>
      <c r="G4620"/>
      <c r="H4620">
        <v>100</v>
      </c>
      <c r="I4620" t="inlineStr">
        <is>
          <t>洗脸面巾</t>
        </is>
      </c>
      <c r="J4620" t="inlineStr">
        <is>
          <t>0.00</t>
        </is>
      </c>
      <c r="K4620"/>
      <c r="L4620" t="inlineStr">
        <is>
          <t>sobam索邦旗舰店</t>
        </is>
      </c>
      <c r="M4620">
        <v>159000</v>
      </c>
      <c r="N4620">
        <v>4.6</v>
      </c>
      <c r="O4620">
        <v>596000</v>
      </c>
      <c r="P4620" t="inlineStr">
        <is>
          <t>6684c0e0a9c8b700017b5ba6</t>
        </is>
      </c>
      <c r="Q4620" t="inlineStr">
        <is>
          <t>🚫重复</t>
        </is>
      </c>
      <c r="R4620" t="inlineStr">
        <is>
          <t>16周</t>
        </is>
      </c>
      <c r="S4620" t="inlineStr">
        <is>
          <t>2.46</t>
        </is>
      </c>
      <c r="T4620" t="inlineStr">
        <is>
          <t>家居生活</t>
        </is>
      </c>
      <c r="U4620" t="inlineStr">
        <is>
          <t>家居日用</t>
        </is>
      </c>
      <c r="V4620" s="3">
        <v>46129.991064814814</v>
      </c>
      <c r="W4620" t="inlineStr">
        <is>
          <t>2026-Q2</t>
        </is>
      </c>
    </row>
    <row r="4621" ht="25.5" customHeight="1">
      <c r="A4621" t="inlineStr">
        <is>
          <t>OTHER · 【点我下单】食用油壶双喷头不漏油厨房挂式调味品倒油器</t>
        </is>
      </c>
      <c r="B4621" t="inlineStr">
        <is>
          <t>__upload_recvh40CU0Jlc8.jpg</t>
        </is>
      </c>
      <c r="C4621" s="2" t="str">
        <f>=HYPERLINK("https://xhslink.com/m/8RbIU1p6kOh", "https://xhslink.com/m/8RbIU1p6kOh")</f>
        <v>https://xhslink.com/m/8RbIU1p6kOh</v>
      </c>
      <c r="D4621"/>
      <c r="E4621">
        <v>36000</v>
      </c>
      <c r="F4621">
        <v>14.9</v>
      </c>
      <c r="G4621"/>
      <c r="H4621">
        <v>100</v>
      </c>
      <c r="I4621" t="inlineStr">
        <is>
          <t>厨房</t>
        </is>
      </c>
      <c r="J4621" t="inlineStr">
        <is>
          <t>0.00</t>
        </is>
      </c>
      <c r="K4621" t="inlineStr">
        <is>
          <t>🔥低粉爆款</t>
        </is>
      </c>
      <c r="L4621" t="inlineStr">
        <is>
          <t>空白格百货的店</t>
        </is>
      </c>
      <c r="M4621">
        <v>654</v>
      </c>
      <c r="N4621">
        <v>4.55</v>
      </c>
      <c r="O4621">
        <v>38000</v>
      </c>
      <c r="P4621" t="inlineStr">
        <is>
          <t>68592c3b186d1000154addab</t>
        </is>
      </c>
      <c r="Q4621"/>
      <c r="R4621" t="inlineStr">
        <is>
          <t>16周</t>
        </is>
      </c>
      <c r="S4621" t="inlineStr">
        <is>
          <t>55.05</t>
        </is>
      </c>
      <c r="T4621" t="inlineStr">
        <is>
          <t>家居生活</t>
        </is>
      </c>
      <c r="U4621" t="inlineStr">
        <is>
          <t>厨房餐饮</t>
        </is>
      </c>
      <c r="V4621" s="3">
        <v>46129.991064814814</v>
      </c>
      <c r="W4621" t="inlineStr">
        <is>
          <t>2026-Q2</t>
        </is>
      </c>
    </row>
    <row r="4622" ht="25.5" customHeight="1">
      <c r="A4622" t="inlineStr">
        <is>
          <t>【白月光】进店bi入 纯棉宽肩带背心内搭外穿 自带固定bra 遮副乳</t>
        </is>
      </c>
      <c r="B4622" t="inlineStr">
        <is>
          <t>__upload_recvh9P0bmlelA.jpg</t>
        </is>
      </c>
      <c r="C4622" s="2" t="str">
        <f>=HYPERLINK("https://xhslink.com/m/9b1cAG9krBF", "https://xhslink.com/m/9b1cAG9krBF")</f>
        <v>https://xhslink.com/m/9b1cAG9krBF</v>
      </c>
      <c r="D4622"/>
      <c r="E4622">
        <v>29000</v>
      </c>
      <c r="F4622">
        <v>49.9</v>
      </c>
      <c r="G4622"/>
      <c r="H4622">
        <v>100</v>
      </c>
      <c r="I4622" t="inlineStr">
        <is>
          <t>大码吊带</t>
        </is>
      </c>
      <c r="J4622" t="inlineStr">
        <is>
          <t>0.00</t>
        </is>
      </c>
      <c r="K4622" t="inlineStr">
        <is>
          <t>🔥低粉爆款</t>
        </is>
      </c>
      <c r="L4622" t="inlineStr">
        <is>
          <t>昕淇今天穿什么的店</t>
        </is>
      </c>
      <c r="M4622">
        <v>489</v>
      </c>
      <c r="N4622">
        <v>4.5</v>
      </c>
      <c r="O4622">
        <v>30000</v>
      </c>
      <c r="P4622" t="inlineStr">
        <is>
          <t>664c6c3433941b00017e6951</t>
        </is>
      </c>
      <c r="Q4622" t="inlineStr">
        <is>
          <t>🚫重复</t>
        </is>
      </c>
      <c r="R4622" t="inlineStr">
        <is>
          <t>16周</t>
        </is>
      </c>
      <c r="S4622" t="inlineStr">
        <is>
          <t>59.30</t>
        </is>
      </c>
      <c r="T4622" t="inlineStr">
        <is>
          <t>服饰穿搭</t>
        </is>
      </c>
      <c r="U4622" t="inlineStr">
        <is>
          <t>女装</t>
        </is>
      </c>
      <c r="V4622" s="3">
        <v>46130.98501157408</v>
      </c>
      <c r="W4622" t="inlineStr">
        <is>
          <t>2026-Q2</t>
        </is>
      </c>
    </row>
    <row r="4623" ht="25.5" customHeight="1">
      <c r="A4623" t="inlineStr">
        <is>
          <t>2026春季纯欲白月光微胖显瘦慵懒镂空罩衫清纯女牛仔裤抹胸套装</t>
        </is>
      </c>
      <c r="B4623" t="inlineStr">
        <is>
          <t>__upload_recvh9P0bmvhU2.jpg</t>
        </is>
      </c>
      <c r="C4623" s="2" t="str">
        <f>=HYPERLINK("https://xhslink.com/m/3qbYKPAzfFu", "https://xhslink.com/m/3qbYKPAzfFu")</f>
        <v>https://xhslink.com/m/3qbYKPAzfFu</v>
      </c>
      <c r="D4623"/>
      <c r="E4623">
        <v>11000</v>
      </c>
      <c r="F4623">
        <v>29.9</v>
      </c>
      <c r="G4623"/>
      <c r="H4623">
        <v>100</v>
      </c>
      <c r="I4623" t="inlineStr">
        <is>
          <t>大码吊带</t>
        </is>
      </c>
      <c r="J4623" t="inlineStr">
        <is>
          <t>0.01</t>
        </is>
      </c>
      <c r="K4623"/>
      <c r="L4623" t="inlineStr">
        <is>
          <t>高冷冷的店</t>
        </is>
      </c>
      <c r="M4623">
        <v>539000</v>
      </c>
      <c r="N4623">
        <v>4.59</v>
      </c>
      <c r="O4623">
        <v>376000</v>
      </c>
      <c r="P4623" t="inlineStr">
        <is>
          <t>67dc25e398b4be000134c611</t>
        </is>
      </c>
      <c r="Q4623" t="inlineStr">
        <is>
          <t>🚫重复</t>
        </is>
      </c>
      <c r="R4623" t="inlineStr">
        <is>
          <t>16周</t>
        </is>
      </c>
      <c r="S4623" t="inlineStr">
        <is>
          <t>0.02</t>
        </is>
      </c>
      <c r="T4623" t="inlineStr">
        <is>
          <t>服饰穿搭</t>
        </is>
      </c>
      <c r="U4623" t="inlineStr">
        <is>
          <t>女装</t>
        </is>
      </c>
      <c r="V4623" s="3">
        <v>46130.98501157408</v>
      </c>
      <c r="W4623" t="inlineStr">
        <is>
          <t>2026-Q2</t>
        </is>
      </c>
    </row>
    <row r="4624" ht="25.5" customHeight="1">
      <c r="A4624" t="inlineStr">
        <is>
          <t>早春独特漂亮法式套装连衣裙子女夏2026新款超火巨好看长裙一整套</t>
        </is>
      </c>
      <c r="B4624" t="inlineStr">
        <is>
          <t>__upload_recvh9P0bmZZmE.jpg</t>
        </is>
      </c>
      <c r="C4624" s="2" t="str">
        <f>=HYPERLINK("https://xhslink.com/m/1fvXaIRd0G9", "https://xhslink.com/m/1fvXaIRd0G9")</f>
        <v>https://xhslink.com/m/1fvXaIRd0G9</v>
      </c>
      <c r="D4624"/>
      <c r="E4624">
        <v>950</v>
      </c>
      <c r="F4624">
        <v>349</v>
      </c>
      <c r="G4624">
        <v>299</v>
      </c>
      <c r="H4624">
        <v>100</v>
      </c>
      <c r="I4624" t="inlineStr">
        <is>
          <t>大码吊带</t>
        </is>
      </c>
      <c r="J4624" t="inlineStr">
        <is>
          <t>0.11</t>
        </is>
      </c>
      <c r="K4624"/>
      <c r="L4624" t="inlineStr">
        <is>
          <t>时尚女装店-小七的店</t>
        </is>
      </c>
      <c r="M4624">
        <v>950</v>
      </c>
      <c r="N4624">
        <v>4.59</v>
      </c>
      <c r="O4624">
        <v>9811</v>
      </c>
      <c r="P4624" t="inlineStr">
        <is>
          <t>69be1b5e9c14650001700e36</t>
        </is>
      </c>
      <c r="Q4624"/>
      <c r="R4624" t="inlineStr">
        <is>
          <t>16周</t>
        </is>
      </c>
      <c r="S4624" t="inlineStr">
        <is>
          <t>1.00</t>
        </is>
      </c>
      <c r="T4624" t="inlineStr">
        <is>
          <t>服饰穿搭</t>
        </is>
      </c>
      <c r="U4624" t="inlineStr">
        <is>
          <t>女装</t>
        </is>
      </c>
      <c r="V4624" s="3">
        <v>46130.98501157408</v>
      </c>
      <c r="W4624" t="inlineStr">
        <is>
          <t>2026-Q2</t>
        </is>
      </c>
    </row>
    <row r="4625" ht="25.5" customHeight="1">
      <c r="A4625" t="inlineStr">
        <is>
          <t>黑/白 蚕丝极简胸垫螺纹背心</t>
        </is>
      </c>
      <c r="B4625" t="inlineStr">
        <is>
          <t>__upload_recvh9P0bmNwuk.jpg</t>
        </is>
      </c>
      <c r="C4625" s="2" t="str">
        <f>=HYPERLINK("https://xhslink.com/m/84MydsVzwUy", "https://xhslink.com/m/84MydsVzwUy")</f>
        <v>https://xhslink.com/m/84MydsVzwUy</v>
      </c>
      <c r="D4625"/>
      <c r="E4625">
        <v>3497</v>
      </c>
      <c r="F4625">
        <v>138</v>
      </c>
      <c r="G4625"/>
      <c r="H4625">
        <v>100</v>
      </c>
      <c r="I4625" t="inlineStr">
        <is>
          <t>大码吊带</t>
        </is>
      </c>
      <c r="J4625" t="inlineStr">
        <is>
          <t>0.03</t>
        </is>
      </c>
      <c r="K4625"/>
      <c r="L4625" t="inlineStr">
        <is>
          <t>你的西西儿的店</t>
        </is>
      </c>
      <c r="M4625">
        <v>42000</v>
      </c>
      <c r="N4625">
        <v>4.63</v>
      </c>
      <c r="O4625">
        <v>129000</v>
      </c>
      <c r="P4625" t="inlineStr">
        <is>
          <t>69a01134d5afea00013f05b1</t>
        </is>
      </c>
      <c r="Q4625" t="inlineStr">
        <is>
          <t>🚫重复</t>
        </is>
      </c>
      <c r="R4625" t="inlineStr">
        <is>
          <t>16周</t>
        </is>
      </c>
      <c r="S4625" t="inlineStr">
        <is>
          <t>0.08</t>
        </is>
      </c>
      <c r="T4625" t="inlineStr">
        <is>
          <t>服饰穿搭</t>
        </is>
      </c>
      <c r="U4625" t="inlineStr">
        <is>
          <t>女装</t>
        </is>
      </c>
      <c r="V4625" s="3">
        <v>46130.98501157408</v>
      </c>
      <c r="W4625" t="inlineStr">
        <is>
          <t>2026-Q2</t>
        </is>
      </c>
    </row>
    <row r="4626" ht="25.5" customHeight="1">
      <c r="A4626" t="inlineStr">
        <is>
          <t>半练 · 宽肩带带胸垫背心遮副乳显瘦女内搭打底TA037ZB</t>
        </is>
      </c>
      <c r="B4626" t="inlineStr">
        <is>
          <t>__upload_recvh9P0bmL1Hg.jpg</t>
        </is>
      </c>
      <c r="C4626" s="2" t="str">
        <f>=HYPERLINK("https://xhslink.com/m/7CggPtxYmnz", "https://xhslink.com/m/7CggPtxYmnz")</f>
        <v>https://xhslink.com/m/7CggPtxYmnz</v>
      </c>
      <c r="D4626"/>
      <c r="E4626">
        <v>5309</v>
      </c>
      <c r="F4626">
        <v>94</v>
      </c>
      <c r="G4626"/>
      <c r="H4626">
        <v>100</v>
      </c>
      <c r="I4626" t="inlineStr">
        <is>
          <t>大码吊带</t>
        </is>
      </c>
      <c r="J4626" t="inlineStr">
        <is>
          <t>0.02</t>
        </is>
      </c>
      <c r="K4626"/>
      <c r="L4626" t="inlineStr">
        <is>
          <t>半练旗舰店</t>
        </is>
      </c>
      <c r="M4626">
        <v>15000</v>
      </c>
      <c r="N4626">
        <v>4.63</v>
      </c>
      <c r="O4626">
        <v>103000</v>
      </c>
      <c r="P4626" t="inlineStr">
        <is>
          <t>688b3f37b1b9df000128fc22</t>
        </is>
      </c>
      <c r="Q4626" t="inlineStr">
        <is>
          <t>🚫重复</t>
        </is>
      </c>
      <c r="R4626" t="inlineStr">
        <is>
          <t>16周</t>
        </is>
      </c>
      <c r="S4626" t="inlineStr">
        <is>
          <t>0.35</t>
        </is>
      </c>
      <c r="T4626" t="inlineStr">
        <is>
          <t>服饰穿搭</t>
        </is>
      </c>
      <c r="U4626" t="inlineStr">
        <is>
          <t>女装</t>
        </is>
      </c>
      <c r="V4626" s="3">
        <v>46130.98501157408</v>
      </c>
      <c r="W4626" t="inlineStr">
        <is>
          <t>2026-Q2</t>
        </is>
      </c>
    </row>
    <row r="4627" ht="25.5" customHeight="1">
      <c r="A4627" t="inlineStr">
        <is>
          <t>雨天户外沙滩EVA增高厚底人字拖推荐女防滑防臭纯色百搭拖鞋泰国</t>
        </is>
      </c>
      <c r="B4627" t="inlineStr">
        <is>
          <t>__upload_recvh9P0bmDaBl.jpg</t>
        </is>
      </c>
      <c r="C4627" s="2" t="str">
        <f>=HYPERLINK("https://xhslink.com/m/53R9ns2tUOj", "https://xhslink.com/m/53R9ns2tUOj")</f>
        <v>https://xhslink.com/m/53R9ns2tUOj</v>
      </c>
      <c r="D4627"/>
      <c r="E4627">
        <v>134000</v>
      </c>
      <c r="F4627">
        <v>39.9</v>
      </c>
      <c r="G4627">
        <v>29.9</v>
      </c>
      <c r="H4627">
        <v>100</v>
      </c>
      <c r="I4627" t="inlineStr">
        <is>
          <t>海边穿搭</t>
        </is>
      </c>
      <c r="J4627" t="inlineStr">
        <is>
          <t>0.00</t>
        </is>
      </c>
      <c r="K4627" t="inlineStr">
        <is>
          <t>🔥低粉爆款</t>
        </is>
      </c>
      <c r="L4627" t="inlineStr">
        <is>
          <t>小小祎XIAOYI的店</t>
        </is>
      </c>
      <c r="M4627">
        <v>3491</v>
      </c>
      <c r="N4627">
        <v>4.62</v>
      </c>
      <c r="O4627">
        <v>374000</v>
      </c>
      <c r="P4627" t="inlineStr">
        <is>
          <t>6611178428d3630001f3a93a</t>
        </is>
      </c>
      <c r="Q4627" t="inlineStr">
        <is>
          <t>🚫重复</t>
        </is>
      </c>
      <c r="R4627" t="inlineStr">
        <is>
          <t>16周</t>
        </is>
      </c>
      <c r="S4627" t="inlineStr">
        <is>
          <t>38.38</t>
        </is>
      </c>
      <c r="T4627" t="inlineStr">
        <is>
          <t>服饰穿搭</t>
        </is>
      </c>
      <c r="U4627" t="inlineStr">
        <is>
          <t>鞋靴箱包</t>
        </is>
      </c>
      <c r="V4627" s="3">
        <v>46130.98501157408</v>
      </c>
      <c r="W4627" t="inlineStr">
        <is>
          <t>2026-Q2</t>
        </is>
      </c>
    </row>
    <row r="4628" ht="25.5" customHeight="1">
      <c r="A4628" t="inlineStr">
        <is>
          <t>KAKASA · 夏日多巴胺柠檬黄色短裤简约纯色棉布沙滩热裤海边度假穿搭</t>
        </is>
      </c>
      <c r="B4628" t="inlineStr">
        <is>
          <t>__upload_recvh9P0bmwi54.jpg</t>
        </is>
      </c>
      <c r="C4628" s="2" t="str">
        <f>=HYPERLINK("https://xhslink.com/m/1lIi2pw4HXC", "https://xhslink.com/m/1lIi2pw4HXC")</f>
        <v>https://xhslink.com/m/1lIi2pw4HXC</v>
      </c>
      <c r="D4628"/>
      <c r="E4628">
        <v>7061</v>
      </c>
      <c r="F4628">
        <v>118</v>
      </c>
      <c r="G4628">
        <v>98</v>
      </c>
      <c r="H4628">
        <v>100</v>
      </c>
      <c r="I4628" t="inlineStr">
        <is>
          <t>海边穿搭</t>
        </is>
      </c>
      <c r="J4628" t="inlineStr">
        <is>
          <t>0.01</t>
        </is>
      </c>
      <c r="K4628"/>
      <c r="L4628" t="inlineStr">
        <is>
          <t>KAKASA的店</t>
        </is>
      </c>
      <c r="M4628">
        <v>122000</v>
      </c>
      <c r="N4628">
        <v>4.73</v>
      </c>
      <c r="O4628">
        <v>298000</v>
      </c>
      <c r="P4628" t="inlineStr">
        <is>
          <t>67acd27543e42a0001d67b43</t>
        </is>
      </c>
      <c r="Q4628" t="inlineStr">
        <is>
          <t>🚫重复</t>
        </is>
      </c>
      <c r="R4628" t="inlineStr">
        <is>
          <t>16周</t>
        </is>
      </c>
      <c r="S4628" t="inlineStr">
        <is>
          <t>0.06</t>
        </is>
      </c>
      <c r="T4628" t="inlineStr">
        <is>
          <t>服饰穿搭</t>
        </is>
      </c>
      <c r="U4628" t="inlineStr">
        <is>
          <t>女装</t>
        </is>
      </c>
      <c r="V4628" s="3">
        <v>46130.98501157408</v>
      </c>
      <c r="W4628" t="inlineStr">
        <is>
          <t>2026-Q2</t>
        </is>
      </c>
    </row>
    <row r="4629" ht="25.5" customHeight="1">
      <c r="A4629" t="inlineStr">
        <is>
          <t>夏季新品韩版高腰破洞洗水A字蓝色牛仔短裤女百搭显瘦极简2026夏</t>
        </is>
      </c>
      <c r="B4629" t="inlineStr">
        <is>
          <t>__upload_recvh9P0bmUQDR.jpg</t>
        </is>
      </c>
      <c r="C4629" s="2" t="str">
        <f>=HYPERLINK("https://xhslink.com/m/76zKeryqo4M", "https://xhslink.com/m/76zKeryqo4M")</f>
        <v>https://xhslink.com/m/76zKeryqo4M</v>
      </c>
      <c r="D4629"/>
      <c r="E4629">
        <v>2616</v>
      </c>
      <c r="F4629">
        <v>129</v>
      </c>
      <c r="G4629"/>
      <c r="H4629">
        <v>100</v>
      </c>
      <c r="I4629" t="inlineStr">
        <is>
          <t>海边穿搭</t>
        </is>
      </c>
      <c r="J4629" t="inlineStr">
        <is>
          <t>0.04</t>
        </is>
      </c>
      <c r="K4629"/>
      <c r="L4629" t="inlineStr">
        <is>
          <t>UMI微米服饰的店</t>
        </is>
      </c>
      <c r="M4629">
        <v>4538</v>
      </c>
      <c r="N4629">
        <v>4.55</v>
      </c>
      <c r="O4629">
        <v>14000</v>
      </c>
      <c r="P4629" t="inlineStr">
        <is>
          <t>65044387f4ea2c0001d76f22</t>
        </is>
      </c>
      <c r="Q4629"/>
      <c r="R4629" t="inlineStr">
        <is>
          <t>16周</t>
        </is>
      </c>
      <c r="S4629" t="inlineStr">
        <is>
          <t>0.58</t>
        </is>
      </c>
      <c r="T4629" t="inlineStr">
        <is>
          <t>服饰穿搭</t>
        </is>
      </c>
      <c r="U4629" t="inlineStr">
        <is>
          <t>女装</t>
        </is>
      </c>
      <c r="V4629" s="3">
        <v>46130.98501157408</v>
      </c>
      <c r="W4629" t="inlineStr">
        <is>
          <t>2026-Q2</t>
        </is>
      </c>
    </row>
    <row r="4630" ht="25.5" customHeight="1">
      <c r="A4630" t="inlineStr">
        <is>
          <t>8.6活口可调节手作戒指</t>
        </is>
      </c>
      <c r="B4630" t="inlineStr">
        <is>
          <t>__upload_recvh9P0bmhuU2.jpg</t>
        </is>
      </c>
      <c r="C4630" s="2" t="str">
        <f>=HYPERLINK("https://xhslink.com/m/4q8WG8C7XG2", "https://xhslink.com/m/4q8WG8C7XG2")</f>
        <v>https://xhslink.com/m/4q8WG8C7XG2</v>
      </c>
      <c r="D4630"/>
      <c r="E4630">
        <v>12000</v>
      </c>
      <c r="F4630">
        <v>18</v>
      </c>
      <c r="G4630"/>
      <c r="H4630">
        <v>100</v>
      </c>
      <c r="I4630" t="inlineStr">
        <is>
          <t>戒指</t>
        </is>
      </c>
      <c r="J4630" t="inlineStr">
        <is>
          <t>0.01</t>
        </is>
      </c>
      <c r="K4630"/>
      <c r="L4630" t="inlineStr">
        <is>
          <t>佳佳的珠宝屋的店</t>
        </is>
      </c>
      <c r="M4630">
        <v>201000</v>
      </c>
      <c r="N4630">
        <v>4.25</v>
      </c>
      <c r="O4630">
        <v>318000</v>
      </c>
      <c r="P4630" t="inlineStr">
        <is>
          <t>64cf6f8ff6df3a00019655cb</t>
        </is>
      </c>
      <c r="Q4630" t="inlineStr">
        <is>
          <t>🚫重复</t>
        </is>
      </c>
      <c r="R4630" t="inlineStr">
        <is>
          <t>16周</t>
        </is>
      </c>
      <c r="S4630" t="inlineStr">
        <is>
          <t>0.06</t>
        </is>
      </c>
      <c r="T4630" t="inlineStr">
        <is>
          <t>服饰穿搭</t>
        </is>
      </c>
      <c r="U4630" t="inlineStr">
        <is>
          <t>配饰</t>
        </is>
      </c>
      <c r="V4630" s="3">
        <v>46130.98501157408</v>
      </c>
      <c r="W4630" t="inlineStr">
        <is>
          <t>2026-Q2</t>
        </is>
      </c>
    </row>
    <row r="4631" ht="25.5" customHeight="1">
      <c r="A4631" t="inlineStr">
        <is>
          <t>肌理感素圈戒指女小众轻奢高级感可调节百搭食指戒新品上新</t>
        </is>
      </c>
      <c r="B4631" t="inlineStr">
        <is>
          <t>__upload_recvh9P0bmPJsz.jpg</t>
        </is>
      </c>
      <c r="C4631" s="2" t="str">
        <f>=HYPERLINK("https://xhslink.com/m/QIIm62Zlpl", "https://xhslink.com/m/QIIm62Zlpl")</f>
        <v>https://xhslink.com/m/QIIm62Zlpl</v>
      </c>
      <c r="D4631"/>
      <c r="E4631">
        <v>7922</v>
      </c>
      <c r="F4631">
        <v>60</v>
      </c>
      <c r="G4631">
        <v>50</v>
      </c>
      <c r="H4631">
        <v>100</v>
      </c>
      <c r="I4631" t="inlineStr">
        <is>
          <t>戒指</t>
        </is>
      </c>
      <c r="J4631" t="inlineStr">
        <is>
          <t>0.01</t>
        </is>
      </c>
      <c r="K4631" t="inlineStr">
        <is>
          <t>🔥低粉爆款</t>
        </is>
      </c>
      <c r="L4631" t="inlineStr">
        <is>
          <t>Tri-Lume叁熹的店</t>
        </is>
      </c>
      <c r="M4631">
        <v>2260</v>
      </c>
      <c r="N4631">
        <v>4.51</v>
      </c>
      <c r="O4631">
        <v>21000</v>
      </c>
      <c r="P4631" t="inlineStr">
        <is>
          <t>6795de0de437e40001bb0da5</t>
        </is>
      </c>
      <c r="Q4631"/>
      <c r="R4631" t="inlineStr">
        <is>
          <t>16周</t>
        </is>
      </c>
      <c r="S4631" t="inlineStr">
        <is>
          <t>3.51</t>
        </is>
      </c>
      <c r="T4631" t="inlineStr">
        <is>
          <t>服饰穿搭</t>
        </is>
      </c>
      <c r="U4631" t="inlineStr">
        <is>
          <t>配饰</t>
        </is>
      </c>
      <c r="V4631" s="3">
        <v>46130.98501157408</v>
      </c>
      <c r="W4631" t="inlineStr">
        <is>
          <t>2026-Q2</t>
        </is>
      </c>
    </row>
    <row r="4632" ht="25.5" customHeight="1">
      <c r="A4632" t="inlineStr">
        <is>
          <t>仿真结婚婚戒情侣对戒男女假钻戒一对订婚婚礼仪式道具戒指可调节</t>
        </is>
      </c>
      <c r="B4632" t="inlineStr">
        <is>
          <t>__upload_recvh9P0bmb0yQ.jpg</t>
        </is>
      </c>
      <c r="C4632" s="2" t="str">
        <f>=HYPERLINK("https://xhslink.com/m/1trVJRhjUch", "https://xhslink.com/m/1trVJRhjUch")</f>
        <v>https://xhslink.com/m/1trVJRhjUch</v>
      </c>
      <c r="D4632"/>
      <c r="E4632">
        <v>26000</v>
      </c>
      <c r="F4632">
        <v>33.88</v>
      </c>
      <c r="G4632">
        <v>29.48</v>
      </c>
      <c r="H4632">
        <v>100</v>
      </c>
      <c r="I4632" t="inlineStr">
        <is>
          <t>戒指</t>
        </is>
      </c>
      <c r="J4632" t="inlineStr">
        <is>
          <t>0.00</t>
        </is>
      </c>
      <c r="K4632" t="inlineStr">
        <is>
          <t>🔥低粉爆款</t>
        </is>
      </c>
      <c r="L4632" t="inlineStr">
        <is>
          <t>星星泡饭的店</t>
        </is>
      </c>
      <c r="M4632">
        <v>6281</v>
      </c>
      <c r="N4632">
        <v>4.8</v>
      </c>
      <c r="O4632">
        <v>31000</v>
      </c>
      <c r="P4632" t="inlineStr">
        <is>
          <t>68a8aaa795220f00014de10b</t>
        </is>
      </c>
      <c r="Q4632" t="inlineStr">
        <is>
          <t>🚫重复</t>
        </is>
      </c>
      <c r="R4632" t="inlineStr">
        <is>
          <t>16周</t>
        </is>
      </c>
      <c r="S4632" t="inlineStr">
        <is>
          <t>4.14</t>
        </is>
      </c>
      <c r="T4632" t="inlineStr">
        <is>
          <t>服饰穿搭</t>
        </is>
      </c>
      <c r="U4632" t="inlineStr">
        <is>
          <t>配饰</t>
        </is>
      </c>
      <c r="V4632" s="3">
        <v>46130.98501157408</v>
      </c>
      <c r="W4632" t="inlineStr">
        <is>
          <t>2026-Q2</t>
        </is>
      </c>
    </row>
    <row r="4633" ht="25.5" customHeight="1">
      <c r="A4633" t="inlineStr">
        <is>
          <t>【Aurae】Garden花园系列法式鸢尾紫罗兰蝴蝶小众高级戒指</t>
        </is>
      </c>
      <c r="B4633" t="inlineStr">
        <is>
          <t>__upload_recvh9P0bmmi8r.jpg</t>
        </is>
      </c>
      <c r="C4633" s="2" t="str">
        <f>=HYPERLINK("https://xhslink.com/m/1eV3dH1J0Kv", "https://xhslink.com/m/1eV3dH1J0Kv")</f>
        <v>https://xhslink.com/m/1eV3dH1J0Kv</v>
      </c>
      <c r="D4633"/>
      <c r="E4633">
        <v>4313</v>
      </c>
      <c r="F4633">
        <v>61.9</v>
      </c>
      <c r="G4633">
        <v>31.9</v>
      </c>
      <c r="H4633">
        <v>100</v>
      </c>
      <c r="I4633" t="inlineStr">
        <is>
          <t>戒指</t>
        </is>
      </c>
      <c r="J4633" t="inlineStr">
        <is>
          <t>0.02</t>
        </is>
      </c>
      <c r="K4633"/>
      <c r="L4633" t="inlineStr">
        <is>
          <t>Aurae Acc的店</t>
        </is>
      </c>
      <c r="M4633">
        <v>2695</v>
      </c>
      <c r="N4633">
        <v>4.52</v>
      </c>
      <c r="O4633">
        <v>10000</v>
      </c>
      <c r="P4633" t="inlineStr">
        <is>
          <t>68f841ffc074c5000103a5b1</t>
        </is>
      </c>
      <c r="Q4633" t="inlineStr">
        <is>
          <t>🚫重复</t>
        </is>
      </c>
      <c r="R4633" t="inlineStr">
        <is>
          <t>16周</t>
        </is>
      </c>
      <c r="S4633" t="inlineStr">
        <is>
          <t>1.60</t>
        </is>
      </c>
      <c r="T4633" t="inlineStr">
        <is>
          <t>服饰穿搭</t>
        </is>
      </c>
      <c r="U4633" t="inlineStr">
        <is>
          <t>配饰</t>
        </is>
      </c>
      <c r="V4633" s="3">
        <v>46130.98501157408</v>
      </c>
      <c r="W4633" t="inlineStr">
        <is>
          <t>2026-Q2</t>
        </is>
      </c>
    </row>
    <row r="4634" ht="25.5" customHeight="1">
      <c r="A4634" t="inlineStr">
        <is>
          <t>Glas-深空之蓝 新版纯银1mm极细青金石纹身感克莱因蓝戒指·S925银</t>
        </is>
      </c>
      <c r="B4634" t="inlineStr">
        <is>
          <t>__upload_recvh9P0bmN1KY.jpg</t>
        </is>
      </c>
      <c r="C4634" s="2" t="str">
        <f>=HYPERLINK("https://xhslink.com/m/94l5axW2poD", "https://xhslink.com/m/94l5axW2poD")</f>
        <v>https://xhslink.com/m/94l5axW2poD</v>
      </c>
      <c r="D4634"/>
      <c r="E4634">
        <v>5126</v>
      </c>
      <c r="F4634">
        <v>36</v>
      </c>
      <c r="G4634"/>
      <c r="H4634">
        <v>100</v>
      </c>
      <c r="I4634" t="inlineStr">
        <is>
          <t>戒指</t>
        </is>
      </c>
      <c r="J4634" t="inlineStr">
        <is>
          <t>0.02</t>
        </is>
      </c>
      <c r="K4634"/>
      <c r="L4634" t="inlineStr">
        <is>
          <t>森秋SENTRAL的店</t>
        </is>
      </c>
      <c r="M4634">
        <v>6624</v>
      </c>
      <c r="N4634">
        <v>4.55</v>
      </c>
      <c r="O4634">
        <v>14000</v>
      </c>
      <c r="P4634" t="inlineStr">
        <is>
          <t>68ac72fe95220f0001682236</t>
        </is>
      </c>
      <c r="Q4634"/>
      <c r="R4634" t="inlineStr">
        <is>
          <t>16周</t>
        </is>
      </c>
      <c r="S4634" t="inlineStr">
        <is>
          <t>0.77</t>
        </is>
      </c>
      <c r="T4634" t="inlineStr">
        <is>
          <t>服饰穿搭</t>
        </is>
      </c>
      <c r="U4634" t="inlineStr">
        <is>
          <t>配饰</t>
        </is>
      </c>
      <c r="V4634" s="3">
        <v>46130.98501157408</v>
      </c>
      <c r="W4634" t="inlineStr">
        <is>
          <t>2026-Q2</t>
        </is>
      </c>
    </row>
    <row r="4635" ht="25.5" customHeight="1">
      <c r="A4635" t="inlineStr">
        <is>
          <t>【培育钻排戒】共计55分·HPHT高温高压法·厚镀铑金</t>
        </is>
      </c>
      <c r="B4635" t="inlineStr">
        <is>
          <t>__upload_recvh9P0bm4SZH.jpg</t>
        </is>
      </c>
      <c r="C4635" s="2" t="str">
        <f>=HYPERLINK("https://xhslink.com/m/13Pp4z0FhQI", "https://xhslink.com/m/13Pp4z0FhQI")</f>
        <v>https://xhslink.com/m/13Pp4z0FhQI</v>
      </c>
      <c r="D4635"/>
      <c r="E4635">
        <v>6925</v>
      </c>
      <c r="F4635">
        <v>355</v>
      </c>
      <c r="G4635"/>
      <c r="H4635">
        <v>100</v>
      </c>
      <c r="I4635" t="inlineStr">
        <is>
          <t>戒指</t>
        </is>
      </c>
      <c r="J4635" t="inlineStr">
        <is>
          <t>0.01</t>
        </is>
      </c>
      <c r="K4635"/>
      <c r="L4635" t="inlineStr">
        <is>
          <t>yeya银饰珠宝的店</t>
        </is>
      </c>
      <c r="M4635">
        <v>8691</v>
      </c>
      <c r="N4635">
        <v>4.53</v>
      </c>
      <c r="O4635">
        <v>16000</v>
      </c>
      <c r="P4635" t="inlineStr">
        <is>
          <t>6917086ed4669a0001757739</t>
        </is>
      </c>
      <c r="Q4635" t="inlineStr">
        <is>
          <t>🚫重复</t>
        </is>
      </c>
      <c r="R4635" t="inlineStr">
        <is>
          <t>16周</t>
        </is>
      </c>
      <c r="S4635" t="inlineStr">
        <is>
          <t>0.80</t>
        </is>
      </c>
      <c r="T4635" t="inlineStr">
        <is>
          <t>服饰穿搭</t>
        </is>
      </c>
      <c r="U4635" t="inlineStr">
        <is>
          <t>配饰</t>
        </is>
      </c>
      <c r="V4635" s="3">
        <v>46130.98501157408</v>
      </c>
      <c r="W4635" t="inlineStr">
        <is>
          <t>2026-Q2</t>
        </is>
      </c>
    </row>
    <row r="4636" ht="25.5" customHeight="1">
      <c r="A4636" t="inlineStr">
        <is>
          <t>【前4W单9.99】小众ins高级感叠戴戒指盲盒58个【部分素圈】</t>
        </is>
      </c>
      <c r="B4636" t="inlineStr">
        <is>
          <t>__upload_recvh9P0bmKi7C.jpg</t>
        </is>
      </c>
      <c r="C4636" s="2" t="str">
        <f>=HYPERLINK("https://xhslink.com/m/9if0vYtJvpO", "https://xhslink.com/m/9if0vYtJvpO")</f>
        <v>https://xhslink.com/m/9if0vYtJvpO</v>
      </c>
      <c r="D4636"/>
      <c r="E4636">
        <v>30000</v>
      </c>
      <c r="F4636">
        <v>29.99</v>
      </c>
      <c r="G4636">
        <v>9.99</v>
      </c>
      <c r="H4636">
        <v>100</v>
      </c>
      <c r="I4636" t="inlineStr">
        <is>
          <t>戒指</t>
        </is>
      </c>
      <c r="J4636" t="inlineStr">
        <is>
          <t>0.00</t>
        </is>
      </c>
      <c r="K4636"/>
      <c r="L4636" t="inlineStr">
        <is>
          <t>玖点玖🌊的店</t>
        </is>
      </c>
      <c r="M4636">
        <v>38000</v>
      </c>
      <c r="N4636">
        <v>4.21</v>
      </c>
      <c r="O4636">
        <v>49000</v>
      </c>
      <c r="P4636" t="inlineStr">
        <is>
          <t>655b79b23214c000015e9802</t>
        </is>
      </c>
      <c r="Q4636"/>
      <c r="R4636" t="inlineStr">
        <is>
          <t>16周</t>
        </is>
      </c>
      <c r="S4636" t="inlineStr">
        <is>
          <t>0.79</t>
        </is>
      </c>
      <c r="T4636" t="inlineStr">
        <is>
          <t>服饰穿搭</t>
        </is>
      </c>
      <c r="U4636" t="inlineStr">
        <is>
          <t>配饰</t>
        </is>
      </c>
      <c r="V4636" s="3">
        <v>46130.98501157408</v>
      </c>
      <c r="W4636" t="inlineStr">
        <is>
          <t>2026-Q2</t>
        </is>
      </c>
    </row>
    <row r="4637" ht="25.5" customHeight="1">
      <c r="A4637" t="inlineStr">
        <is>
          <t>软顶有型～简约百搭棒球帽子（布鲁克林鸭舌帽）</t>
        </is>
      </c>
      <c r="B4637" t="inlineStr">
        <is>
          <t>__upload_recvh9P0bmNQCB.jpg</t>
        </is>
      </c>
      <c r="C4637" s="2" t="str">
        <f>=HYPERLINK("https://xhslink.com/m/6BnQAP9rSbD", "https://xhslink.com/m/6BnQAP9rSbD")</f>
        <v>https://xhslink.com/m/6BnQAP9rSbD</v>
      </c>
      <c r="D4637"/>
      <c r="E4637">
        <v>12000</v>
      </c>
      <c r="F4637">
        <v>39.9</v>
      </c>
      <c r="G4637"/>
      <c r="H4637">
        <v>100</v>
      </c>
      <c r="I4637" t="inlineStr">
        <is>
          <t>帽子</t>
        </is>
      </c>
      <c r="J4637" t="inlineStr">
        <is>
          <t>0.01</t>
        </is>
      </c>
      <c r="K4637"/>
      <c r="L4637" t="inlineStr">
        <is>
          <t>卷卷小强的店</t>
        </is>
      </c>
      <c r="M4637">
        <v>20000</v>
      </c>
      <c r="N4637">
        <v>4.62</v>
      </c>
      <c r="O4637">
        <v>203000</v>
      </c>
      <c r="P4637" t="inlineStr">
        <is>
          <t>65e352903f330b0001e885f9</t>
        </is>
      </c>
      <c r="Q4637" t="inlineStr">
        <is>
          <t>🚫重复</t>
        </is>
      </c>
      <c r="R4637" t="inlineStr">
        <is>
          <t>16周</t>
        </is>
      </c>
      <c r="S4637" t="inlineStr">
        <is>
          <t>0.60</t>
        </is>
      </c>
      <c r="T4637" t="inlineStr">
        <is>
          <t>服饰穿搭</t>
        </is>
      </c>
      <c r="U4637" t="inlineStr">
        <is>
          <t>配饰</t>
        </is>
      </c>
      <c r="V4637" s="3">
        <v>46130.98501157408</v>
      </c>
      <c r="W4637" t="inlineStr">
        <is>
          <t>2026-Q2</t>
        </is>
      </c>
    </row>
    <row r="4638" ht="25.5" customHeight="1">
      <c r="A4638" t="inlineStr">
        <is>
          <t>潮簰撤柜！橡胶热压工艺！硬顶加宽帽檐纯棉显瘦情侣棒球帽鸭舌帽</t>
        </is>
      </c>
      <c r="B4638" t="inlineStr">
        <is>
          <t>__upload_recvh9P0bmxZAw.jpg</t>
        </is>
      </c>
      <c r="C4638" s="2" t="str">
        <f>=HYPERLINK("https://xhslink.com/m/29WGGgg7MJ9", "https://xhslink.com/m/29WGGgg7MJ9")</f>
        <v>https://xhslink.com/m/29WGGgg7MJ9</v>
      </c>
      <c r="D4638"/>
      <c r="E4638">
        <v>1893</v>
      </c>
      <c r="F4638">
        <v>34.99</v>
      </c>
      <c r="G4638">
        <v>29.99</v>
      </c>
      <c r="H4638">
        <v>100</v>
      </c>
      <c r="I4638" t="inlineStr">
        <is>
          <t>帽子</t>
        </is>
      </c>
      <c r="J4638" t="inlineStr">
        <is>
          <t>0.05</t>
        </is>
      </c>
      <c r="K4638"/>
      <c r="L4638" t="inlineStr">
        <is>
          <t>爱老虎油的店的店</t>
        </is>
      </c>
      <c r="M4638">
        <v>87000</v>
      </c>
      <c r="N4638">
        <v>4.55</v>
      </c>
      <c r="O4638">
        <v>707000</v>
      </c>
      <c r="P4638" t="inlineStr">
        <is>
          <t>69c7cbf45e8e2700156be94c</t>
        </is>
      </c>
      <c r="Q4638"/>
      <c r="R4638" t="inlineStr">
        <is>
          <t>16周</t>
        </is>
      </c>
      <c r="S4638" t="inlineStr">
        <is>
          <t>0.02</t>
        </is>
      </c>
      <c r="T4638" t="inlineStr">
        <is>
          <t>服饰穿搭</t>
        </is>
      </c>
      <c r="U4638" t="inlineStr">
        <is>
          <t>配饰</t>
        </is>
      </c>
      <c r="V4638" s="3">
        <v>46130.98501157408</v>
      </c>
      <c r="W4638" t="inlineStr">
        <is>
          <t>2026-Q2</t>
        </is>
      </c>
    </row>
    <row r="4639" ht="25.5" customHeight="1">
      <c r="A4639" t="inlineStr">
        <is>
          <t>【橙子家】54-64大头围简约韩系显脸小棒球帽宽檐遮阳帽鸭舌帽ins</t>
        </is>
      </c>
      <c r="B4639" t="inlineStr">
        <is>
          <t>__upload_recvh9P0bmLGWZ.jpg</t>
        </is>
      </c>
      <c r="C4639" s="2" t="str">
        <f>=HYPERLINK("https://xhslink.com/m/7ymF4VdDZP0", "https://xhslink.com/m/7ymF4VdDZP0")</f>
        <v>https://xhslink.com/m/7ymF4VdDZP0</v>
      </c>
      <c r="D4639"/>
      <c r="E4639">
        <v>730</v>
      </c>
      <c r="F4639">
        <v>36.8</v>
      </c>
      <c r="G4639"/>
      <c r="H4639">
        <v>100</v>
      </c>
      <c r="I4639" t="inlineStr">
        <is>
          <t>帽子</t>
        </is>
      </c>
      <c r="J4639" t="inlineStr">
        <is>
          <t>0.14</t>
        </is>
      </c>
      <c r="K4639"/>
      <c r="L4639" t="inlineStr">
        <is>
          <t>多肉脸橙子的店的店</t>
        </is>
      </c>
      <c r="M4639">
        <v>84000</v>
      </c>
      <c r="N4639">
        <v>4.47</v>
      </c>
      <c r="O4639">
        <v>1336000</v>
      </c>
      <c r="P4639" t="inlineStr">
        <is>
          <t>69c115d7d6abc60001c4cf12</t>
        </is>
      </c>
      <c r="Q4639" t="inlineStr">
        <is>
          <t>🚫重复</t>
        </is>
      </c>
      <c r="R4639" t="inlineStr">
        <is>
          <t>16周</t>
        </is>
      </c>
      <c r="S4639" t="inlineStr">
        <is>
          <t>0.01</t>
        </is>
      </c>
      <c r="T4639" t="inlineStr">
        <is>
          <t>服饰穿搭</t>
        </is>
      </c>
      <c r="U4639" t="inlineStr">
        <is>
          <t>配饰</t>
        </is>
      </c>
      <c r="V4639" s="3">
        <v>46130.98501157408</v>
      </c>
      <c r="W4639" t="inlineStr">
        <is>
          <t>2026-Q2</t>
        </is>
      </c>
    </row>
    <row r="4640" ht="25.5" customHeight="1">
      <c r="A4640" t="inlineStr">
        <is>
          <t>Jenny-甜酷辣妹十字架叠戴项链女冷淡风镶钻石锁骨链</t>
        </is>
      </c>
      <c r="B4640" t="inlineStr">
        <is>
          <t>__upload_recvh9P0bmPPz8.jpg</t>
        </is>
      </c>
      <c r="C4640" s="2" t="str">
        <f>=HYPERLINK("https://xhslink.com/m/2hh7adOrPKb", "https://xhslink.com/m/2hh7adOrPKb")</f>
        <v>https://xhslink.com/m/2hh7adOrPKb</v>
      </c>
      <c r="D4640"/>
      <c r="E4640">
        <v>3850</v>
      </c>
      <c r="F4640">
        <v>21.9</v>
      </c>
      <c r="G4640"/>
      <c r="H4640">
        <v>100</v>
      </c>
      <c r="I4640" t="inlineStr">
        <is>
          <t>项链</t>
        </is>
      </c>
      <c r="J4640" t="inlineStr">
        <is>
          <t>0.03</t>
        </is>
      </c>
      <c r="K4640"/>
      <c r="L4640" t="inlineStr">
        <is>
          <t>Jenny的饰品店的店</t>
        </is>
      </c>
      <c r="M4640">
        <v>2625</v>
      </c>
      <c r="N4640">
        <v>4.58</v>
      </c>
      <c r="O4640">
        <v>28000</v>
      </c>
      <c r="P4640" t="inlineStr">
        <is>
          <t>685cfd1ad67cc2000155f668</t>
        </is>
      </c>
      <c r="Q4640"/>
      <c r="R4640" t="inlineStr">
        <is>
          <t>16周</t>
        </is>
      </c>
      <c r="S4640" t="inlineStr">
        <is>
          <t>1.47</t>
        </is>
      </c>
      <c r="T4640" t="inlineStr">
        <is>
          <t>服饰穿搭</t>
        </is>
      </c>
      <c r="U4640" t="inlineStr">
        <is>
          <t>配饰</t>
        </is>
      </c>
      <c r="V4640" s="3">
        <v>46130.98501157408</v>
      </c>
      <c r="W4640" t="inlineStr">
        <is>
          <t>2026-Q2</t>
        </is>
      </c>
    </row>
    <row r="4641" ht="25.5" customHeight="1">
      <c r="A4641" t="inlineStr">
        <is>
          <t>Niko｜原创捷克复古串珠项链（非七天无理由）</t>
        </is>
      </c>
      <c r="B4641" t="inlineStr">
        <is>
          <t>__upload_recvh9P0bmYhEN.jpg</t>
        </is>
      </c>
      <c r="C4641" s="2" t="str">
        <f>=HYPERLINK("https://xhslink.com/m/BPWEOzzfP3", "https://xhslink.com/m/BPWEOzzfP3")</f>
        <v>https://xhslink.com/m/BPWEOzzfP3</v>
      </c>
      <c r="D4641"/>
      <c r="E4641">
        <v>1808</v>
      </c>
      <c r="F4641">
        <v>88</v>
      </c>
      <c r="G4641"/>
      <c r="H4641">
        <v>100</v>
      </c>
      <c r="I4641" t="inlineStr">
        <is>
          <t>项链</t>
        </is>
      </c>
      <c r="J4641" t="inlineStr">
        <is>
          <t>0.06</t>
        </is>
      </c>
      <c r="K4641"/>
      <c r="L4641" t="inlineStr">
        <is>
          <t>Niko的店</t>
        </is>
      </c>
      <c r="M4641">
        <v>4780</v>
      </c>
      <c r="N4641">
        <v>4.67</v>
      </c>
      <c r="O4641">
        <v>2772</v>
      </c>
      <c r="P4641" t="inlineStr">
        <is>
          <t>68eb60b453446d0001102892</t>
        </is>
      </c>
      <c r="Q4641" t="inlineStr">
        <is>
          <t>🚫重复</t>
        </is>
      </c>
      <c r="R4641" t="inlineStr">
        <is>
          <t>16周</t>
        </is>
      </c>
      <c r="S4641" t="inlineStr">
        <is>
          <t>0.38</t>
        </is>
      </c>
      <c r="T4641" t="inlineStr">
        <is>
          <t>服饰穿搭</t>
        </is>
      </c>
      <c r="U4641" t="inlineStr">
        <is>
          <t>配饰</t>
        </is>
      </c>
      <c r="V4641" s="3">
        <v>46130.98501157408</v>
      </c>
      <c r="W4641" t="inlineStr">
        <is>
          <t>2026-Q2</t>
        </is>
      </c>
    </row>
    <row r="4642" ht="25.5" customHeight="1">
      <c r="A4642" t="inlineStr">
        <is>
          <t>夜间教习室 · 长筒袜套春秋款女弹力微压黑色腿套喇叭jk过膝堆堆袜子</t>
        </is>
      </c>
      <c r="B4642" t="inlineStr">
        <is>
          <t>__upload_recvh9P0bm1aN1.jpg</t>
        </is>
      </c>
      <c r="C4642" s="2" t="str">
        <f>=HYPERLINK("https://xhslink.com/m/AsV7fo5tljj", "https://xhslink.com/m/AsV7fo5tljj")</f>
        <v>https://xhslink.com/m/AsV7fo5tljj</v>
      </c>
      <c r="D4642"/>
      <c r="E4642">
        <v>1682</v>
      </c>
      <c r="F4642">
        <v>42.4</v>
      </c>
      <c r="G4642">
        <v>36.04</v>
      </c>
      <c r="H4642">
        <v>100</v>
      </c>
      <c r="I4642" t="inlineStr">
        <is>
          <t>袜子</t>
        </is>
      </c>
      <c r="J4642" t="inlineStr">
        <is>
          <t>0.06</t>
        </is>
      </c>
      <c r="K4642"/>
      <c r="L4642" t="inlineStr">
        <is>
          <t>夜间教习室旗舰店</t>
        </is>
      </c>
      <c r="M4642">
        <v>65000</v>
      </c>
      <c r="N4642">
        <v>4.66</v>
      </c>
      <c r="O4642">
        <v>621000</v>
      </c>
      <c r="P4642" t="inlineStr">
        <is>
          <t>66ced81ff0011e000168cf08</t>
        </is>
      </c>
      <c r="Q4642"/>
      <c r="R4642" t="inlineStr">
        <is>
          <t>16周</t>
        </is>
      </c>
      <c r="S4642" t="inlineStr">
        <is>
          <t>0.03</t>
        </is>
      </c>
      <c r="T4642" t="inlineStr">
        <is>
          <t>服饰穿搭</t>
        </is>
      </c>
      <c r="U4642" t="inlineStr">
        <is>
          <t>鞋靴箱包</t>
        </is>
      </c>
      <c r="V4642" s="3">
        <v>46130.98501157408</v>
      </c>
      <c r="W4642" t="inlineStr">
        <is>
          <t>2026-Q2</t>
        </is>
      </c>
    </row>
    <row r="4643" ht="25.5" customHeight="1">
      <c r="A4643" t="inlineStr">
        <is>
          <t>长绒棉夏季薄款格雷灰色系光面10色无骨舒适轻薄透气堆堆袜女(55</t>
        </is>
      </c>
      <c r="B4643" t="inlineStr">
        <is>
          <t>__upload_recvh9P0bmOQkx.jpg</t>
        </is>
      </c>
      <c r="C4643" s="2" t="str">
        <f>=HYPERLINK("https://xhslink.com/m/2yT1y9kPCSd", "https://xhslink.com/m/2yT1y9kPCSd")</f>
        <v>https://xhslink.com/m/2yT1y9kPCSd</v>
      </c>
      <c r="D4643"/>
      <c r="E4643">
        <v>21000</v>
      </c>
      <c r="F4643">
        <v>31.8</v>
      </c>
      <c r="G4643">
        <v>30.8</v>
      </c>
      <c r="H4643">
        <v>100</v>
      </c>
      <c r="I4643" t="inlineStr">
        <is>
          <t>袜子</t>
        </is>
      </c>
      <c r="J4643" t="inlineStr">
        <is>
          <t>0.00</t>
        </is>
      </c>
      <c r="K4643"/>
      <c r="L4643" t="inlineStr">
        <is>
          <t>May3 Socks的店</t>
        </is>
      </c>
      <c r="M4643">
        <v>57000</v>
      </c>
      <c r="N4643">
        <v>4.68</v>
      </c>
      <c r="O4643">
        <v>394000</v>
      </c>
      <c r="P4643" t="inlineStr">
        <is>
          <t>663cb3f35b9992000133190b</t>
        </is>
      </c>
      <c r="Q4643" t="inlineStr">
        <is>
          <t>🚫重复</t>
        </is>
      </c>
      <c r="R4643" t="inlineStr">
        <is>
          <t>16周</t>
        </is>
      </c>
      <c r="S4643" t="inlineStr">
        <is>
          <t>0.37</t>
        </is>
      </c>
      <c r="T4643" t="inlineStr">
        <is>
          <t>服饰穿搭</t>
        </is>
      </c>
      <c r="U4643" t="inlineStr">
        <is>
          <t>鞋靴箱包</t>
        </is>
      </c>
      <c r="V4643" s="3">
        <v>46130.98501157408</v>
      </c>
      <c r="W4643" t="inlineStr">
        <is>
          <t>2026-Q2</t>
        </is>
      </c>
    </row>
    <row r="4644" ht="25.5" customHeight="1">
      <c r="A4644" t="inlineStr">
        <is>
          <t>4色春夏薄款白袜镂空爱心无骨纯棉网眼透气芭蕾风中筒堆堆袜（1）</t>
        </is>
      </c>
      <c r="B4644" t="inlineStr">
        <is>
          <t>__upload_recvh9P0bmk0rB.jpg</t>
        </is>
      </c>
      <c r="C4644" s="2" t="str">
        <f>=HYPERLINK("https://xhslink.com/m/82sIaM6t7UG", "https://xhslink.com/m/82sIaM6t7UG")</f>
        <v>https://xhslink.com/m/82sIaM6t7UG</v>
      </c>
      <c r="D4644"/>
      <c r="E4644">
        <v>33000</v>
      </c>
      <c r="F4644">
        <v>16.5</v>
      </c>
      <c r="G4644"/>
      <c r="H4644">
        <v>100</v>
      </c>
      <c r="I4644" t="inlineStr">
        <is>
          <t>袜子</t>
        </is>
      </c>
      <c r="J4644" t="inlineStr">
        <is>
          <t>0.00</t>
        </is>
      </c>
      <c r="K4644"/>
      <c r="L4644" t="inlineStr">
        <is>
          <t>sweet焦糖派对的店</t>
        </is>
      </c>
      <c r="M4644">
        <v>15000</v>
      </c>
      <c r="N4644">
        <v>4.67</v>
      </c>
      <c r="O4644">
        <v>169000</v>
      </c>
      <c r="P4644" t="inlineStr">
        <is>
          <t>67e95730c90d830001caf807</t>
        </is>
      </c>
      <c r="Q4644" t="inlineStr">
        <is>
          <t>🚫重复</t>
        </is>
      </c>
      <c r="R4644" t="inlineStr">
        <is>
          <t>16周</t>
        </is>
      </c>
      <c r="S4644" t="inlineStr">
        <is>
          <t>2.20</t>
        </is>
      </c>
      <c r="T4644" t="inlineStr">
        <is>
          <t>服饰穿搭</t>
        </is>
      </c>
      <c r="U4644" t="inlineStr">
        <is>
          <t>鞋靴箱包</t>
        </is>
      </c>
      <c r="V4644" s="3">
        <v>46130.98501157408</v>
      </c>
      <c r="W4644" t="inlineStr">
        <is>
          <t>2026-Q2</t>
        </is>
      </c>
    </row>
    <row r="4645" ht="25.5" customHeight="1">
      <c r="A4645" t="inlineStr">
        <is>
          <t>纯棉黑白男女运动毛巾底吸汗透气基础款百搭春夏薄款中筒棉袜长袜</t>
        </is>
      </c>
      <c r="B4645" t="inlineStr">
        <is>
          <t>__upload_recvh9P0bmhK4M.jpg</t>
        </is>
      </c>
      <c r="C4645" s="2" t="str">
        <f>=HYPERLINK("https://xhslink.com/m/4jpTW7XBDHs", "https://xhslink.com/m/4jpTW7XBDHs")</f>
        <v>https://xhslink.com/m/4jpTW7XBDHs</v>
      </c>
      <c r="D4645"/>
      <c r="E4645">
        <v>11000</v>
      </c>
      <c r="F4645">
        <v>29.9</v>
      </c>
      <c r="G4645"/>
      <c r="H4645">
        <v>100</v>
      </c>
      <c r="I4645" t="inlineStr">
        <is>
          <t>袜子</t>
        </is>
      </c>
      <c r="J4645" t="inlineStr">
        <is>
          <t>0.01</t>
        </is>
      </c>
      <c r="K4645"/>
      <c r="L4645" t="inlineStr">
        <is>
          <t>WildSocks的店</t>
        </is>
      </c>
      <c r="M4645">
        <v>5201</v>
      </c>
      <c r="N4645">
        <v>4.7</v>
      </c>
      <c r="O4645">
        <v>13000</v>
      </c>
      <c r="P4645" t="inlineStr">
        <is>
          <t>68e916699176f50001329cc3</t>
        </is>
      </c>
      <c r="Q4645"/>
      <c r="R4645" t="inlineStr">
        <is>
          <t>16周</t>
        </is>
      </c>
      <c r="S4645" t="inlineStr">
        <is>
          <t>2.11</t>
        </is>
      </c>
      <c r="T4645" t="inlineStr">
        <is>
          <t>服饰穿搭</t>
        </is>
      </c>
      <c r="U4645" t="inlineStr">
        <is>
          <t>鞋靴箱包</t>
        </is>
      </c>
      <c r="V4645" s="3">
        <v>46130.98501157408</v>
      </c>
      <c r="W4645" t="inlineStr">
        <is>
          <t>2026-Q2</t>
        </is>
      </c>
    </row>
    <row r="4646" ht="25.5" customHeight="1">
      <c r="A4646" t="inlineStr">
        <is>
          <t>hello socks春夏薄款点点纱竹纤维韩系无骨堆堆袜缪系多色女袜潮</t>
        </is>
      </c>
      <c r="B4646" t="inlineStr">
        <is>
          <t>__upload_recvh9P0bmBybr.jpg</t>
        </is>
      </c>
      <c r="C4646" s="2" t="str">
        <f>=HYPERLINK("https://xhslink.com/m/7C7HE3bD195", "https://xhslink.com/m/7C7HE3bD195")</f>
        <v>https://xhslink.com/m/7C7HE3bD195</v>
      </c>
      <c r="D4646"/>
      <c r="E4646">
        <v>6409</v>
      </c>
      <c r="F4646">
        <v>22.8</v>
      </c>
      <c r="G4646"/>
      <c r="H4646">
        <v>100</v>
      </c>
      <c r="I4646" t="inlineStr">
        <is>
          <t>袜子</t>
        </is>
      </c>
      <c r="J4646" t="inlineStr">
        <is>
          <t>0.02</t>
        </is>
      </c>
      <c r="K4646"/>
      <c r="L4646" t="inlineStr">
        <is>
          <t>hello socks（原创）的店</t>
        </is>
      </c>
      <c r="M4646">
        <v>40000</v>
      </c>
      <c r="N4646">
        <v>4.6</v>
      </c>
      <c r="O4646">
        <v>220000</v>
      </c>
      <c r="P4646" t="inlineStr">
        <is>
          <t>67d900bae15c9100014a47d8</t>
        </is>
      </c>
      <c r="Q4646"/>
      <c r="R4646" t="inlineStr">
        <is>
          <t>16周</t>
        </is>
      </c>
      <c r="S4646" t="inlineStr">
        <is>
          <t>0.16</t>
        </is>
      </c>
      <c r="T4646" t="inlineStr">
        <is>
          <t>服饰穿搭</t>
        </is>
      </c>
      <c r="U4646" t="inlineStr">
        <is>
          <t>鞋靴箱包</t>
        </is>
      </c>
      <c r="V4646" s="3">
        <v>46130.98501157408</v>
      </c>
      <c r="W4646" t="inlineStr">
        <is>
          <t>2026-Q2</t>
        </is>
      </c>
    </row>
    <row r="4647" ht="25.5" customHeight="1">
      <c r="A4647" t="inlineStr">
        <is>
          <t>辰柚 · 天鹅绒高压过膝袜黑色带硅胶防滑设计显瘦大腿袜Jk少女夏季薄款</t>
        </is>
      </c>
      <c r="B4647" t="inlineStr">
        <is>
          <t>__upload_recvh9P0bmrHVE.jpg</t>
        </is>
      </c>
      <c r="C4647" s="2" t="str">
        <f>=HYPERLINK("https://xhslink.com/m/2011fPuCkeV", "https://xhslink.com/m/2011fPuCkeV")</f>
        <v>https://xhslink.com/m/2011fPuCkeV</v>
      </c>
      <c r="D4647"/>
      <c r="E4647">
        <v>25000</v>
      </c>
      <c r="F4647">
        <v>11.9</v>
      </c>
      <c r="G4647"/>
      <c r="H4647">
        <v>100</v>
      </c>
      <c r="I4647" t="inlineStr">
        <is>
          <t>袜子</t>
        </is>
      </c>
      <c r="J4647" t="inlineStr">
        <is>
          <t>0.00</t>
        </is>
      </c>
      <c r="K4647"/>
      <c r="L4647" t="inlineStr">
        <is>
          <t>辰柚studio的店</t>
        </is>
      </c>
      <c r="M4647">
        <v>13000</v>
      </c>
      <c r="N4647">
        <v>4.61</v>
      </c>
      <c r="O4647">
        <v>163000</v>
      </c>
      <c r="P4647" t="inlineStr">
        <is>
          <t>65e7ff7b735ada0001a1ec2c</t>
        </is>
      </c>
      <c r="Q4647" t="inlineStr">
        <is>
          <t>🚫重复</t>
        </is>
      </c>
      <c r="R4647" t="inlineStr">
        <is>
          <t>16周</t>
        </is>
      </c>
      <c r="S4647" t="inlineStr">
        <is>
          <t>1.92</t>
        </is>
      </c>
      <c r="T4647" t="inlineStr">
        <is>
          <t>服饰穿搭</t>
        </is>
      </c>
      <c r="U4647" t="inlineStr">
        <is>
          <t>鞋靴箱包</t>
        </is>
      </c>
      <c r="V4647" s="3">
        <v>46130.98501157408</v>
      </c>
      <c r="W4647" t="inlineStr">
        <is>
          <t>2026-Q2</t>
        </is>
      </c>
    </row>
    <row r="4648" ht="25.5" customHeight="1">
      <c r="A4648" t="inlineStr">
        <is>
          <t>miu系袜子女春夏薄款纯色小腿袜蝴蝶结白色长筒袜堆堆袜搭配皮鞋N</t>
        </is>
      </c>
      <c r="B4648" t="inlineStr">
        <is>
          <t>__upload_recvh9P0bm15hm.jpg</t>
        </is>
      </c>
      <c r="C4648" s="2" t="str">
        <f>=HYPERLINK("https://xhslink.com/m/130fhG9gPxs", "https://xhslink.com/m/130fhG9gPxs")</f>
        <v>https://xhslink.com/m/130fhG9gPxs</v>
      </c>
      <c r="D4648"/>
      <c r="E4648">
        <v>1873</v>
      </c>
      <c r="F4648">
        <v>33.8</v>
      </c>
      <c r="G4648">
        <v>23.8</v>
      </c>
      <c r="H4648">
        <v>100</v>
      </c>
      <c r="I4648" t="inlineStr">
        <is>
          <t>袜子</t>
        </is>
      </c>
      <c r="J4648" t="inlineStr">
        <is>
          <t>0.05</t>
        </is>
      </c>
      <c r="K4648"/>
      <c r="L4648" t="inlineStr">
        <is>
          <t>奶油泡芙T的店</t>
        </is>
      </c>
      <c r="M4648">
        <v>115000</v>
      </c>
      <c r="N4648">
        <v>4.69</v>
      </c>
      <c r="O4648">
        <v>106000</v>
      </c>
      <c r="P4648" t="inlineStr">
        <is>
          <t>69bfb2d70ac79f0001d12c19</t>
        </is>
      </c>
      <c r="Q4648"/>
      <c r="R4648" t="inlineStr">
        <is>
          <t>16周</t>
        </is>
      </c>
      <c r="S4648" t="inlineStr">
        <is>
          <t>0.02</t>
        </is>
      </c>
      <c r="T4648" t="inlineStr">
        <is>
          <t>服饰穿搭</t>
        </is>
      </c>
      <c r="U4648" t="inlineStr">
        <is>
          <t>鞋靴箱包</t>
        </is>
      </c>
      <c r="V4648" s="3">
        <v>46130.98501157408</v>
      </c>
      <c r="W4648" t="inlineStr">
        <is>
          <t>2026-Q2</t>
        </is>
      </c>
    </row>
    <row r="4649" ht="25.5" customHeight="1">
      <c r="A4649" t="inlineStr">
        <is>
          <t>春夏薄款白袜子女镂空网眼透气爱心小花纯棉中筒袜芭蕾风堆堆袜</t>
        </is>
      </c>
      <c r="B4649" t="inlineStr">
        <is>
          <t>__upload_recvh9P0bmA84H.jpg</t>
        </is>
      </c>
      <c r="C4649" s="2" t="str">
        <f>=HYPERLINK("https://xhslink.com/m/8VmrjgiEzUi", "https://xhslink.com/m/8VmrjgiEzUi")</f>
        <v>https://xhslink.com/m/8VmrjgiEzUi</v>
      </c>
      <c r="D4649"/>
      <c r="E4649">
        <v>1231</v>
      </c>
      <c r="F4649">
        <v>19.9</v>
      </c>
      <c r="G4649">
        <v>9.9</v>
      </c>
      <c r="H4649">
        <v>100</v>
      </c>
      <c r="I4649" t="inlineStr">
        <is>
          <t>袜子</t>
        </is>
      </c>
      <c r="J4649" t="inlineStr">
        <is>
          <t>0.08</t>
        </is>
      </c>
      <c r="K4649"/>
      <c r="L4649" t="inlineStr">
        <is>
          <t>Angel Socks的店</t>
        </is>
      </c>
      <c r="M4649">
        <v>1005</v>
      </c>
      <c r="N4649">
        <v>4.61</v>
      </c>
      <c r="O4649">
        <v>52000</v>
      </c>
      <c r="P4649" t="inlineStr">
        <is>
          <t>69b532fe9138010015cfa86d</t>
        </is>
      </c>
      <c r="Q4649"/>
      <c r="R4649" t="inlineStr">
        <is>
          <t>16周</t>
        </is>
      </c>
      <c r="S4649" t="inlineStr">
        <is>
          <t>1.22</t>
        </is>
      </c>
      <c r="T4649" t="inlineStr">
        <is>
          <t>服饰穿搭</t>
        </is>
      </c>
      <c r="U4649" t="inlineStr">
        <is>
          <t>鞋靴箱包</t>
        </is>
      </c>
      <c r="V4649" s="3">
        <v>46130.98501157408</v>
      </c>
      <c r="W4649" t="inlineStr">
        <is>
          <t>2026-Q2</t>
        </is>
      </c>
    </row>
    <row r="4650" ht="25.5" customHeight="1">
      <c r="A4650" t="inlineStr">
        <is>
          <t>Enjoy it乐在其中 · 压力显瘦过膝袜女秋冬强压显瘦长袜JK袜子中筒大腿长筒袜</t>
        </is>
      </c>
      <c r="B4650" t="inlineStr">
        <is>
          <t>__upload_recvh9P0bmzsi7.jpg</t>
        </is>
      </c>
      <c r="C4650" s="2" t="str">
        <f>=HYPERLINK("https://xhslink.com/m/4nCpMPRTKTe", "https://xhslink.com/m/4nCpMPRTKTe")</f>
        <v>https://xhslink.com/m/4nCpMPRTKTe</v>
      </c>
      <c r="D4650"/>
      <c r="E4650">
        <v>40000</v>
      </c>
      <c r="F4650">
        <v>29</v>
      </c>
      <c r="G4650">
        <v>25.46</v>
      </c>
      <c r="H4650">
        <v>100</v>
      </c>
      <c r="I4650" t="inlineStr">
        <is>
          <t>袜子</t>
        </is>
      </c>
      <c r="J4650" t="inlineStr">
        <is>
          <t>0.00</t>
        </is>
      </c>
      <c r="K4650"/>
      <c r="L4650" t="inlineStr">
        <is>
          <t>enjoy it旗舰店</t>
        </is>
      </c>
      <c r="M4650">
        <v>79000</v>
      </c>
      <c r="N4650">
        <v>4.69</v>
      </c>
      <c r="O4650">
        <v>496000</v>
      </c>
      <c r="P4650" t="inlineStr">
        <is>
          <t>653b5aa973c5d70001211346</t>
        </is>
      </c>
      <c r="Q4650" t="inlineStr">
        <is>
          <t>🚫重复</t>
        </is>
      </c>
      <c r="R4650" t="inlineStr">
        <is>
          <t>16周</t>
        </is>
      </c>
      <c r="S4650" t="inlineStr">
        <is>
          <t>0.51</t>
        </is>
      </c>
      <c r="T4650" t="inlineStr">
        <is>
          <t>服饰穿搭</t>
        </is>
      </c>
      <c r="U4650" t="inlineStr">
        <is>
          <t>鞋靴箱包</t>
        </is>
      </c>
      <c r="V4650" s="3">
        <v>46130.98501157408</v>
      </c>
      <c r="W4650" t="inlineStr">
        <is>
          <t>2026-Q2</t>
        </is>
      </c>
    </row>
    <row r="4651" ht="25.5" customHeight="1">
      <c r="A4651" t="inlineStr">
        <is>
          <t>拼豆豆手工diy套装拼豆融合豆女孩男孩儿童益智拼图玩具材料包</t>
        </is>
      </c>
      <c r="B4651" t="inlineStr">
        <is>
          <t>__upload_recvh9P0bmbTbC.jpg</t>
        </is>
      </c>
      <c r="C4651" s="2" t="str">
        <f>=HYPERLINK("https://xhslink.com/m/1qlf085i4bs", "https://xhslink.com/m/1qlf085i4bs")</f>
        <v>https://xhslink.com/m/1qlf085i4bs</v>
      </c>
      <c r="D4651"/>
      <c r="E4651">
        <v>24000</v>
      </c>
      <c r="F4651">
        <v>86.8</v>
      </c>
      <c r="G4651">
        <v>62.8</v>
      </c>
      <c r="H4651">
        <v>100</v>
      </c>
      <c r="I4651" t="inlineStr">
        <is>
          <t>拼豆</t>
        </is>
      </c>
      <c r="J4651" t="inlineStr">
        <is>
          <t>0.00</t>
        </is>
      </c>
      <c r="K4651" t="inlineStr">
        <is>
          <t>🔥低粉爆款</t>
        </is>
      </c>
      <c r="L4651" t="inlineStr">
        <is>
          <t>柴儿乐的店</t>
        </is>
      </c>
      <c r="M4651">
        <v>2227</v>
      </c>
      <c r="N4651">
        <v>4.63</v>
      </c>
      <c r="O4651">
        <v>53000</v>
      </c>
      <c r="P4651" t="inlineStr">
        <is>
          <t>6930569535b4b00001ca5fec</t>
        </is>
      </c>
      <c r="Q4651"/>
      <c r="R4651" t="inlineStr">
        <is>
          <t>16周</t>
        </is>
      </c>
      <c r="S4651" t="inlineStr">
        <is>
          <t>10.78</t>
        </is>
      </c>
      <c r="T4651" t="inlineStr">
        <is>
          <t>母婴亲子</t>
        </is>
      </c>
      <c r="U4651" t="inlineStr">
        <is>
          <t>玩具早教</t>
        </is>
      </c>
      <c r="V4651" s="3">
        <v>46130.98501157408</v>
      </c>
      <c r="W4651" t="inlineStr">
        <is>
          <t>2026-Q2</t>
        </is>
      </c>
    </row>
    <row r="4652" ht="25.5" customHeight="1">
      <c r="A4652" t="inlineStr">
        <is>
          <t>【格利特烫布】拼豆烫布闪闪亮亮——细闪/粗闪</t>
        </is>
      </c>
      <c r="B4652" t="inlineStr">
        <is>
          <t>__upload_recvh9P0bmQYAb.jpg</t>
        </is>
      </c>
      <c r="C4652" s="2" t="str">
        <f>=HYPERLINK("https://xhslink.com/m/4OKOoW2zybx", "https://xhslink.com/m/4OKOoW2zybx")</f>
        <v>https://xhslink.com/m/4OKOoW2zybx</v>
      </c>
      <c r="D4652"/>
      <c r="E4652">
        <v>10000</v>
      </c>
      <c r="F4652">
        <v>42.9</v>
      </c>
      <c r="G4652"/>
      <c r="H4652">
        <v>100</v>
      </c>
      <c r="I4652" t="inlineStr">
        <is>
          <t>拼豆</t>
        </is>
      </c>
      <c r="J4652" t="inlineStr">
        <is>
          <t>0.01</t>
        </is>
      </c>
      <c r="K4652"/>
      <c r="L4652" t="inlineStr">
        <is>
          <t>小包🌟（包边烘焙布版）的店</t>
        </is>
      </c>
      <c r="M4652">
        <v>5409</v>
      </c>
      <c r="N4652">
        <v>4.75</v>
      </c>
      <c r="O4652">
        <v>40000</v>
      </c>
      <c r="P4652" t="inlineStr">
        <is>
          <t>6978e07b2a96a0000177b573</t>
        </is>
      </c>
      <c r="Q4652"/>
      <c r="R4652" t="inlineStr">
        <is>
          <t>16周</t>
        </is>
      </c>
      <c r="S4652" t="inlineStr">
        <is>
          <t>1.85</t>
        </is>
      </c>
      <c r="T4652" t="inlineStr">
        <is>
          <t>运动潮玩</t>
        </is>
      </c>
      <c r="U4652" t="inlineStr">
        <is>
          <t>潮玩手办</t>
        </is>
      </c>
      <c r="V4652" s="3">
        <v>46130.98501157408</v>
      </c>
      <c r="W4652" t="inlineStr">
        <is>
          <t>2026-Q2</t>
        </is>
      </c>
    </row>
    <row r="4653" ht="25.5" customHeight="1">
      <c r="A4653" t="inlineStr">
        <is>
          <t>拼豆钥匙扣彩色马卡龙色diy手工钥匙链拼豆链</t>
        </is>
      </c>
      <c r="B4653" t="inlineStr">
        <is>
          <t>__upload_recvh9P0bmryQv.jpg</t>
        </is>
      </c>
      <c r="C4653" s="2" t="str">
        <f>=HYPERLINK("https://xhslink.com/m/t5oSBb36uw", "https://xhslink.com/m/t5oSBb36uw")</f>
        <v>https://xhslink.com/m/t5oSBb36uw</v>
      </c>
      <c r="D4653"/>
      <c r="E4653">
        <v>707</v>
      </c>
      <c r="F4653">
        <v>23.8</v>
      </c>
      <c r="G4653">
        <v>13.8</v>
      </c>
      <c r="H4653">
        <v>100</v>
      </c>
      <c r="I4653" t="inlineStr">
        <is>
          <t>拼豆</t>
        </is>
      </c>
      <c r="J4653" t="inlineStr">
        <is>
          <t>0.14</t>
        </is>
      </c>
      <c r="K4653"/>
      <c r="L4653" t="inlineStr">
        <is>
          <t>小梨黑黑的店</t>
        </is>
      </c>
      <c r="M4653">
        <v>1056</v>
      </c>
      <c r="N4653">
        <v>4.61</v>
      </c>
      <c r="O4653">
        <v>50000</v>
      </c>
      <c r="P4653" t="inlineStr">
        <is>
          <t>69c11507ff00dc0001e4adb2</t>
        </is>
      </c>
      <c r="Q4653"/>
      <c r="R4653" t="inlineStr">
        <is>
          <t>16周</t>
        </is>
      </c>
      <c r="S4653" t="inlineStr">
        <is>
          <t>0.67</t>
        </is>
      </c>
      <c r="T4653" t="inlineStr">
        <is>
          <t>运动潮玩</t>
        </is>
      </c>
      <c r="U4653" t="inlineStr">
        <is>
          <t>潮玩手办</t>
        </is>
      </c>
      <c r="V4653" s="3">
        <v>46130.98501157408</v>
      </c>
      <c r="W4653" t="inlineStr">
        <is>
          <t>2026-Q2</t>
        </is>
      </c>
    </row>
    <row r="4654" ht="25.5" customHeight="1">
      <c r="A4654" t="inlineStr">
        <is>
          <t>洋洋拼豆补充包221色MARD婆娑同色号2.6mm高品质融合豆COCO</t>
        </is>
      </c>
      <c r="B4654" t="inlineStr">
        <is>
          <t>__upload_recvh9P0bmJunl.jpg</t>
        </is>
      </c>
      <c r="C4654" s="2" t="str">
        <f>=HYPERLINK("https://xhslink.com/m/AYJvQqYDZDE", "https://xhslink.com/m/AYJvQqYDZDE")</f>
        <v>https://xhslink.com/m/AYJvQqYDZDE</v>
      </c>
      <c r="D4654"/>
      <c r="E4654">
        <v>3748</v>
      </c>
      <c r="F4654">
        <v>235</v>
      </c>
      <c r="G4654">
        <v>128.99</v>
      </c>
      <c r="H4654">
        <v>100</v>
      </c>
      <c r="I4654" t="inlineStr">
        <is>
          <t>拼豆</t>
        </is>
      </c>
      <c r="J4654" t="inlineStr">
        <is>
          <t>0.03</t>
        </is>
      </c>
      <c r="K4654" t="inlineStr">
        <is>
          <t>🔥低粉爆款</t>
        </is>
      </c>
      <c r="L4654" t="inlineStr">
        <is>
          <t>洋洋拼豆手工店的店</t>
        </is>
      </c>
      <c r="M4654">
        <v>988</v>
      </c>
      <c r="N4654">
        <v>3.97</v>
      </c>
      <c r="O4654">
        <v>22000</v>
      </c>
      <c r="P4654" t="inlineStr">
        <is>
          <t>69a55b1336986d000136e53d</t>
        </is>
      </c>
      <c r="Q4654"/>
      <c r="R4654" t="inlineStr">
        <is>
          <t>16周</t>
        </is>
      </c>
      <c r="S4654" t="inlineStr">
        <is>
          <t>3.79</t>
        </is>
      </c>
      <c r="T4654" t="inlineStr">
        <is>
          <t>运动潮玩</t>
        </is>
      </c>
      <c r="U4654" t="inlineStr">
        <is>
          <t>潮玩手办</t>
        </is>
      </c>
      <c r="V4654" s="3">
        <v>46130.98501157408</v>
      </c>
      <c r="W4654" t="inlineStr">
        <is>
          <t>2026-Q2</t>
        </is>
      </c>
    </row>
    <row r="4655" ht="25.5" customHeight="1">
      <c r="A4655" t="inlineStr">
        <is>
          <t>【高品质融合豆】高品质全套拼豆融合豆工具2.6mm立体盒装diy套装</t>
        </is>
      </c>
      <c r="B4655" t="inlineStr">
        <is>
          <t>__upload_recvh9P0bm4hlA.jpg</t>
        </is>
      </c>
      <c r="C4655" s="2" t="str">
        <f>=HYPERLINK("https://xhslink.com/m/7Krjcnq1cJo", "https://xhslink.com/m/7Krjcnq1cJo")</f>
        <v>https://xhslink.com/m/7Krjcnq1cJo</v>
      </c>
      <c r="D4655"/>
      <c r="E4655">
        <v>4133</v>
      </c>
      <c r="F4655">
        <v>99.8</v>
      </c>
      <c r="G4655">
        <v>39.9</v>
      </c>
      <c r="H4655">
        <v>100</v>
      </c>
      <c r="I4655" t="inlineStr">
        <is>
          <t>拼豆</t>
        </is>
      </c>
      <c r="J4655" t="inlineStr">
        <is>
          <t>0.02</t>
        </is>
      </c>
      <c r="K4655"/>
      <c r="L4655" t="inlineStr">
        <is>
          <t>橙子家专业拼豆研选的店</t>
        </is>
      </c>
      <c r="M4655">
        <v>1482</v>
      </c>
      <c r="N4655">
        <v>4.53</v>
      </c>
      <c r="O4655">
        <v>7824</v>
      </c>
      <c r="P4655" t="inlineStr">
        <is>
          <t>69c15f9d23faf80001f2b8b1</t>
        </is>
      </c>
      <c r="Q4655"/>
      <c r="R4655" t="inlineStr">
        <is>
          <t>16周</t>
        </is>
      </c>
      <c r="S4655" t="inlineStr">
        <is>
          <t>2.79</t>
        </is>
      </c>
      <c r="T4655" t="inlineStr">
        <is>
          <t>运动潮玩</t>
        </is>
      </c>
      <c r="U4655" t="inlineStr">
        <is>
          <t>潮玩手办</t>
        </is>
      </c>
      <c r="V4655" s="3">
        <v>46130.98501157408</v>
      </c>
      <c r="W4655" t="inlineStr">
        <is>
          <t>2026-Q2</t>
        </is>
      </c>
    </row>
    <row r="4656" ht="25.5" customHeight="1">
      <c r="A4656" t="inlineStr">
        <is>
          <t>iPureson · 【春夏可用】泊芮森水感身体油 细腻嫩滑 持久留香</t>
        </is>
      </c>
      <c r="B4656" t="inlineStr">
        <is>
          <t>__upload_recvh9P0bmAhYx.jpg</t>
        </is>
      </c>
      <c r="C4656" s="2" t="str">
        <f>=HYPERLINK("https://xhslink.com/m/9uyAABibyZv", "https://xhslink.com/m/9uyAABibyZv")</f>
        <v>https://xhslink.com/m/9uyAABibyZv</v>
      </c>
      <c r="D4656"/>
      <c r="E4656">
        <v>5174</v>
      </c>
      <c r="F4656">
        <v>280</v>
      </c>
      <c r="G4656">
        <v>196</v>
      </c>
      <c r="H4656">
        <v>100</v>
      </c>
      <c r="I4656" t="inlineStr">
        <is>
          <t>身体护理</t>
        </is>
      </c>
      <c r="J4656" t="inlineStr">
        <is>
          <t>0.02</t>
        </is>
      </c>
      <c r="K4656"/>
      <c r="L4656" t="inlineStr">
        <is>
          <t>iPureson旗舰店</t>
        </is>
      </c>
      <c r="M4656">
        <v>23000</v>
      </c>
      <c r="N4656">
        <v>4.57</v>
      </c>
      <c r="O4656">
        <v>52000</v>
      </c>
      <c r="P4656" t="inlineStr">
        <is>
          <t>698ae2a778d8d500019b171d</t>
        </is>
      </c>
      <c r="Q4656" t="inlineStr">
        <is>
          <t>🚫重复</t>
        </is>
      </c>
      <c r="R4656" t="inlineStr">
        <is>
          <t>16周</t>
        </is>
      </c>
      <c r="S4656" t="inlineStr">
        <is>
          <t>0.22</t>
        </is>
      </c>
      <c r="T4656" t="inlineStr">
        <is>
          <t>美妆个护</t>
        </is>
      </c>
      <c r="U4656" t="inlineStr">
        <is>
          <t>个人护理</t>
        </is>
      </c>
      <c r="V4656" s="3">
        <v>46130.98501157408</v>
      </c>
      <c r="W4656" t="inlineStr">
        <is>
          <t>2026-Q2</t>
        </is>
      </c>
    </row>
    <row r="4657" ht="25.5" customHeight="1">
      <c r="A4657" t="inlineStr">
        <is>
          <t>诗宁 · 美白亮肤身体乳烟酰胺提亮润肤乳春夏季补水保湿霜减少黑色素正品</t>
        </is>
      </c>
      <c r="B4657" t="inlineStr">
        <is>
          <t>__upload_recvh9P0bmpk77.jpg</t>
        </is>
      </c>
      <c r="C4657" s="2" t="str">
        <f>=HYPERLINK("https://xhslink.com/m/AQbMI5ezO8y", "https://xhslink.com/m/AQbMI5ezO8y")</f>
        <v>https://xhslink.com/m/AQbMI5ezO8y</v>
      </c>
      <c r="D4657"/>
      <c r="E4657">
        <v>21000</v>
      </c>
      <c r="F4657">
        <v>109</v>
      </c>
      <c r="G4657">
        <v>79</v>
      </c>
      <c r="H4657">
        <v>100</v>
      </c>
      <c r="I4657" t="inlineStr">
        <is>
          <t>身体护理</t>
        </is>
      </c>
      <c r="J4657" t="inlineStr">
        <is>
          <t>0.00</t>
        </is>
      </c>
      <c r="K4657"/>
      <c r="L4657" t="inlineStr">
        <is>
          <t>诗宁旗舰店</t>
        </is>
      </c>
      <c r="M4657">
        <v>13000</v>
      </c>
      <c r="N4657">
        <v>4.58</v>
      </c>
      <c r="O4657">
        <v>415000</v>
      </c>
      <c r="P4657" t="inlineStr">
        <is>
          <t>69b77a7f47c2d50001e5523b</t>
        </is>
      </c>
      <c r="Q4657"/>
      <c r="R4657" t="inlineStr">
        <is>
          <t>16周</t>
        </is>
      </c>
      <c r="S4657" t="inlineStr">
        <is>
          <t>1.62</t>
        </is>
      </c>
      <c r="T4657" t="inlineStr">
        <is>
          <t>美妆个护</t>
        </is>
      </c>
      <c r="U4657" t="inlineStr">
        <is>
          <t>个人护理</t>
        </is>
      </c>
      <c r="V4657" s="3">
        <v>46130.98501157408</v>
      </c>
      <c r="W4657" t="inlineStr">
        <is>
          <t>2026-Q2</t>
        </is>
      </c>
    </row>
    <row r="4658" ht="25.5" customHeight="1">
      <c r="A4658" t="inlineStr">
        <is>
          <t>本哚 · 身体素颜防护喷雾50倍防日晒紫外线懒人霜提亮肤色脖子消除色差</t>
        </is>
      </c>
      <c r="B4658" t="inlineStr">
        <is>
          <t>__upload_recvh9P0bm3RPR.jpg</t>
        </is>
      </c>
      <c r="C4658" s="2" t="str">
        <f>=HYPERLINK("https://xhslink.com/m/7Sfs3IHjy04", "https://xhslink.com/m/7Sfs3IHjy04")</f>
        <v>https://xhslink.com/m/7Sfs3IHjy04</v>
      </c>
      <c r="D4658"/>
      <c r="E4658">
        <v>12000</v>
      </c>
      <c r="F4658">
        <v>64.9</v>
      </c>
      <c r="G4658">
        <v>34.9</v>
      </c>
      <c r="H4658">
        <v>100</v>
      </c>
      <c r="I4658" t="inlineStr">
        <is>
          <t>身体护理</t>
        </is>
      </c>
      <c r="J4658" t="inlineStr">
        <is>
          <t>0.01</t>
        </is>
      </c>
      <c r="K4658"/>
      <c r="L4658" t="inlineStr">
        <is>
          <t>广州LIRU丽如美妆的店</t>
        </is>
      </c>
      <c r="M4658">
        <v>7897</v>
      </c>
      <c r="N4658">
        <v>4.53</v>
      </c>
      <c r="O4658">
        <v>81000</v>
      </c>
      <c r="P4658" t="inlineStr">
        <is>
          <t>697c6429880da200015c6bb2</t>
        </is>
      </c>
      <c r="Q4658" t="inlineStr">
        <is>
          <t>🚫重复</t>
        </is>
      </c>
      <c r="R4658" t="inlineStr">
        <is>
          <t>16周</t>
        </is>
      </c>
      <c r="S4658" t="inlineStr">
        <is>
          <t>1.52</t>
        </is>
      </c>
      <c r="T4658" t="inlineStr">
        <is>
          <t>美妆个护</t>
        </is>
      </c>
      <c r="U4658" t="inlineStr">
        <is>
          <t>个人护理</t>
        </is>
      </c>
      <c r="V4658" s="3">
        <v>46130.98501157408</v>
      </c>
      <c r="W4658" t="inlineStr">
        <is>
          <t>2026-Q2</t>
        </is>
      </c>
    </row>
    <row r="4659" ht="25.5" customHeight="1">
      <c r="A4659" t="inlineStr">
        <is>
          <t>藏北荒柔润护理膏 关节腋下大腿根暗沉护理外用膏</t>
        </is>
      </c>
      <c r="B4659" t="inlineStr">
        <is>
          <t>__upload_recvh9P0bmwxma.jpg</t>
        </is>
      </c>
      <c r="C4659" s="2" t="str">
        <f>=HYPERLINK("https://xhslink.com/m/3mZyU00naHd", "https://xhslink.com/m/3mZyU00naHd")</f>
        <v>https://xhslink.com/m/3mZyU00naHd</v>
      </c>
      <c r="D4659"/>
      <c r="E4659">
        <v>3178</v>
      </c>
      <c r="F4659">
        <v>150</v>
      </c>
      <c r="G4659"/>
      <c r="H4659">
        <v>100</v>
      </c>
      <c r="I4659" t="inlineStr">
        <is>
          <t>身体护理</t>
        </is>
      </c>
      <c r="J4659" t="inlineStr">
        <is>
          <t>0.03</t>
        </is>
      </c>
      <c r="K4659" t="inlineStr">
        <is>
          <t>🔥低粉爆款</t>
        </is>
      </c>
      <c r="L4659" t="inlineStr">
        <is>
          <t>倾悦堂的店</t>
        </is>
      </c>
      <c r="M4659">
        <v>61</v>
      </c>
      <c r="N4659">
        <v>4.45</v>
      </c>
      <c r="O4659">
        <v>3833</v>
      </c>
      <c r="P4659" t="inlineStr">
        <is>
          <t>69aa905cc125ae00019d4774</t>
        </is>
      </c>
      <c r="Q4659" t="inlineStr">
        <is>
          <t>🚫重复</t>
        </is>
      </c>
      <c r="R4659" t="inlineStr">
        <is>
          <t>16周</t>
        </is>
      </c>
      <c r="S4659" t="inlineStr">
        <is>
          <t>52.10</t>
        </is>
      </c>
      <c r="T4659" t="inlineStr">
        <is>
          <t>美妆个护</t>
        </is>
      </c>
      <c r="U4659" t="inlineStr">
        <is>
          <t>个人护理</t>
        </is>
      </c>
      <c r="V4659" s="3">
        <v>46130.98501157408</v>
      </c>
      <c r="W4659" t="inlineStr">
        <is>
          <t>2026-Q2</t>
        </is>
      </c>
    </row>
    <row r="4660" ht="25.5" customHeight="1">
      <c r="A4660" t="inlineStr">
        <is>
          <t>Girlcult构奇 · 情话唇霜唇釉 丝绒哑光不沾杯</t>
        </is>
      </c>
      <c r="B4660" t="inlineStr">
        <is>
          <t>__upload_recvh9P0bmDrpz.jpg</t>
        </is>
      </c>
      <c r="C4660" s="2" t="str">
        <f>=HYPERLINK("https://xhslink.com/m/6i2TtEFy0OM", "https://xhslink.com/m/6i2TtEFy0OM")</f>
        <v>https://xhslink.com/m/6i2TtEFy0OM</v>
      </c>
      <c r="D4660"/>
      <c r="E4660">
        <v>228000</v>
      </c>
      <c r="F4660">
        <v>99</v>
      </c>
      <c r="G4660">
        <v>79</v>
      </c>
      <c r="H4660">
        <v>100</v>
      </c>
      <c r="I4660" t="inlineStr">
        <is>
          <t>面部色彩</t>
        </is>
      </c>
      <c r="J4660" t="inlineStr">
        <is>
          <t>0.00</t>
        </is>
      </c>
      <c r="K4660"/>
      <c r="L4660" t="inlineStr">
        <is>
          <t>Girlcult构奇旗舰店</t>
        </is>
      </c>
      <c r="M4660">
        <v>193000</v>
      </c>
      <c r="N4660">
        <v>4.76</v>
      </c>
      <c r="O4660">
        <v>824000</v>
      </c>
      <c r="P4660" t="inlineStr">
        <is>
          <t>65360dc4fe999400017d3279</t>
        </is>
      </c>
      <c r="Q4660" t="inlineStr">
        <is>
          <t>🚫重复</t>
        </is>
      </c>
      <c r="R4660" t="inlineStr">
        <is>
          <t>16周</t>
        </is>
      </c>
      <c r="S4660" t="inlineStr">
        <is>
          <t>1.18</t>
        </is>
      </c>
      <c r="T4660" t="inlineStr">
        <is>
          <t>美妆个护</t>
        </is>
      </c>
      <c r="U4660" t="inlineStr">
        <is>
          <t>护肤彩妆</t>
        </is>
      </c>
      <c r="V4660" s="3">
        <v>46130.98501157408</v>
      </c>
      <c r="W4660" t="inlineStr">
        <is>
          <t>2026-Q2</t>
        </is>
      </c>
    </row>
    <row r="4661" ht="25.5" customHeight="1">
      <c r="A4661" t="inlineStr">
        <is>
          <t>酵色 · 【108/2支】多用霜唇釉腮红口红哑光不易沾杯低饱和推荐c33c13</t>
        </is>
      </c>
      <c r="B4661" t="inlineStr">
        <is>
          <t>__upload_recvh9P0bm0Lcu.jpg</t>
        </is>
      </c>
      <c r="C4661" s="2" t="str">
        <f>=HYPERLINK("https://xhslink.com/m/3JxaBkAbvZ1", "https://xhslink.com/m/3JxaBkAbvZ1")</f>
        <v>https://xhslink.com/m/3JxaBkAbvZ1</v>
      </c>
      <c r="D4661"/>
      <c r="E4661">
        <v>103000</v>
      </c>
      <c r="F4661">
        <v>89</v>
      </c>
      <c r="G4661"/>
      <c r="H4661">
        <v>100</v>
      </c>
      <c r="I4661" t="inlineStr">
        <is>
          <t>面部色彩</t>
        </is>
      </c>
      <c r="J4661" t="inlineStr">
        <is>
          <t>0.00</t>
        </is>
      </c>
      <c r="K4661"/>
      <c r="L4661" t="inlineStr">
        <is>
          <t>JOOCYEE酵色旗舰店</t>
        </is>
      </c>
      <c r="M4661">
        <v>163000</v>
      </c>
      <c r="N4661">
        <v>4.77</v>
      </c>
      <c r="O4661">
        <v>850000</v>
      </c>
      <c r="P4661" t="inlineStr">
        <is>
          <t>687e24618fe3470001fca17d</t>
        </is>
      </c>
      <c r="Q4661" t="inlineStr">
        <is>
          <t>🚫重复</t>
        </is>
      </c>
      <c r="R4661" t="inlineStr">
        <is>
          <t>16周</t>
        </is>
      </c>
      <c r="S4661" t="inlineStr">
        <is>
          <t>0.63</t>
        </is>
      </c>
      <c r="T4661" t="inlineStr">
        <is>
          <t>美妆个护</t>
        </is>
      </c>
      <c r="U4661" t="inlineStr">
        <is>
          <t>护肤彩妆</t>
        </is>
      </c>
      <c r="V4661" s="3">
        <v>46130.98501157408</v>
      </c>
      <c r="W4661" t="inlineStr">
        <is>
          <t>2026-Q2</t>
        </is>
      </c>
    </row>
    <row r="4662" ht="25.5" customHeight="1">
      <c r="A4662" t="inlineStr">
        <is>
          <t>酵色 · 【一盘成妆】COTD咖啡系列全新灵感妆容盘氛围感随行盘</t>
        </is>
      </c>
      <c r="B4662" t="inlineStr">
        <is>
          <t>__upload_recvh9P0bm7z43.jpg</t>
        </is>
      </c>
      <c r="C4662" s="2" t="str">
        <f>=HYPERLINK("https://xhslink.com/m/3zi1nq6rbMI", "https://xhslink.com/m/3zi1nq6rbMI")</f>
        <v>https://xhslink.com/m/3zi1nq6rbMI</v>
      </c>
      <c r="D4662"/>
      <c r="E4662">
        <v>5803</v>
      </c>
      <c r="F4662">
        <v>169</v>
      </c>
      <c r="G4662"/>
      <c r="H4662">
        <v>100</v>
      </c>
      <c r="I4662" t="inlineStr">
        <is>
          <t>面部色彩</t>
        </is>
      </c>
      <c r="J4662" t="inlineStr">
        <is>
          <t>0.02</t>
        </is>
      </c>
      <c r="K4662"/>
      <c r="L4662" t="inlineStr">
        <is>
          <t>JOOCYEE酵色旗舰店</t>
        </is>
      </c>
      <c r="M4662">
        <v>163000</v>
      </c>
      <c r="N4662">
        <v>4.77</v>
      </c>
      <c r="O4662">
        <v>850000</v>
      </c>
      <c r="P4662" t="inlineStr">
        <is>
          <t>68ca2c0ac278030001cad184</t>
        </is>
      </c>
      <c r="Q4662" t="inlineStr">
        <is>
          <t>🚫重复</t>
        </is>
      </c>
      <c r="R4662" t="inlineStr">
        <is>
          <t>16周</t>
        </is>
      </c>
      <c r="S4662" t="inlineStr">
        <is>
          <t>0.04</t>
        </is>
      </c>
      <c r="T4662" t="inlineStr">
        <is>
          <t>美妆个护</t>
        </is>
      </c>
      <c r="U4662" t="inlineStr">
        <is>
          <t>护肤彩妆</t>
        </is>
      </c>
      <c r="V4662" s="3">
        <v>46130.98501157408</v>
      </c>
      <c r="W4662" t="inlineStr">
        <is>
          <t>2026-Q2</t>
        </is>
      </c>
    </row>
    <row r="4663" ht="25.5" customHeight="1">
      <c r="A4663" t="inlineStr">
        <is>
          <t>HERORANGE · 【店铺热卖】轻奢贵影单颗眼影珠光爆闪变色龙碎钻提亮土豆泥眼影</t>
        </is>
      </c>
      <c r="B4663" t="inlineStr">
        <is>
          <t>__upload_recvh9P0bmDgAZ.jpg</t>
        </is>
      </c>
      <c r="C4663" s="2" t="str">
        <f>=HYPERLINK("https://xhslink.com/m/8Rzor42TJl4", "https://xhslink.com/m/8Rzor42TJl4")</f>
        <v>https://xhslink.com/m/8Rzor42TJl4</v>
      </c>
      <c r="D4663"/>
      <c r="E4663">
        <v>53000</v>
      </c>
      <c r="F4663">
        <v>39.5</v>
      </c>
      <c r="G4663">
        <v>18.9</v>
      </c>
      <c r="H4663">
        <v>100</v>
      </c>
      <c r="I4663" t="inlineStr">
        <is>
          <t>面部色彩</t>
        </is>
      </c>
      <c r="J4663" t="inlineStr">
        <is>
          <t>0.00</t>
        </is>
      </c>
      <c r="K4663" t="inlineStr">
        <is>
          <t>🔥低粉爆款</t>
        </is>
      </c>
      <c r="L4663" t="inlineStr">
        <is>
          <t>葵花籽幼儿园的店</t>
        </is>
      </c>
      <c r="M4663">
        <v>3058</v>
      </c>
      <c r="N4663">
        <v>4.62</v>
      </c>
      <c r="O4663">
        <v>58000</v>
      </c>
      <c r="P4663" t="inlineStr">
        <is>
          <t>688fc0ad47d5bd000111cbbc</t>
        </is>
      </c>
      <c r="Q4663" t="inlineStr">
        <is>
          <t>🚫重复</t>
        </is>
      </c>
      <c r="R4663" t="inlineStr">
        <is>
          <t>16周</t>
        </is>
      </c>
      <c r="S4663" t="inlineStr">
        <is>
          <t>17.33</t>
        </is>
      </c>
      <c r="T4663" t="inlineStr">
        <is>
          <t>美妆个护</t>
        </is>
      </c>
      <c r="U4663" t="inlineStr">
        <is>
          <t>护肤彩妆</t>
        </is>
      </c>
      <c r="V4663" s="3">
        <v>46130.98501157408</v>
      </c>
      <c r="W4663" t="inlineStr">
        <is>
          <t>2026-Q2</t>
        </is>
      </c>
    </row>
    <row r="4664" ht="25.5" customHeight="1">
      <c r="A4664" t="inlineStr">
        <is>
          <t>INTOYOU · 【SOOBIN定制色】空气唇泥雾面哑光轻薄长效保湿持妆百搭显白必备</t>
        </is>
      </c>
      <c r="B4664" t="inlineStr">
        <is>
          <t>__upload_recvh9P0bmORwX.jpg</t>
        </is>
      </c>
      <c r="C4664" s="2" t="str">
        <f>=HYPERLINK("https://xhslink.com/m/1xI98NFOaTf", "https://xhslink.com/m/1xI98NFOaTf")</f>
        <v>https://xhslink.com/m/1xI98NFOaTf</v>
      </c>
      <c r="D4664"/>
      <c r="E4664">
        <v>16000</v>
      </c>
      <c r="F4664">
        <v>120</v>
      </c>
      <c r="G4664">
        <v>78</v>
      </c>
      <c r="H4664">
        <v>100</v>
      </c>
      <c r="I4664" t="inlineStr">
        <is>
          <t>面部色彩</t>
        </is>
      </c>
      <c r="J4664" t="inlineStr">
        <is>
          <t>0.01</t>
        </is>
      </c>
      <c r="K4664"/>
      <c r="L4664" t="inlineStr">
        <is>
          <t>INTO YOU心慕与你旗舰店</t>
        </is>
      </c>
      <c r="M4664">
        <v>276000</v>
      </c>
      <c r="N4664">
        <v>4.77</v>
      </c>
      <c r="O4664">
        <v>1460000</v>
      </c>
      <c r="P4664" t="inlineStr">
        <is>
          <t>6969ea4c9d3b310001573f86</t>
        </is>
      </c>
      <c r="Q4664" t="inlineStr">
        <is>
          <t>🚫重复</t>
        </is>
      </c>
      <c r="R4664" t="inlineStr">
        <is>
          <t>16周</t>
        </is>
      </c>
      <c r="S4664" t="inlineStr">
        <is>
          <t>0.06</t>
        </is>
      </c>
      <c r="T4664" t="inlineStr">
        <is>
          <t>美妆个护</t>
        </is>
      </c>
      <c r="U4664" t="inlineStr">
        <is>
          <t>护肤彩妆</t>
        </is>
      </c>
      <c r="V4664" s="3">
        <v>46130.98501157408</v>
      </c>
      <c r="W4664" t="inlineStr">
        <is>
          <t>2026-Q2</t>
        </is>
      </c>
    </row>
    <row r="4665" ht="25.5" customHeight="1">
      <c r="A4665" t="inlineStr">
        <is>
          <t>黑兔 · 裸色唇泥唇釉哑光雾面裸色裸棕裸粉口黑口棕平价口红</t>
        </is>
      </c>
      <c r="B4665" t="inlineStr">
        <is>
          <t>__upload_recvh9P0bmYWQN.jpg</t>
        </is>
      </c>
      <c r="C4665" s="2" t="str">
        <f>=HYPERLINK("https://xhslink.com/m/85aEjuXgNQM", "https://xhslink.com/m/85aEjuXgNQM")</f>
        <v>https://xhslink.com/m/85aEjuXgNQM</v>
      </c>
      <c r="D4665"/>
      <c r="E4665">
        <v>11000</v>
      </c>
      <c r="F4665">
        <v>59</v>
      </c>
      <c r="G4665">
        <v>49</v>
      </c>
      <c r="H4665">
        <v>100</v>
      </c>
      <c r="I4665" t="inlineStr">
        <is>
          <t>面部色彩</t>
        </is>
      </c>
      <c r="J4665" t="inlineStr">
        <is>
          <t>0.01</t>
        </is>
      </c>
      <c r="K4665"/>
      <c r="L4665" t="inlineStr">
        <is>
          <t>HYNTOOR黑兔旗舰店</t>
        </is>
      </c>
      <c r="M4665">
        <v>42000</v>
      </c>
      <c r="N4665">
        <v>4.65</v>
      </c>
      <c r="O4665">
        <v>109000</v>
      </c>
      <c r="P4665" t="inlineStr">
        <is>
          <t>6877946be019f20001fc2337</t>
        </is>
      </c>
      <c r="Q4665" t="inlineStr">
        <is>
          <t>🚫重复</t>
        </is>
      </c>
      <c r="R4665" t="inlineStr">
        <is>
          <t>16周</t>
        </is>
      </c>
      <c r="S4665" t="inlineStr">
        <is>
          <t>0.26</t>
        </is>
      </c>
      <c r="T4665" t="inlineStr">
        <is>
          <t>美妆个护</t>
        </is>
      </c>
      <c r="U4665" t="inlineStr">
        <is>
          <t>护肤彩妆</t>
        </is>
      </c>
      <c r="V4665" s="3">
        <v>46130.98501157408</v>
      </c>
      <c r="W4665" t="inlineStr">
        <is>
          <t>2026-Q2</t>
        </is>
      </c>
    </row>
    <row r="4666" ht="25.5" customHeight="1">
      <c r="A4666" t="inlineStr">
        <is>
          <t>BLACKROUGE · dl01 dl04韩国黑胭镜光绒雾唇釉护唇镜面丝绒水润学生平价</t>
        </is>
      </c>
      <c r="B4666" t="inlineStr">
        <is>
          <t>__upload_recvh9P0bmHw7j.jpg</t>
        </is>
      </c>
      <c r="C4666" s="2" t="str">
        <f>=HYPERLINK("https://xhslink.com/m/9yq6XXug2eh", "https://xhslink.com/m/9yq6XXug2eh")</f>
        <v>https://xhslink.com/m/9yq6XXug2eh</v>
      </c>
      <c r="D4666"/>
      <c r="E4666">
        <v>3398</v>
      </c>
      <c r="F4666">
        <v>75</v>
      </c>
      <c r="G4666">
        <v>69</v>
      </c>
      <c r="H4666">
        <v>100</v>
      </c>
      <c r="I4666" t="inlineStr">
        <is>
          <t>面部色彩</t>
        </is>
      </c>
      <c r="J4666" t="inlineStr">
        <is>
          <t>0.03</t>
        </is>
      </c>
      <c r="K4666"/>
      <c r="L4666" t="inlineStr">
        <is>
          <t>BLACKROUGE旗舰店</t>
        </is>
      </c>
      <c r="M4666">
        <v>11000</v>
      </c>
      <c r="N4666">
        <v>4.54</v>
      </c>
      <c r="O4666">
        <v>16000</v>
      </c>
      <c r="P4666" t="inlineStr">
        <is>
          <t>6316c7055e391600014adb13</t>
        </is>
      </c>
      <c r="Q4666"/>
      <c r="R4666" t="inlineStr">
        <is>
          <t>16周</t>
        </is>
      </c>
      <c r="S4666" t="inlineStr">
        <is>
          <t>0.31</t>
        </is>
      </c>
      <c r="T4666" t="inlineStr">
        <is>
          <t>美妆个护</t>
        </is>
      </c>
      <c r="U4666" t="inlineStr">
        <is>
          <t>护肤彩妆</t>
        </is>
      </c>
      <c r="V4666" s="3">
        <v>46130.98501157408</v>
      </c>
      <c r="W4666" t="inlineStr">
        <is>
          <t>2026-Q2</t>
        </is>
      </c>
    </row>
    <row r="4667" ht="25.5" customHeight="1">
      <c r="A4667" t="inlineStr">
        <is>
          <t>PARPER LAB · 建筑美学唇釉丝绒哑光滋润唇泥口红唇彩唇霜混凝土很绿很蓝</t>
        </is>
      </c>
      <c r="B4667" t="inlineStr">
        <is>
          <t>__upload_recvh9P0bmf0bM.jpg</t>
        </is>
      </c>
      <c r="C4667" s="2" t="str">
        <f>=HYPERLINK("https://xhslink.com/m/53g3TilHBme", "https://xhslink.com/m/53g3TilHBme")</f>
        <v>https://xhslink.com/m/53g3TilHBme</v>
      </c>
      <c r="D4667"/>
      <c r="E4667">
        <v>8349</v>
      </c>
      <c r="F4667">
        <v>79</v>
      </c>
      <c r="G4667">
        <v>29</v>
      </c>
      <c r="H4667">
        <v>100</v>
      </c>
      <c r="I4667" t="inlineStr">
        <is>
          <t>面部色彩</t>
        </is>
      </c>
      <c r="J4667" t="inlineStr">
        <is>
          <t>0.01</t>
        </is>
      </c>
      <c r="K4667"/>
      <c r="L4667" t="inlineStr">
        <is>
          <t>啪啵旗舰店</t>
        </is>
      </c>
      <c r="M4667">
        <v>17000</v>
      </c>
      <c r="N4667">
        <v>4.43</v>
      </c>
      <c r="O4667">
        <v>81000</v>
      </c>
      <c r="P4667" t="inlineStr">
        <is>
          <t>670de711ae9fc50001913b52</t>
        </is>
      </c>
      <c r="Q4667" t="inlineStr">
        <is>
          <t>🚫重复</t>
        </is>
      </c>
      <c r="R4667" t="inlineStr">
        <is>
          <t>16周</t>
        </is>
      </c>
      <c r="S4667" t="inlineStr">
        <is>
          <t>0.49</t>
        </is>
      </c>
      <c r="T4667" t="inlineStr">
        <is>
          <t>美妆个护</t>
        </is>
      </c>
      <c r="U4667" t="inlineStr">
        <is>
          <t>护肤彩妆</t>
        </is>
      </c>
      <c r="V4667" s="3">
        <v>46130.98501157408</v>
      </c>
      <c r="W4667" t="inlineStr">
        <is>
          <t>2026-Q2</t>
        </is>
      </c>
    </row>
    <row r="4668" ht="25.5" customHeight="1">
      <c r="A4668" t="inlineStr">
        <is>
          <t>手工草本洗发皂氨基酸古法洗头皂养发皂松针生姜手工植物洗发皂</t>
        </is>
      </c>
      <c r="B4668" t="inlineStr">
        <is>
          <t>__upload_recvh9P0bmXg7w.jpg</t>
        </is>
      </c>
      <c r="C4668" s="2" t="str">
        <f>=HYPERLINK("https://xhslink.com/m/5mOtjq4zMQQ", "https://xhslink.com/m/5mOtjq4zMQQ")</f>
        <v>https://xhslink.com/m/5mOtjq4zMQQ</v>
      </c>
      <c r="D4668"/>
      <c r="E4668">
        <v>48000</v>
      </c>
      <c r="F4668">
        <v>38.8</v>
      </c>
      <c r="G4668">
        <v>18.8</v>
      </c>
      <c r="H4668">
        <v>100</v>
      </c>
      <c r="I4668" t="inlineStr">
        <is>
          <t>美发</t>
        </is>
      </c>
      <c r="J4668" t="inlineStr">
        <is>
          <t>0.00</t>
        </is>
      </c>
      <c r="K4668" t="inlineStr">
        <is>
          <t>🔥低粉爆款</t>
        </is>
      </c>
      <c r="L4668" t="inlineStr">
        <is>
          <t>Deeeby大白工作室的店</t>
        </is>
      </c>
      <c r="M4668">
        <v>4014</v>
      </c>
      <c r="N4668">
        <v>4.53</v>
      </c>
      <c r="O4668">
        <v>48000</v>
      </c>
      <c r="P4668" t="inlineStr">
        <is>
          <t>68f8efeae0f3b20001ca830a</t>
        </is>
      </c>
      <c r="Q4668" t="inlineStr">
        <is>
          <t>🚫重复</t>
        </is>
      </c>
      <c r="R4668" t="inlineStr">
        <is>
          <t>16周</t>
        </is>
      </c>
      <c r="S4668" t="inlineStr">
        <is>
          <t>11.96</t>
        </is>
      </c>
      <c r="T4668" t="inlineStr">
        <is>
          <t>美妆个护</t>
        </is>
      </c>
      <c r="U4668" t="inlineStr">
        <is>
          <t>个人护理</t>
        </is>
      </c>
      <c r="V4668" s="3">
        <v>46130.98501157408</v>
      </c>
      <c r="W4668" t="inlineStr">
        <is>
          <t>2026-Q2</t>
        </is>
      </c>
    </row>
    <row r="4669" ht="25.5" customHeight="1">
      <c r="A4669" t="inlineStr">
        <is>
          <t>圣草泉 · 侧柏叶何首乌生姜植物洗发水氨基酸去屑止痒控油蓬松护发无硅油</t>
        </is>
      </c>
      <c r="B4669" t="inlineStr">
        <is>
          <t>__upload_recvh9P0bmatih.jpg</t>
        </is>
      </c>
      <c r="C4669" s="2" t="str">
        <f>=HYPERLINK("https://xhslink.com/m/7YDJIkGBYEo", "https://xhslink.com/m/7YDJIkGBYEo")</f>
        <v>https://xhslink.com/m/7YDJIkGBYEo</v>
      </c>
      <c r="D4669"/>
      <c r="E4669">
        <v>537000</v>
      </c>
      <c r="F4669">
        <v>28</v>
      </c>
      <c r="G4669"/>
      <c r="H4669">
        <v>100</v>
      </c>
      <c r="I4669" t="inlineStr">
        <is>
          <t>美发</t>
        </is>
      </c>
      <c r="J4669" t="inlineStr">
        <is>
          <t>0.00</t>
        </is>
      </c>
      <c r="K4669" t="inlineStr">
        <is>
          <t>🔥低粉爆款</t>
        </is>
      </c>
      <c r="L4669" t="inlineStr">
        <is>
          <t>小禾heye的店</t>
        </is>
      </c>
      <c r="M4669">
        <v>44000</v>
      </c>
      <c r="N4669">
        <v>4.62</v>
      </c>
      <c r="O4669">
        <v>618000</v>
      </c>
      <c r="P4669" t="inlineStr">
        <is>
          <t>646fbf8653accf0001f0dbb8</t>
        </is>
      </c>
      <c r="Q4669" t="inlineStr">
        <is>
          <t>🚫重复</t>
        </is>
      </c>
      <c r="R4669" t="inlineStr">
        <is>
          <t>16周</t>
        </is>
      </c>
      <c r="S4669" t="inlineStr">
        <is>
          <t>12.20</t>
        </is>
      </c>
      <c r="T4669" t="inlineStr">
        <is>
          <t>美妆个护</t>
        </is>
      </c>
      <c r="U4669" t="inlineStr">
        <is>
          <t>个人护理</t>
        </is>
      </c>
      <c r="V4669" s="3">
        <v>46130.98501157408</v>
      </c>
      <c r="W4669" t="inlineStr">
        <is>
          <t>2026-Q2</t>
        </is>
      </c>
    </row>
    <row r="4670" ht="25.5" customHeight="1">
      <c r="A4670" t="inlineStr">
        <is>
          <t>臻之芮 · 【0酒精】侧柏人参养发液腺苷头皮营养液草本植萃精华液温和滋养</t>
        </is>
      </c>
      <c r="B4670" t="inlineStr">
        <is>
          <t>__upload_recvh9P0bmjUYN.jpg</t>
        </is>
      </c>
      <c r="C4670" s="2" t="str">
        <f>=HYPERLINK("https://xhslink.com/m/7X5ibWXBdfX", "https://xhslink.com/m/7X5ibWXBdfX")</f>
        <v>https://xhslink.com/m/7X5ibWXBdfX</v>
      </c>
      <c r="D4670"/>
      <c r="E4670">
        <v>14000</v>
      </c>
      <c r="F4670">
        <v>123.8</v>
      </c>
      <c r="G4670"/>
      <c r="H4670">
        <v>100</v>
      </c>
      <c r="I4670" t="inlineStr">
        <is>
          <t>美发</t>
        </is>
      </c>
      <c r="J4670" t="inlineStr">
        <is>
          <t>0.01</t>
        </is>
      </c>
      <c r="K4670" t="inlineStr">
        <is>
          <t>🔥低粉爆款</t>
        </is>
      </c>
      <c r="L4670" t="inlineStr">
        <is>
          <t>燕子家smile的店</t>
        </is>
      </c>
      <c r="M4670">
        <v>3150</v>
      </c>
      <c r="N4670">
        <v>4.71</v>
      </c>
      <c r="O4670">
        <v>34000</v>
      </c>
      <c r="P4670" t="inlineStr">
        <is>
          <t>6952220f00d76200019b6ed1</t>
        </is>
      </c>
      <c r="Q4670"/>
      <c r="R4670" t="inlineStr">
        <is>
          <t>16周</t>
        </is>
      </c>
      <c r="S4670" t="inlineStr">
        <is>
          <t>4.44</t>
        </is>
      </c>
      <c r="T4670" t="inlineStr">
        <is>
          <t>美妆个护</t>
        </is>
      </c>
      <c r="U4670" t="inlineStr">
        <is>
          <t>护肤彩妆</t>
        </is>
      </c>
      <c r="V4670" s="3">
        <v>46130.98501157408</v>
      </c>
      <c r="W4670" t="inlineStr">
        <is>
          <t>2026-Q2</t>
        </is>
      </c>
    </row>
    <row r="4671" ht="25.5" customHeight="1">
      <c r="A4671" t="inlineStr">
        <is>
          <t>乌蔓 · 防脱精华液减少掉发头皮精华发际线发丝强韧防脱发保湿男女生可用</t>
        </is>
      </c>
      <c r="B4671" t="inlineStr">
        <is>
          <t>__upload_recvh9P0bmsoZ7.jpg</t>
        </is>
      </c>
      <c r="C4671" s="2" t="str">
        <f>=HYPERLINK("https://xhslink.com/m/7EgeAJGcbyw", "https://xhslink.com/m/7EgeAJGcbyw")</f>
        <v>https://xhslink.com/m/7EgeAJGcbyw</v>
      </c>
      <c r="D4671"/>
      <c r="E4671">
        <v>14000</v>
      </c>
      <c r="F4671">
        <v>318.8</v>
      </c>
      <c r="G4671">
        <v>298.8</v>
      </c>
      <c r="H4671">
        <v>100</v>
      </c>
      <c r="I4671" t="inlineStr">
        <is>
          <t>美发</t>
        </is>
      </c>
      <c r="J4671" t="inlineStr">
        <is>
          <t>0.01</t>
        </is>
      </c>
      <c r="K4671"/>
      <c r="L4671" t="inlineStr">
        <is>
          <t>乌蔓旗舰店</t>
        </is>
      </c>
      <c r="M4671">
        <v>16000</v>
      </c>
      <c r="N4671">
        <v>4.56</v>
      </c>
      <c r="O4671">
        <v>749000</v>
      </c>
      <c r="P4671" t="inlineStr">
        <is>
          <t>68e89e8017d808000187e5e5</t>
        </is>
      </c>
      <c r="Q4671" t="inlineStr">
        <is>
          <t>🚫重复</t>
        </is>
      </c>
      <c r="R4671" t="inlineStr">
        <is>
          <t>16周</t>
        </is>
      </c>
      <c r="S4671" t="inlineStr">
        <is>
          <t>0.88</t>
        </is>
      </c>
      <c r="T4671" t="inlineStr">
        <is>
          <t>美妆个护</t>
        </is>
      </c>
      <c r="U4671" t="inlineStr">
        <is>
          <t>护肤彩妆</t>
        </is>
      </c>
      <c r="V4671" s="3">
        <v>46130.98501157408</v>
      </c>
      <c r="W4671" t="inlineStr">
        <is>
          <t>2026-Q2</t>
        </is>
      </c>
    </row>
    <row r="4672" ht="25.5" customHeight="1">
      <c r="A4672" t="inlineStr">
        <is>
          <t>兮草记 · 【新品上市·限量半价】【佛手柑柠檬】花果香洗发皂| 春夏系列</t>
        </is>
      </c>
      <c r="B4672" t="inlineStr">
        <is>
          <t>__upload_recvh9P0bmTAQL.jpg</t>
        </is>
      </c>
      <c r="C4672" s="2" t="str">
        <f>=HYPERLINK("https://xhslink.com/m/ASNny1M2LFk", "https://xhslink.com/m/ASNny1M2LFk")</f>
        <v>https://xhslink.com/m/ASNny1M2LFk</v>
      </c>
      <c r="D4672"/>
      <c r="E4672">
        <v>3461</v>
      </c>
      <c r="F4672">
        <v>38.8</v>
      </c>
      <c r="G4672"/>
      <c r="H4672">
        <v>100</v>
      </c>
      <c r="I4672" t="inlineStr">
        <is>
          <t>美发</t>
        </is>
      </c>
      <c r="J4672" t="inlineStr">
        <is>
          <t>0.03</t>
        </is>
      </c>
      <c r="K4672"/>
      <c r="L4672" t="inlineStr">
        <is>
          <t>Abeeer熊崽工作室的店</t>
        </is>
      </c>
      <c r="M4672">
        <v>7075</v>
      </c>
      <c r="N4672">
        <v>4.54</v>
      </c>
      <c r="O4672">
        <v>273000</v>
      </c>
      <c r="P4672" t="inlineStr">
        <is>
          <t>69ae4073f209ba0001f16810</t>
        </is>
      </c>
      <c r="Q4672" t="inlineStr">
        <is>
          <t>🚫重复</t>
        </is>
      </c>
      <c r="R4672" t="inlineStr">
        <is>
          <t>16周</t>
        </is>
      </c>
      <c r="S4672" t="inlineStr">
        <is>
          <t>0.49</t>
        </is>
      </c>
      <c r="T4672" t="inlineStr">
        <is>
          <t>美妆个护</t>
        </is>
      </c>
      <c r="U4672" t="inlineStr">
        <is>
          <t>个人护理</t>
        </is>
      </c>
      <c r="V4672" s="3">
        <v>46130.98501157408</v>
      </c>
      <c r="W4672" t="inlineStr">
        <is>
          <t>2026-Q2</t>
        </is>
      </c>
    </row>
    <row r="4673" ht="25.5" customHeight="1">
      <c r="A4673" t="inlineStr">
        <is>
          <t>好丝发森 · 22味中草本植物乌黑养洗护头皮疗发何首乌侧柏叶控油去屑</t>
        </is>
      </c>
      <c r="B4673" t="inlineStr">
        <is>
          <t>__upload_recvh9P0bmzrCO.jpg</t>
        </is>
      </c>
      <c r="C4673" s="2" t="str">
        <f>=HYPERLINK("https://xhslink.com/m/6uU8OYVIql8", "https://xhslink.com/m/6uU8OYVIql8")</f>
        <v>https://xhslink.com/m/6uU8OYVIql8</v>
      </c>
      <c r="D4673"/>
      <c r="E4673">
        <v>1600</v>
      </c>
      <c r="F4673">
        <v>145</v>
      </c>
      <c r="G4673"/>
      <c r="H4673">
        <v>100</v>
      </c>
      <c r="I4673" t="inlineStr">
        <is>
          <t>美发</t>
        </is>
      </c>
      <c r="J4673" t="inlineStr">
        <is>
          <t>0.06</t>
        </is>
      </c>
      <c r="K4673"/>
      <c r="L4673" t="inlineStr">
        <is>
          <t>重庆好丝发森的店</t>
        </is>
      </c>
      <c r="M4673">
        <v>1704</v>
      </c>
      <c r="N4673">
        <v>4.51</v>
      </c>
      <c r="O4673">
        <v>5990</v>
      </c>
      <c r="P4673" t="inlineStr">
        <is>
          <t>697c80ea452d9f00157d9ffc</t>
        </is>
      </c>
      <c r="Q4673"/>
      <c r="R4673" t="inlineStr">
        <is>
          <t>16周</t>
        </is>
      </c>
      <c r="S4673" t="inlineStr">
        <is>
          <t>0.94</t>
        </is>
      </c>
      <c r="T4673" t="inlineStr">
        <is>
          <t>家居生活</t>
        </is>
      </c>
      <c r="U4673" t="inlineStr">
        <is>
          <t>家具家装</t>
        </is>
      </c>
      <c r="V4673" s="3">
        <v>46130.98501157408</v>
      </c>
      <c r="W4673" t="inlineStr">
        <is>
          <t>2026-Q2</t>
        </is>
      </c>
    </row>
    <row r="4674" ht="25.5" customHeight="1">
      <c r="A4674" t="inlineStr">
        <is>
          <t>向日花 · 三色遮瑕膏盘遮盖痘印斑点黑眼圈泪沟法令纹服帖持久不脱妆</t>
        </is>
      </c>
      <c r="B4674" t="inlineStr">
        <is>
          <t>__upload_recvh9P0bmzIkb.jpg</t>
        </is>
      </c>
      <c r="C4674" s="2" t="str">
        <f>=HYPERLINK("https://xhslink.com/m/4vPjxji2BWh", "https://xhslink.com/m/4vPjxji2BWh")</f>
        <v>https://xhslink.com/m/4vPjxji2BWh</v>
      </c>
      <c r="D4674"/>
      <c r="E4674">
        <v>30000</v>
      </c>
      <c r="F4674">
        <v>68</v>
      </c>
      <c r="G4674"/>
      <c r="H4674">
        <v>100</v>
      </c>
      <c r="I4674" t="inlineStr">
        <is>
          <t>祛红痘印</t>
        </is>
      </c>
      <c r="J4674" t="inlineStr">
        <is>
          <t>0.00</t>
        </is>
      </c>
      <c r="K4674"/>
      <c r="L4674" t="inlineStr">
        <is>
          <t>向日花旗舰店</t>
        </is>
      </c>
      <c r="M4674">
        <v>33000</v>
      </c>
      <c r="N4674">
        <v>4.71</v>
      </c>
      <c r="O4674">
        <v>109000</v>
      </c>
      <c r="P4674" t="inlineStr">
        <is>
          <t>6762eafac6c20a00019505ab</t>
        </is>
      </c>
      <c r="Q4674" t="inlineStr">
        <is>
          <t>🚫重复</t>
        </is>
      </c>
      <c r="R4674" t="inlineStr">
        <is>
          <t>16周</t>
        </is>
      </c>
      <c r="S4674" t="inlineStr">
        <is>
          <t>0.91</t>
        </is>
      </c>
      <c r="T4674" t="inlineStr">
        <is>
          <t>美妆个护</t>
        </is>
      </c>
      <c r="U4674" t="inlineStr">
        <is>
          <t>护肤彩妆</t>
        </is>
      </c>
      <c r="V4674" s="3">
        <v>46130.98501157408</v>
      </c>
      <c r="W4674" t="inlineStr">
        <is>
          <t>2026-Q2</t>
        </is>
      </c>
    </row>
    <row r="4675" ht="25.5" customHeight="1">
      <c r="A4675" t="inlineStr">
        <is>
          <t>MALU WILZ · 德国玛露遮瑕膏化妆师推荐 遮盖黑眼圈斑点痘印泪沟法令纹</t>
        </is>
      </c>
      <c r="B4675" t="inlineStr">
        <is>
          <t>__upload_recvh9P0bm9wen.jpg</t>
        </is>
      </c>
      <c r="C4675" s="2" t="str">
        <f>=HYPERLINK("https://xhslink.com/m/89uUuRNAozS", "https://xhslink.com/m/89uUuRNAozS")</f>
        <v>https://xhslink.com/m/89uUuRNAozS</v>
      </c>
      <c r="D4675"/>
      <c r="E4675">
        <v>22000</v>
      </c>
      <c r="F4675">
        <v>138</v>
      </c>
      <c r="G4675">
        <v>95</v>
      </c>
      <c r="H4675">
        <v>100</v>
      </c>
      <c r="I4675" t="inlineStr">
        <is>
          <t>祛红痘印</t>
        </is>
      </c>
      <c r="J4675" t="inlineStr">
        <is>
          <t>0.00</t>
        </is>
      </c>
      <c r="K4675"/>
      <c r="L4675" t="inlineStr">
        <is>
          <t>MALU WILZ 玛露·维尔姿旗舰店</t>
        </is>
      </c>
      <c r="M4675">
        <v>36000</v>
      </c>
      <c r="N4675">
        <v>4.66</v>
      </c>
      <c r="O4675">
        <v>30000</v>
      </c>
      <c r="P4675" t="inlineStr">
        <is>
          <t>60f3f41385aa4e000131e521</t>
        </is>
      </c>
      <c r="Q4675" t="inlineStr">
        <is>
          <t>🚫重复</t>
        </is>
      </c>
      <c r="R4675" t="inlineStr">
        <is>
          <t>16周</t>
        </is>
      </c>
      <c r="S4675" t="inlineStr">
        <is>
          <t>0.61</t>
        </is>
      </c>
      <c r="T4675" t="inlineStr">
        <is>
          <t>美妆个护</t>
        </is>
      </c>
      <c r="U4675" t="inlineStr">
        <is>
          <t>护肤彩妆</t>
        </is>
      </c>
      <c r="V4675" s="3">
        <v>46130.98501157408</v>
      </c>
      <c r="W4675" t="inlineStr">
        <is>
          <t>2026-Q2</t>
        </is>
      </c>
    </row>
    <row r="4676" ht="25.5" customHeight="1">
      <c r="A4676" t="inlineStr">
        <is>
          <t>Hello ya · 双头遮瑕膏笔脸部遮盖提亮防水斑点黑眼圈法令泪沟自然遮瑕膏</t>
        </is>
      </c>
      <c r="B4676" t="inlineStr">
        <is>
          <t>__upload_recvh9P0bmLP03.jpg</t>
        </is>
      </c>
      <c r="C4676" s="2" t="str">
        <f>=HYPERLINK("https://xhslink.com/m/7lHXF6eq06O", "https://xhslink.com/m/7lHXF6eq06O")</f>
        <v>https://xhslink.com/m/7lHXF6eq06O</v>
      </c>
      <c r="D4676"/>
      <c r="E4676">
        <v>11000</v>
      </c>
      <c r="F4676">
        <v>23</v>
      </c>
      <c r="G4676">
        <v>6.8</v>
      </c>
      <c r="H4676">
        <v>100</v>
      </c>
      <c r="I4676" t="inlineStr">
        <is>
          <t>祛红痘印</t>
        </is>
      </c>
      <c r="J4676" t="inlineStr">
        <is>
          <t>0.01</t>
        </is>
      </c>
      <c r="K4676"/>
      <c r="L4676" t="inlineStr">
        <is>
          <t>Meili蜜语美妆的店</t>
        </is>
      </c>
      <c r="M4676">
        <v>12000</v>
      </c>
      <c r="N4676">
        <v>4.31</v>
      </c>
      <c r="O4676">
        <v>206000</v>
      </c>
      <c r="P4676" t="inlineStr">
        <is>
          <t>686bf5cb2e089500019e3a35</t>
        </is>
      </c>
      <c r="Q4676" t="inlineStr">
        <is>
          <t>🚫重复</t>
        </is>
      </c>
      <c r="R4676" t="inlineStr">
        <is>
          <t>16周</t>
        </is>
      </c>
      <c r="S4676" t="inlineStr">
        <is>
          <t>0.92</t>
        </is>
      </c>
      <c r="T4676" t="inlineStr">
        <is>
          <t>美妆个护</t>
        </is>
      </c>
      <c r="U4676" t="inlineStr">
        <is>
          <t>护肤彩妆</t>
        </is>
      </c>
      <c r="V4676" s="3">
        <v>46130.98501157408</v>
      </c>
      <c r="W4676" t="inlineStr">
        <is>
          <t>2026-Q2</t>
        </is>
      </c>
    </row>
    <row r="4677" ht="25.5" customHeight="1">
      <c r="A4677" t="inlineStr">
        <is>
          <t>漫野 · 黄油遮瑕膏·单色遮瑕·三文鱼橘色遮黑眼圈·泪沟提亮</t>
        </is>
      </c>
      <c r="B4677" t="inlineStr">
        <is>
          <t>__upload_recvh9P0bmzqZP.jpg</t>
        </is>
      </c>
      <c r="C4677" s="2" t="str">
        <f>=HYPERLINK("https://xhslink.com/m/ha1620xSPD", "https://xhslink.com/m/ha1620xSPD")</f>
        <v>https://xhslink.com/m/ha1620xSPD</v>
      </c>
      <c r="D4677"/>
      <c r="E4677">
        <v>35000</v>
      </c>
      <c r="F4677">
        <v>49.9</v>
      </c>
      <c r="G4677"/>
      <c r="H4677">
        <v>100</v>
      </c>
      <c r="I4677" t="inlineStr">
        <is>
          <t>祛红痘印</t>
        </is>
      </c>
      <c r="J4677" t="inlineStr">
        <is>
          <t>0.00</t>
        </is>
      </c>
      <c r="K4677"/>
      <c r="L4677" t="inlineStr">
        <is>
          <t>漫野旗舰店</t>
        </is>
      </c>
      <c r="M4677">
        <v>36000</v>
      </c>
      <c r="N4677">
        <v>4.7</v>
      </c>
      <c r="O4677">
        <v>204000</v>
      </c>
      <c r="P4677" t="inlineStr">
        <is>
          <t>682beb91c3bab900015564a0</t>
        </is>
      </c>
      <c r="Q4677" t="inlineStr">
        <is>
          <t>🚫重复</t>
        </is>
      </c>
      <c r="R4677" t="inlineStr">
        <is>
          <t>16周</t>
        </is>
      </c>
      <c r="S4677" t="inlineStr">
        <is>
          <t>0.97</t>
        </is>
      </c>
      <c r="T4677" t="inlineStr">
        <is>
          <t>美妆个护</t>
        </is>
      </c>
      <c r="U4677" t="inlineStr">
        <is>
          <t>护肤彩妆</t>
        </is>
      </c>
      <c r="V4677" s="3">
        <v>46130.98501157408</v>
      </c>
      <c r="W4677" t="inlineStr">
        <is>
          <t>2026-Q2</t>
        </is>
      </c>
    </row>
    <row r="4678" ht="25.5" customHeight="1">
      <c r="A4678" t="inlineStr">
        <is>
          <t>悠碧诗 · 淡法令纹毛孔蛋白膜医用护理膜重组三型胶原蛋白修复敷料修护膜</t>
        </is>
      </c>
      <c r="B4678" t="inlineStr">
        <is>
          <t>__upload_recvh9P0bmiBmE.jpg</t>
        </is>
      </c>
      <c r="C4678" s="2" t="str">
        <f>=HYPERLINK("https://xhslink.com/m/3enEKYq9dWz", "https://xhslink.com/m/3enEKYq9dWz")</f>
        <v>https://xhslink.com/m/3enEKYq9dWz</v>
      </c>
      <c r="D4678"/>
      <c r="E4678">
        <v>4670</v>
      </c>
      <c r="F4678">
        <v>625</v>
      </c>
      <c r="G4678">
        <v>500</v>
      </c>
      <c r="H4678">
        <v>100</v>
      </c>
      <c r="I4678" t="inlineStr">
        <is>
          <t>美妆</t>
        </is>
      </c>
      <c r="J4678" t="inlineStr">
        <is>
          <t>0.02</t>
        </is>
      </c>
      <c r="K4678"/>
      <c r="L4678" t="inlineStr">
        <is>
          <t>悠碧诗医疗器械旗舰店</t>
        </is>
      </c>
      <c r="M4678">
        <v>2932</v>
      </c>
      <c r="N4678">
        <v>4.56</v>
      </c>
      <c r="O4678">
        <v>4870</v>
      </c>
      <c r="P4678" t="inlineStr">
        <is>
          <t>68a414091745f6000113ed51</t>
        </is>
      </c>
      <c r="Q4678"/>
      <c r="R4678" t="inlineStr">
        <is>
          <t>16周</t>
        </is>
      </c>
      <c r="S4678" t="inlineStr">
        <is>
          <t>1.59</t>
        </is>
      </c>
      <c r="T4678" t="inlineStr">
        <is>
          <t>美妆个护</t>
        </is>
      </c>
      <c r="U4678" t="inlineStr">
        <is>
          <t>护肤彩妆</t>
        </is>
      </c>
      <c r="V4678" s="3">
        <v>46130.98501157408</v>
      </c>
      <c r="W4678" t="inlineStr">
        <is>
          <t>2026-Q2</t>
        </is>
      </c>
    </row>
    <row r="4679" ht="25.5" customHeight="1">
      <c r="A4679" t="inlineStr">
        <is>
          <t>丽质华堂 · 故宫紫檀护肤五件套小样·体验装</t>
        </is>
      </c>
      <c r="B4679" t="inlineStr">
        <is>
          <t>__upload_recvh9P0bmGLEk.jpg</t>
        </is>
      </c>
      <c r="C4679" s="2" t="str">
        <f>=HYPERLINK("https://xhslink.com/m/PAhj3VaxJO", "https://xhslink.com/m/PAhj3VaxJO")</f>
        <v>https://xhslink.com/m/PAhj3VaxJO</v>
      </c>
      <c r="D4679"/>
      <c r="E4679">
        <v>6073</v>
      </c>
      <c r="F4679">
        <v>199</v>
      </c>
      <c r="G4679">
        <v>99</v>
      </c>
      <c r="H4679">
        <v>100</v>
      </c>
      <c r="I4679" t="inlineStr">
        <is>
          <t>美妆</t>
        </is>
      </c>
      <c r="J4679" t="inlineStr">
        <is>
          <t>0.02</t>
        </is>
      </c>
      <c r="K4679"/>
      <c r="L4679" t="inlineStr">
        <is>
          <t>丽质华堂旗舰店</t>
        </is>
      </c>
      <c r="M4679">
        <v>34000</v>
      </c>
      <c r="N4679">
        <v>4.44</v>
      </c>
      <c r="O4679">
        <v>9007</v>
      </c>
      <c r="P4679" t="inlineStr">
        <is>
          <t>65226f1e653ada0001d7aee3</t>
        </is>
      </c>
      <c r="Q4679"/>
      <c r="R4679" t="inlineStr">
        <is>
          <t>16周</t>
        </is>
      </c>
      <c r="S4679" t="inlineStr">
        <is>
          <t>0.18</t>
        </is>
      </c>
      <c r="T4679" t="inlineStr">
        <is>
          <t>美妆个护</t>
        </is>
      </c>
      <c r="U4679" t="inlineStr">
        <is>
          <t>护肤彩妆</t>
        </is>
      </c>
      <c r="V4679" s="3">
        <v>46130.98501157408</v>
      </c>
      <c r="W4679" t="inlineStr">
        <is>
          <t>2026-Q2</t>
        </is>
      </c>
    </row>
    <row r="4680" ht="25.5" customHeight="1">
      <c r="A4680" t="inlineStr">
        <is>
          <t>LANDTREE良萃 · 烟酰胺美白精华液熊果苷提亮肤色熬夜党必备改善暗沉收缩毛孔正品</t>
        </is>
      </c>
      <c r="B4680" t="inlineStr">
        <is>
          <t>__upload_recvh9P0bmyVVT.jpg</t>
        </is>
      </c>
      <c r="C4680" s="2" t="str">
        <f>=HYPERLINK("https://xhslink.com/m/63w0jGfPCV0", "https://xhslink.com/m/63w0jGfPCV0")</f>
        <v>https://xhslink.com/m/63w0jGfPCV0</v>
      </c>
      <c r="D4680"/>
      <c r="E4680">
        <v>314000</v>
      </c>
      <c r="F4680">
        <v>48</v>
      </c>
      <c r="G4680">
        <v>33.8</v>
      </c>
      <c r="H4680">
        <v>100</v>
      </c>
      <c r="I4680" t="inlineStr">
        <is>
          <t>美妆</t>
        </is>
      </c>
      <c r="J4680" t="inlineStr">
        <is>
          <t>0.00</t>
        </is>
      </c>
      <c r="K4680"/>
      <c r="L4680" t="inlineStr">
        <is>
          <t>良萃LANDTREE旗舰店</t>
        </is>
      </c>
      <c r="M4680">
        <v>319000</v>
      </c>
      <c r="N4680">
        <v>4.66</v>
      </c>
      <c r="O4680">
        <v>1944000</v>
      </c>
      <c r="P4680" t="inlineStr">
        <is>
          <t>695aa2c8dd18440001d40d7a</t>
        </is>
      </c>
      <c r="Q4680" t="inlineStr">
        <is>
          <t>🚫重复</t>
        </is>
      </c>
      <c r="R4680" t="inlineStr">
        <is>
          <t>16周</t>
        </is>
      </c>
      <c r="S4680" t="inlineStr">
        <is>
          <t>0.98</t>
        </is>
      </c>
      <c r="T4680" t="inlineStr">
        <is>
          <t>美妆个护</t>
        </is>
      </c>
      <c r="U4680" t="inlineStr">
        <is>
          <t>护肤彩妆</t>
        </is>
      </c>
      <c r="V4680" s="3">
        <v>46130.98501157408</v>
      </c>
      <c r="W4680" t="inlineStr">
        <is>
          <t>2026-Q2</t>
        </is>
      </c>
    </row>
    <row r="4681" ht="25.5" customHeight="1">
      <c r="A4681" t="inlineStr">
        <is>
          <t>JCprogram自由之丘 · 【何泓姗推荐】塑颜温感自热面膜紧致补水保湿提升下颌线30ml商城</t>
        </is>
      </c>
      <c r="B4681" t="inlineStr">
        <is>
          <t>__upload_recvh9P0bmyXOn.jpg</t>
        </is>
      </c>
      <c r="C4681" s="2" t="str">
        <f>=HYPERLINK("https://xhslink.com/m/7OVDV9AIpxU", "https://xhslink.com/m/7OVDV9AIpxU")</f>
        <v>https://xhslink.com/m/7OVDV9AIpxU</v>
      </c>
      <c r="D4681"/>
      <c r="E4681">
        <v>13000</v>
      </c>
      <c r="F4681">
        <v>509</v>
      </c>
      <c r="G4681">
        <v>399</v>
      </c>
      <c r="H4681">
        <v>100</v>
      </c>
      <c r="I4681" t="inlineStr">
        <is>
          <t>美妆</t>
        </is>
      </c>
      <c r="J4681" t="inlineStr">
        <is>
          <t>0.01</t>
        </is>
      </c>
      <c r="K4681"/>
      <c r="L4681" t="inlineStr">
        <is>
          <t>JCprogram 自由之丘旗舰店</t>
        </is>
      </c>
      <c r="M4681">
        <v>30000</v>
      </c>
      <c r="N4681">
        <v>4.7</v>
      </c>
      <c r="O4681">
        <v>82000</v>
      </c>
      <c r="P4681" t="inlineStr">
        <is>
          <t>67c121617198db0001556f14</t>
        </is>
      </c>
      <c r="Q4681"/>
      <c r="R4681" t="inlineStr">
        <is>
          <t>16周</t>
        </is>
      </c>
      <c r="S4681" t="inlineStr">
        <is>
          <t>0.43</t>
        </is>
      </c>
      <c r="T4681" t="inlineStr">
        <is>
          <t>美妆个护</t>
        </is>
      </c>
      <c r="U4681" t="inlineStr">
        <is>
          <t>护肤彩妆</t>
        </is>
      </c>
      <c r="V4681" s="3">
        <v>46130.98501157408</v>
      </c>
      <c r="W4681" t="inlineStr">
        <is>
          <t>2026-Q2</t>
        </is>
      </c>
    </row>
    <row r="4682" ht="25.5" customHeight="1">
      <c r="A4682" t="inlineStr">
        <is>
          <t>纽乐葆 · 妊娠油纹修护按摩油保湿官方旗舰店</t>
        </is>
      </c>
      <c r="B4682" t="inlineStr">
        <is>
          <t>__upload_recvh9P0bmwXcp.jpg</t>
        </is>
      </c>
      <c r="C4682" s="2" t="str">
        <f>=HYPERLINK("https://xhslink.com/m/3wt5MrdTaSQ", "https://xhslink.com/m/3wt5MrdTaSQ")</f>
        <v>https://xhslink.com/m/3wt5MrdTaSQ</v>
      </c>
      <c r="D4682"/>
      <c r="E4682">
        <v>31000</v>
      </c>
      <c r="F4682">
        <v>148</v>
      </c>
      <c r="G4682">
        <v>143</v>
      </c>
      <c r="H4682">
        <v>100</v>
      </c>
      <c r="I4682" t="inlineStr">
        <is>
          <t>美妆</t>
        </is>
      </c>
      <c r="J4682" t="inlineStr">
        <is>
          <t>0.00</t>
        </is>
      </c>
      <c r="K4682"/>
      <c r="L4682" t="inlineStr">
        <is>
          <t>纽乐葆旗舰店</t>
        </is>
      </c>
      <c r="M4682">
        <v>22000</v>
      </c>
      <c r="N4682">
        <v>4.58</v>
      </c>
      <c r="O4682">
        <v>393000</v>
      </c>
      <c r="P4682" t="inlineStr">
        <is>
          <t>62fc5c910ffc3a0001770768</t>
        </is>
      </c>
      <c r="Q4682"/>
      <c r="R4682" t="inlineStr">
        <is>
          <t>16周</t>
        </is>
      </c>
      <c r="S4682" t="inlineStr">
        <is>
          <t>1.41</t>
        </is>
      </c>
      <c r="T4682" t="inlineStr">
        <is>
          <t>美妆个护</t>
        </is>
      </c>
      <c r="U4682" t="inlineStr">
        <is>
          <t>护肤彩妆</t>
        </is>
      </c>
      <c r="V4682" s="3">
        <v>46130.98501157408</v>
      </c>
      <c r="W4682" t="inlineStr">
        <is>
          <t>2026-Q2</t>
        </is>
      </c>
    </row>
    <row r="4683" ht="25.5" customHeight="1">
      <c r="A4683" t="inlineStr">
        <is>
          <t>造物者 · 【明星同款】红山茶蚕丝精华软膜抗皱紧致补水保湿清洁滋养面膜</t>
        </is>
      </c>
      <c r="B4683" t="inlineStr">
        <is>
          <t>__upload_recvh9P0bmPrTP.jpg</t>
        </is>
      </c>
      <c r="C4683" s="2" t="str">
        <f>=HYPERLINK("https://xhslink.com/m/3GkOOv6Pf9v", "https://xhslink.com/m/3GkOOv6Pf9v")</f>
        <v>https://xhslink.com/m/3GkOOv6Pf9v</v>
      </c>
      <c r="D4683"/>
      <c r="E4683">
        <v>137000</v>
      </c>
      <c r="F4683">
        <v>299.9</v>
      </c>
      <c r="G4683">
        <v>199.9</v>
      </c>
      <c r="H4683">
        <v>100</v>
      </c>
      <c r="I4683" t="inlineStr">
        <is>
          <t>美妆</t>
        </is>
      </c>
      <c r="J4683" t="inlineStr">
        <is>
          <t>0.00</t>
        </is>
      </c>
      <c r="K4683" t="inlineStr">
        <is>
          <t>🔥低粉爆款</t>
        </is>
      </c>
      <c r="L4683" t="inlineStr">
        <is>
          <t>造物者CREATOR旗舰店</t>
        </is>
      </c>
      <c r="M4683">
        <v>33000</v>
      </c>
      <c r="N4683">
        <v>4.66</v>
      </c>
      <c r="O4683">
        <v>216000</v>
      </c>
      <c r="P4683" t="inlineStr">
        <is>
          <t>68eb572017d80800019b5236</t>
        </is>
      </c>
      <c r="Q4683"/>
      <c r="R4683" t="inlineStr">
        <is>
          <t>16周</t>
        </is>
      </c>
      <c r="S4683" t="inlineStr">
        <is>
          <t>4.15</t>
        </is>
      </c>
      <c r="T4683" t="inlineStr">
        <is>
          <t>美妆个护</t>
        </is>
      </c>
      <c r="U4683" t="inlineStr">
        <is>
          <t>护肤彩妆</t>
        </is>
      </c>
      <c r="V4683" s="3">
        <v>46130.98501157408</v>
      </c>
      <c r="W4683" t="inlineStr">
        <is>
          <t>2026-Q2</t>
        </is>
      </c>
    </row>
    <row r="4684" ht="25.5" customHeight="1">
      <c r="A4684" t="inlineStr">
        <is>
          <t>藏北荒柔润护理膏 关节腋下大腿根暗沉护理外用膏</t>
        </is>
      </c>
      <c r="B4684" t="inlineStr">
        <is>
          <t>__upload_recvh9P0bmjNMZ.jpg</t>
        </is>
      </c>
      <c r="C4684" s="2" t="str">
        <f>=HYPERLINK("https://xhslink.com/m/6NbdK5UHXuc", "https://xhslink.com/m/6NbdK5UHXuc")</f>
        <v>https://xhslink.com/m/6NbdK5UHXuc</v>
      </c>
      <c r="D4684"/>
      <c r="E4684">
        <v>3166</v>
      </c>
      <c r="F4684">
        <v>48</v>
      </c>
      <c r="G4684"/>
      <c r="H4684">
        <v>100</v>
      </c>
      <c r="I4684" t="inlineStr">
        <is>
          <t>美妆</t>
        </is>
      </c>
      <c r="J4684" t="inlineStr">
        <is>
          <t>0.03</t>
        </is>
      </c>
      <c r="K4684" t="inlineStr">
        <is>
          <t>🔥低粉爆款</t>
        </is>
      </c>
      <c r="L4684" t="inlineStr">
        <is>
          <t>倾悦堂的店</t>
        </is>
      </c>
      <c r="M4684">
        <v>61</v>
      </c>
      <c r="N4684">
        <v>4.45</v>
      </c>
      <c r="O4684">
        <v>3833</v>
      </c>
      <c r="P4684" t="inlineStr">
        <is>
          <t>69aa905cc125ae00019d476e</t>
        </is>
      </c>
      <c r="Q4684" t="inlineStr">
        <is>
          <t>🚫重复</t>
        </is>
      </c>
      <c r="R4684" t="inlineStr">
        <is>
          <t>16周</t>
        </is>
      </c>
      <c r="S4684" t="inlineStr">
        <is>
          <t>51.90</t>
        </is>
      </c>
      <c r="T4684" t="inlineStr">
        <is>
          <t>美妆个护</t>
        </is>
      </c>
      <c r="U4684" t="inlineStr">
        <is>
          <t>护肤彩妆</t>
        </is>
      </c>
      <c r="V4684" s="3">
        <v>46130.98501157408</v>
      </c>
      <c r="W4684" t="inlineStr">
        <is>
          <t>2026-Q2</t>
        </is>
      </c>
    </row>
    <row r="4685" ht="25.5" customHeight="1">
      <c r="A4685" t="inlineStr">
        <is>
          <t>TEAE · 胶态硫祛痘精华啫喱青春痘粉刺闭口祛痘膏保湿舒缓正品官方</t>
        </is>
      </c>
      <c r="B4685" t="inlineStr">
        <is>
          <t>__upload_recvh9P0bmkxrn.jpg</t>
        </is>
      </c>
      <c r="C4685" s="2" t="str">
        <f>=HYPERLINK("https://xhslink.com/m/3UEPMN6sOTC", "https://xhslink.com/m/3UEPMN6sOTC")</f>
        <v>https://xhslink.com/m/3UEPMN6sOTC</v>
      </c>
      <c r="D4685"/>
      <c r="E4685">
        <v>28000</v>
      </c>
      <c r="F4685">
        <v>208</v>
      </c>
      <c r="G4685">
        <v>153.04</v>
      </c>
      <c r="H4685">
        <v>100</v>
      </c>
      <c r="I4685" t="inlineStr">
        <is>
          <t>美妆</t>
        </is>
      </c>
      <c r="J4685" t="inlineStr">
        <is>
          <t>0.00</t>
        </is>
      </c>
      <c r="K4685" t="inlineStr">
        <is>
          <t>🔥低粉爆款</t>
        </is>
      </c>
      <c r="L4685" t="inlineStr">
        <is>
          <t>TEAE旗舰店</t>
        </is>
      </c>
      <c r="M4685">
        <v>5127</v>
      </c>
      <c r="N4685">
        <v>4.52</v>
      </c>
      <c r="O4685">
        <v>30000</v>
      </c>
      <c r="P4685" t="inlineStr">
        <is>
          <t>686c92362e08950001a65333</t>
        </is>
      </c>
      <c r="Q4685"/>
      <c r="R4685" t="inlineStr">
        <is>
          <t>16周</t>
        </is>
      </c>
      <c r="S4685" t="inlineStr">
        <is>
          <t>5.46</t>
        </is>
      </c>
      <c r="T4685" t="inlineStr">
        <is>
          <t>美妆个护</t>
        </is>
      </c>
      <c r="U4685" t="inlineStr">
        <is>
          <t>护肤彩妆</t>
        </is>
      </c>
      <c r="V4685" s="3">
        <v>46130.98501157408</v>
      </c>
      <c r="W4685" t="inlineStr">
        <is>
          <t>2026-Q2</t>
        </is>
      </c>
    </row>
    <row r="4686" ht="25.5" customHeight="1">
      <c r="A4686" t="inlineStr">
        <is>
          <t>盒界 · 净燃兽即食牛肉齐鲁号健身速食主食代餐轻食饱腹牛肉</t>
        </is>
      </c>
      <c r="B4686" t="inlineStr">
        <is>
          <t>__upload_recvh9P0bmZdFB.jpg</t>
        </is>
      </c>
      <c r="C4686" s="2" t="str">
        <f>=HYPERLINK("https://xhslink.com/m/5RtSGDuESEB", "https://xhslink.com/m/5RtSGDuESEB")</f>
        <v>https://xhslink.com/m/5RtSGDuESEB</v>
      </c>
      <c r="D4686"/>
      <c r="E4686">
        <v>48000</v>
      </c>
      <c r="F4686">
        <v>189</v>
      </c>
      <c r="G4686">
        <v>149</v>
      </c>
      <c r="H4686">
        <v>100</v>
      </c>
      <c r="I4686" t="inlineStr">
        <is>
          <t>低热量零食</t>
        </is>
      </c>
      <c r="J4686" t="inlineStr">
        <is>
          <t>0.00</t>
        </is>
      </c>
      <c r="K4686"/>
      <c r="L4686" t="inlineStr">
        <is>
          <t>盒界生鲜旗舰店</t>
        </is>
      </c>
      <c r="M4686">
        <v>70000</v>
      </c>
      <c r="N4686">
        <v>4.56</v>
      </c>
      <c r="O4686">
        <v>382000</v>
      </c>
      <c r="P4686" t="inlineStr">
        <is>
          <t>675c04d2ada6590001935d6f</t>
        </is>
      </c>
      <c r="Q4686" t="inlineStr">
        <is>
          <t>🚫重复</t>
        </is>
      </c>
      <c r="R4686" t="inlineStr">
        <is>
          <t>16周</t>
        </is>
      </c>
      <c r="S4686" t="inlineStr">
        <is>
          <t>0.69</t>
        </is>
      </c>
      <c r="T4686" t="inlineStr">
        <is>
          <t>美食滋补</t>
        </is>
      </c>
      <c r="U4686" t="inlineStr">
        <is>
          <t>休闲零食</t>
        </is>
      </c>
      <c r="V4686" s="3">
        <v>46130.98501157408</v>
      </c>
      <c r="W4686" t="inlineStr">
        <is>
          <t>2026-Q2</t>
        </is>
      </c>
    </row>
    <row r="4687" ht="25.5" customHeight="1">
      <c r="A4687" t="inlineStr">
        <is>
          <t>低脂全麦恰巴塔面包健身代餐0蔗糖面包健康粗粮早餐三明治</t>
        </is>
      </c>
      <c r="B4687" t="inlineStr">
        <is>
          <t>__upload_recvh9P0bmUlNL.jpg</t>
        </is>
      </c>
      <c r="C4687" s="2" t="str">
        <f>=HYPERLINK("https://xhslink.com/m/52L5Pdc3ueD", "https://xhslink.com/m/52L5Pdc3ueD")</f>
        <v>https://xhslink.com/m/52L5Pdc3ueD</v>
      </c>
      <c r="D4687"/>
      <c r="E4687">
        <v>29000</v>
      </c>
      <c r="F4687">
        <v>26.9</v>
      </c>
      <c r="G4687">
        <v>16.9</v>
      </c>
      <c r="H4687">
        <v>100</v>
      </c>
      <c r="I4687" t="inlineStr">
        <is>
          <t>低热量零食</t>
        </is>
      </c>
      <c r="J4687" t="inlineStr">
        <is>
          <t>0.00</t>
        </is>
      </c>
      <c r="K4687" t="inlineStr">
        <is>
          <t>🔥低粉爆款</t>
        </is>
      </c>
      <c r="L4687" t="inlineStr">
        <is>
          <t>Green轻食店的店</t>
        </is>
      </c>
      <c r="M4687">
        <v>686</v>
      </c>
      <c r="N4687">
        <v>4.54</v>
      </c>
      <c r="O4687">
        <v>34000</v>
      </c>
      <c r="P4687" t="inlineStr">
        <is>
          <t>683291830d7e3d0001425d15</t>
        </is>
      </c>
      <c r="Q4687" t="inlineStr">
        <is>
          <t>🚫重复</t>
        </is>
      </c>
      <c r="R4687" t="inlineStr">
        <is>
          <t>16周</t>
        </is>
      </c>
      <c r="S4687" t="inlineStr">
        <is>
          <t>42.27</t>
        </is>
      </c>
      <c r="T4687" t="inlineStr">
        <is>
          <t>美食滋补</t>
        </is>
      </c>
      <c r="U4687" t="inlineStr">
        <is>
          <t>休闲零食</t>
        </is>
      </c>
      <c r="V4687" s="3">
        <v>46130.98501157408</v>
      </c>
      <c r="W4687" t="inlineStr">
        <is>
          <t>2026-Q2</t>
        </is>
      </c>
    </row>
    <row r="4688" ht="25.5" customHeight="1">
      <c r="A4688" t="inlineStr">
        <is>
          <t>【9.9元发2包】鸡胸肉干鸡肉条风干解减饿脂解馋小吃零食</t>
        </is>
      </c>
      <c r="B4688" t="inlineStr">
        <is>
          <t>__upload_recvh9P0bmtdYR.jpg</t>
        </is>
      </c>
      <c r="C4688" s="2" t="str">
        <f>=HYPERLINK("https://xhslink.com/m/5g2LIJ7YvOa", "https://xhslink.com/m/5g2LIJ7YvOa")</f>
        <v>https://xhslink.com/m/5g2LIJ7YvOa</v>
      </c>
      <c r="D4688"/>
      <c r="E4688">
        <v>9165</v>
      </c>
      <c r="F4688">
        <v>19.9</v>
      </c>
      <c r="G4688">
        <v>9.9</v>
      </c>
      <c r="H4688">
        <v>100</v>
      </c>
      <c r="I4688" t="inlineStr">
        <is>
          <t>低热量零食</t>
        </is>
      </c>
      <c r="J4688" t="inlineStr">
        <is>
          <t>0.01</t>
        </is>
      </c>
      <c r="K4688" t="inlineStr">
        <is>
          <t>🔥低粉爆款</t>
        </is>
      </c>
      <c r="L4688" t="inlineStr">
        <is>
          <t>茉颂手作的店</t>
        </is>
      </c>
      <c r="M4688">
        <v>143</v>
      </c>
      <c r="N4688">
        <v>4.72</v>
      </c>
      <c r="O4688">
        <v>9628</v>
      </c>
      <c r="P4688" t="inlineStr">
        <is>
          <t>688ef358e58d07000190cec4</t>
        </is>
      </c>
      <c r="Q4688" t="inlineStr">
        <is>
          <t>🚫重复</t>
        </is>
      </c>
      <c r="R4688" t="inlineStr">
        <is>
          <t>16周</t>
        </is>
      </c>
      <c r="S4688" t="inlineStr">
        <is>
          <t>64.09</t>
        </is>
      </c>
      <c r="T4688" t="inlineStr">
        <is>
          <t>美食滋补</t>
        </is>
      </c>
      <c r="U4688" t="inlineStr">
        <is>
          <t>休闲零食</t>
        </is>
      </c>
      <c r="V4688" s="3">
        <v>46130.98501157408</v>
      </c>
      <c r="W4688" t="inlineStr">
        <is>
          <t>2026-Q2</t>
        </is>
      </c>
    </row>
    <row r="4689" ht="25.5" customHeight="1">
      <c r="A4689" t="inlineStr">
        <is>
          <t>【28元任选6个】手作贝果夹心面包烘焙全麦早餐代餐健身零食</t>
        </is>
      </c>
      <c r="B4689" t="inlineStr">
        <is>
          <t>__upload_recvh9P0bm0JkT.jpg</t>
        </is>
      </c>
      <c r="C4689" s="2" t="str">
        <f>=HYPERLINK("https://xhslink.com/m/1NTymfEwEis", "https://xhslink.com/m/1NTymfEwEis")</f>
        <v>https://xhslink.com/m/1NTymfEwEis</v>
      </c>
      <c r="D4689"/>
      <c r="E4689">
        <v>3318</v>
      </c>
      <c r="F4689">
        <v>20</v>
      </c>
      <c r="G4689">
        <v>14</v>
      </c>
      <c r="H4689">
        <v>100</v>
      </c>
      <c r="I4689" t="inlineStr">
        <is>
          <t>低热量零食</t>
        </is>
      </c>
      <c r="J4689" t="inlineStr">
        <is>
          <t>0.03</t>
        </is>
      </c>
      <c r="K4689"/>
      <c r="L4689" t="inlineStr">
        <is>
          <t>壹可手作的店</t>
        </is>
      </c>
      <c r="M4689">
        <v>21000</v>
      </c>
      <c r="N4689">
        <v>4.32</v>
      </c>
      <c r="O4689">
        <v>933000</v>
      </c>
      <c r="P4689" t="inlineStr">
        <is>
          <t>69c24ba0d95b5a000110e9bc</t>
        </is>
      </c>
      <c r="Q4689"/>
      <c r="R4689" t="inlineStr">
        <is>
          <t>16周</t>
        </is>
      </c>
      <c r="S4689" t="inlineStr">
        <is>
          <t>0.16</t>
        </is>
      </c>
      <c r="T4689" t="inlineStr">
        <is>
          <t>美食滋补</t>
        </is>
      </c>
      <c r="U4689" t="inlineStr">
        <is>
          <t>休闲零食</t>
        </is>
      </c>
      <c r="V4689" s="3">
        <v>46130.98501157408</v>
      </c>
      <c r="W4689" t="inlineStr">
        <is>
          <t>2026-Q2</t>
        </is>
      </c>
    </row>
    <row r="4690" ht="25.5" customHeight="1">
      <c r="A4690" t="inlineStr">
        <is>
          <t>开袋即食零食冰烤蜜薯紫薯大学生减脂期代餐轻食健康早餐速食推荐</t>
        </is>
      </c>
      <c r="B4690" t="inlineStr">
        <is>
          <t>__upload_recvh9P0bmZBYB.jpg</t>
        </is>
      </c>
      <c r="C4690" s="2" t="str">
        <f>=HYPERLINK("https://xhslink.com/m/2AriFDSZ7GJ", "https://xhslink.com/m/2AriFDSZ7GJ")</f>
        <v>https://xhslink.com/m/2AriFDSZ7GJ</v>
      </c>
      <c r="D4690"/>
      <c r="E4690">
        <v>32000</v>
      </c>
      <c r="F4690">
        <v>24.8</v>
      </c>
      <c r="G4690">
        <v>14.8</v>
      </c>
      <c r="H4690">
        <v>100</v>
      </c>
      <c r="I4690" t="inlineStr">
        <is>
          <t>低热量零食</t>
        </is>
      </c>
      <c r="J4690" t="inlineStr">
        <is>
          <t>0.00</t>
        </is>
      </c>
      <c r="K4690" t="inlineStr">
        <is>
          <t>🔥低粉爆款</t>
        </is>
      </c>
      <c r="L4690" t="inlineStr">
        <is>
          <t>麦味零食坊的店</t>
        </is>
      </c>
      <c r="M4690">
        <v>6039</v>
      </c>
      <c r="N4690">
        <v>4.76</v>
      </c>
      <c r="O4690">
        <v>137000</v>
      </c>
      <c r="P4690" t="inlineStr">
        <is>
          <t>670bc03d4cd28900014f106a</t>
        </is>
      </c>
      <c r="Q4690" t="inlineStr">
        <is>
          <t>🚫重复</t>
        </is>
      </c>
      <c r="R4690" t="inlineStr">
        <is>
          <t>16周</t>
        </is>
      </c>
      <c r="S4690" t="inlineStr">
        <is>
          <t>5.30</t>
        </is>
      </c>
      <c r="T4690" t="inlineStr">
        <is>
          <t>美食滋补</t>
        </is>
      </c>
      <c r="U4690" t="inlineStr">
        <is>
          <t>休闲零食</t>
        </is>
      </c>
      <c r="V4690" s="3">
        <v>46130.98501157408</v>
      </c>
      <c r="W4690" t="inlineStr">
        <is>
          <t>2026-Q2</t>
        </is>
      </c>
    </row>
    <row r="4691" ht="25.5" customHeight="1">
      <c r="A4691" t="inlineStr">
        <is>
          <t>红瑶蜜薯干无添加软糯烤地瓜干原味低脂代餐零食倒蒸红薯干带皮</t>
        </is>
      </c>
      <c r="B4691" t="inlineStr">
        <is>
          <t>__upload_recvh9P0bmR7xu.jpg</t>
        </is>
      </c>
      <c r="C4691" s="2" t="str">
        <f>=HYPERLINK("https://xhslink.com/m/9PXYz2Vgcjx", "https://xhslink.com/m/9PXYz2Vgcjx")</f>
        <v>https://xhslink.com/m/9PXYz2Vgcjx</v>
      </c>
      <c r="D4691"/>
      <c r="E4691">
        <v>52000</v>
      </c>
      <c r="F4691">
        <v>22.9</v>
      </c>
      <c r="G4691">
        <v>13.9</v>
      </c>
      <c r="H4691">
        <v>100</v>
      </c>
      <c r="I4691" t="inlineStr">
        <is>
          <t>低热量零食</t>
        </is>
      </c>
      <c r="J4691" t="inlineStr">
        <is>
          <t>0.00</t>
        </is>
      </c>
      <c r="K4691" t="inlineStr">
        <is>
          <t>🔥低粉爆款</t>
        </is>
      </c>
      <c r="L4691" t="inlineStr">
        <is>
          <t>兴胜新农人的店</t>
        </is>
      </c>
      <c r="M4691">
        <v>1868</v>
      </c>
      <c r="N4691">
        <v>4.61</v>
      </c>
      <c r="O4691">
        <v>113000</v>
      </c>
      <c r="P4691" t="inlineStr">
        <is>
          <t>67dd1ec121ffb300012d7b90</t>
        </is>
      </c>
      <c r="Q4691" t="inlineStr">
        <is>
          <t>🚫重复</t>
        </is>
      </c>
      <c r="R4691" t="inlineStr">
        <is>
          <t>16周</t>
        </is>
      </c>
      <c r="S4691" t="inlineStr">
        <is>
          <t>27.84</t>
        </is>
      </c>
      <c r="T4691" t="inlineStr">
        <is>
          <t>美食滋补</t>
        </is>
      </c>
      <c r="U4691" t="inlineStr">
        <is>
          <t>休闲零食</t>
        </is>
      </c>
      <c r="V4691" s="3">
        <v>46130.98501157408</v>
      </c>
      <c r="W4691" t="inlineStr">
        <is>
          <t>2026-Q2</t>
        </is>
      </c>
    </row>
    <row r="4692" ht="25.5" customHeight="1">
      <c r="A4692" t="inlineStr">
        <is>
          <t>盒界 · 鲜蒸荔浦芋头开袋即食低脂0添加饱腹粗粮清蒸香芋休闲零食</t>
        </is>
      </c>
      <c r="B4692" t="inlineStr">
        <is>
          <t>__upload_recvh9P0bmMgv6.jpg</t>
        </is>
      </c>
      <c r="C4692" s="2" t="str">
        <f>=HYPERLINK("https://xhslink.com/m/414VtaomIJ9", "https://xhslink.com/m/414VtaomIJ9")</f>
        <v>https://xhslink.com/m/414VtaomIJ9</v>
      </c>
      <c r="D4692"/>
      <c r="E4692">
        <v>14000</v>
      </c>
      <c r="F4692">
        <v>59.9</v>
      </c>
      <c r="G4692">
        <v>49.9</v>
      </c>
      <c r="H4692">
        <v>100</v>
      </c>
      <c r="I4692" t="inlineStr">
        <is>
          <t>低热量零食</t>
        </is>
      </c>
      <c r="J4692" t="inlineStr">
        <is>
          <t>0.01</t>
        </is>
      </c>
      <c r="K4692"/>
      <c r="L4692" t="inlineStr">
        <is>
          <t>盒界甄选的店</t>
        </is>
      </c>
      <c r="M4692">
        <v>6868</v>
      </c>
      <c r="N4692">
        <v>4.39</v>
      </c>
      <c r="O4692">
        <v>160000</v>
      </c>
      <c r="P4692" t="inlineStr">
        <is>
          <t>692eaf7ae4338c0001a017f1</t>
        </is>
      </c>
      <c r="Q4692" t="inlineStr">
        <is>
          <t>🚫重复</t>
        </is>
      </c>
      <c r="R4692" t="inlineStr">
        <is>
          <t>16周</t>
        </is>
      </c>
      <c r="S4692" t="inlineStr">
        <is>
          <t>2.04</t>
        </is>
      </c>
      <c r="T4692" t="inlineStr">
        <is>
          <t>美食滋补</t>
        </is>
      </c>
      <c r="U4692" t="inlineStr">
        <is>
          <t>休闲零食</t>
        </is>
      </c>
      <c r="V4692" s="3">
        <v>46130.98501157408</v>
      </c>
      <c r="W4692" t="inlineStr">
        <is>
          <t>2026-Q2</t>
        </is>
      </c>
    </row>
    <row r="4693" ht="25.5" customHeight="1">
      <c r="A4693" t="inlineStr">
        <is>
          <t>【Sam低卡零食合集】低卡低热量燕麦曲奇 苹果干西梅干混合坚果</t>
        </is>
      </c>
      <c r="B4693" t="inlineStr">
        <is>
          <t>__upload_recvh9P0bmSdTO.jpg</t>
        </is>
      </c>
      <c r="C4693" s="2" t="str">
        <f>=HYPERLINK("https://xhslink.com/m/6Os7WLqGkN7", "https://xhslink.com/m/6Os7WLqGkN7")</f>
        <v>https://xhslink.com/m/6Os7WLqGkN7</v>
      </c>
      <c r="D4693"/>
      <c r="E4693">
        <v>8893</v>
      </c>
      <c r="F4693">
        <v>2.67</v>
      </c>
      <c r="G4693">
        <v>1.67</v>
      </c>
      <c r="H4693">
        <v>100</v>
      </c>
      <c r="I4693" t="inlineStr">
        <is>
          <t>低热量零食</t>
        </is>
      </c>
      <c r="J4693" t="inlineStr">
        <is>
          <t>0.01</t>
        </is>
      </c>
      <c r="K4693"/>
      <c r="L4693" t="inlineStr">
        <is>
          <t>小麦也家零食分装的店</t>
        </is>
      </c>
      <c r="M4693">
        <v>177000</v>
      </c>
      <c r="N4693">
        <v>4.75</v>
      </c>
      <c r="O4693">
        <v>174000</v>
      </c>
      <c r="P4693" t="inlineStr">
        <is>
          <t>69dd7090d5fb150001ae3199</t>
        </is>
      </c>
      <c r="Q4693"/>
      <c r="R4693" t="inlineStr">
        <is>
          <t>16周</t>
        </is>
      </c>
      <c r="S4693" t="inlineStr">
        <is>
          <t>0.05</t>
        </is>
      </c>
      <c r="T4693" t="inlineStr">
        <is>
          <t>美食滋补</t>
        </is>
      </c>
      <c r="U4693" t="inlineStr">
        <is>
          <t>休闲零食</t>
        </is>
      </c>
      <c r="V4693" s="3">
        <v>46130.98501157408</v>
      </c>
      <c r="W4693" t="inlineStr">
        <is>
          <t>2026-Q2</t>
        </is>
      </c>
    </row>
    <row r="4694" ht="25.5" customHeight="1">
      <c r="A4694" t="inlineStr">
        <is>
          <t>暴肌独角兽 · &lt;韧性吃全麦棒 &gt; 耐嚼磨牙解馋小钢筋营养消化饼干</t>
        </is>
      </c>
      <c r="B4694" t="inlineStr">
        <is>
          <t>__upload_recvh9P0bms9sQ.jpg</t>
        </is>
      </c>
      <c r="C4694" s="2" t="str">
        <f>=HYPERLINK("https://xhslink.com/m/BFyDJAyUMY", "https://xhslink.com/m/BFyDJAyUMY")</f>
        <v>https://xhslink.com/m/BFyDJAyUMY</v>
      </c>
      <c r="D4694"/>
      <c r="E4694">
        <v>469000</v>
      </c>
      <c r="F4694">
        <v>24.9</v>
      </c>
      <c r="G4694">
        <v>19.9</v>
      </c>
      <c r="H4694">
        <v>100</v>
      </c>
      <c r="I4694" t="inlineStr">
        <is>
          <t>低热量零食</t>
        </is>
      </c>
      <c r="J4694" t="inlineStr">
        <is>
          <t>0.00</t>
        </is>
      </c>
      <c r="K4694" t="inlineStr">
        <is>
          <t>🔥低粉爆款</t>
        </is>
      </c>
      <c r="L4694" t="inlineStr">
        <is>
          <t>暴肌独角兽旗舰店</t>
        </is>
      </c>
      <c r="M4694">
        <v>52000</v>
      </c>
      <c r="N4694">
        <v>4.48</v>
      </c>
      <c r="O4694">
        <v>1140000</v>
      </c>
      <c r="P4694" t="inlineStr">
        <is>
          <t>663dc213ed1efb00011287aa</t>
        </is>
      </c>
      <c r="Q4694" t="inlineStr">
        <is>
          <t>🚫重复</t>
        </is>
      </c>
      <c r="R4694" t="inlineStr">
        <is>
          <t>16周</t>
        </is>
      </c>
      <c r="S4694" t="inlineStr">
        <is>
          <t>9.02</t>
        </is>
      </c>
      <c r="T4694" t="inlineStr">
        <is>
          <t>美食滋补</t>
        </is>
      </c>
      <c r="U4694" t="inlineStr">
        <is>
          <t>休闲零食</t>
        </is>
      </c>
      <c r="V4694" s="3">
        <v>46130.98501157408</v>
      </c>
      <c r="W4694" t="inlineStr">
        <is>
          <t>2026-Q2</t>
        </is>
      </c>
    </row>
    <row r="4695" ht="25.5" customHeight="1">
      <c r="A4695" t="inlineStr">
        <is>
          <t>【老板疯了】零食大盲盒！从不刷评！良心做事！不满意包邮退回！</t>
        </is>
      </c>
      <c r="B4695" t="inlineStr">
        <is>
          <t>__upload_recvh9P0bmcL9m.jpg</t>
        </is>
      </c>
      <c r="C4695" s="2" t="str">
        <f>=HYPERLINK("https://xhslink.com/m/AVVjkex6ANz", "https://xhslink.com/m/AVVjkex6ANz")</f>
        <v>https://xhslink.com/m/AVVjkex6ANz</v>
      </c>
      <c r="D4695"/>
      <c r="E4695">
        <v>185000</v>
      </c>
      <c r="F4695">
        <v>9.9</v>
      </c>
      <c r="G4695"/>
      <c r="H4695">
        <v>100</v>
      </c>
      <c r="I4695" t="inlineStr">
        <is>
          <t>低热量零食</t>
        </is>
      </c>
      <c r="J4695" t="inlineStr">
        <is>
          <t>0.00</t>
        </is>
      </c>
      <c r="K4695" t="inlineStr">
        <is>
          <t>🔥低粉爆款</t>
        </is>
      </c>
      <c r="L4695" t="inlineStr">
        <is>
          <t>林幺幺食品铺子的店</t>
        </is>
      </c>
      <c r="M4695">
        <v>6335</v>
      </c>
      <c r="N4695">
        <v>4.33</v>
      </c>
      <c r="O4695">
        <v>198000</v>
      </c>
      <c r="P4695" t="inlineStr">
        <is>
          <t>686a1d6b7ec78a00018ac2c7</t>
        </is>
      </c>
      <c r="Q4695" t="inlineStr">
        <is>
          <t>🚫重复</t>
        </is>
      </c>
      <c r="R4695" t="inlineStr">
        <is>
          <t>16周</t>
        </is>
      </c>
      <c r="S4695" t="inlineStr">
        <is>
          <t>29.20</t>
        </is>
      </c>
      <c r="T4695" t="inlineStr">
        <is>
          <t>美食滋补</t>
        </is>
      </c>
      <c r="U4695" t="inlineStr">
        <is>
          <t>休闲零食</t>
        </is>
      </c>
      <c r="V4695" s="3">
        <v>46130.98501157408</v>
      </c>
      <c r="W4695" t="inlineStr">
        <is>
          <t>2026-Q2</t>
        </is>
      </c>
    </row>
    <row r="4696" ht="25.5" customHeight="1">
      <c r="A4696" t="inlineStr">
        <is>
          <t>沈小糕 · 迪拜软曲奇开心果夹心糯糯曲奇巧克力酥脆零食生巧福团h</t>
        </is>
      </c>
      <c r="B4696" t="inlineStr">
        <is>
          <t>__upload_recvh9P0bmQe0m.jpg</t>
        </is>
      </c>
      <c r="C4696" s="2" t="str">
        <f>=HYPERLINK("https://xhslink.com/m/1ekgfk0BYUp", "https://xhslink.com/m/1ekgfk0BYUp")</f>
        <v>https://xhslink.com/m/1ekgfk0BYUp</v>
      </c>
      <c r="D4696"/>
      <c r="E4696">
        <v>6410</v>
      </c>
      <c r="F4696">
        <v>49.9</v>
      </c>
      <c r="G4696"/>
      <c r="H4696">
        <v>100</v>
      </c>
      <c r="I4696" t="inlineStr">
        <is>
          <t>低热量零食</t>
        </is>
      </c>
      <c r="J4696" t="inlineStr">
        <is>
          <t>0.02</t>
        </is>
      </c>
      <c r="K4696"/>
      <c r="L4696" t="inlineStr">
        <is>
          <t>沈小糕旗舰店</t>
        </is>
      </c>
      <c r="M4696">
        <v>2810</v>
      </c>
      <c r="N4696">
        <v>4.46</v>
      </c>
      <c r="O4696">
        <v>14000</v>
      </c>
      <c r="P4696" t="inlineStr">
        <is>
          <t>69d74c46da5d200001ef36fd</t>
        </is>
      </c>
      <c r="Q4696" t="inlineStr">
        <is>
          <t>🚫重复</t>
        </is>
      </c>
      <c r="R4696" t="inlineStr">
        <is>
          <t>16周</t>
        </is>
      </c>
      <c r="S4696" t="inlineStr">
        <is>
          <t>2.28</t>
        </is>
      </c>
      <c r="T4696" t="inlineStr">
        <is>
          <t>美食滋补</t>
        </is>
      </c>
      <c r="U4696" t="inlineStr">
        <is>
          <t>休闲零食</t>
        </is>
      </c>
      <c r="V4696" s="3">
        <v>46130.98501157408</v>
      </c>
      <c r="W4696" t="inlineStr">
        <is>
          <t>2026-Q2</t>
        </is>
      </c>
    </row>
    <row r="4697" ht="25.5" customHeight="1">
      <c r="A4697" t="inlineStr">
        <is>
          <t>奇华饼家 · 红枣大米粉曲奇饼干进口零食品曲奇办公室下午茶零食送礼香港手信</t>
        </is>
      </c>
      <c r="B4697" t="inlineStr">
        <is>
          <t>__upload_recvh9P0bmG9nw.jpg</t>
        </is>
      </c>
      <c r="C4697" s="2" t="str">
        <f>=HYPERLINK("https://xhslink.com/m/8pV7XgBd8mt", "https://xhslink.com/m/8pV7XgBd8mt")</f>
        <v>https://xhslink.com/m/8pV7XgBd8mt</v>
      </c>
      <c r="D4697"/>
      <c r="E4697">
        <v>3657</v>
      </c>
      <c r="F4697">
        <v>64</v>
      </c>
      <c r="G4697">
        <v>53.8</v>
      </c>
      <c r="H4697">
        <v>100</v>
      </c>
      <c r="I4697" t="inlineStr">
        <is>
          <t>低热量零食</t>
        </is>
      </c>
      <c r="J4697" t="inlineStr">
        <is>
          <t>0.03</t>
        </is>
      </c>
      <c r="K4697"/>
      <c r="L4697" t="inlineStr">
        <is>
          <t>奇华饼家旗舰店</t>
        </is>
      </c>
      <c r="M4697">
        <v>23000</v>
      </c>
      <c r="N4697">
        <v>4.71</v>
      </c>
      <c r="O4697">
        <v>48000</v>
      </c>
      <c r="P4697" t="inlineStr">
        <is>
          <t>634e4ca15c60d00001879ee9</t>
        </is>
      </c>
      <c r="Q4697"/>
      <c r="R4697" t="inlineStr">
        <is>
          <t>16周</t>
        </is>
      </c>
      <c r="S4697" t="inlineStr">
        <is>
          <t>0.16</t>
        </is>
      </c>
      <c r="T4697" t="inlineStr">
        <is>
          <t>美食滋补</t>
        </is>
      </c>
      <c r="U4697" t="inlineStr">
        <is>
          <t>休闲零食</t>
        </is>
      </c>
      <c r="V4697" s="3">
        <v>46130.98501157408</v>
      </c>
      <c r="W4697" t="inlineStr">
        <is>
          <t>2026-Q2</t>
        </is>
      </c>
    </row>
    <row r="4698" ht="25.5" customHeight="1">
      <c r="A4698" t="inlineStr">
        <is>
          <t>千层夹心酥饼干办公室零食配料干净孕妇小朋友可食用宿舍追剧夹心</t>
        </is>
      </c>
      <c r="B4698" t="inlineStr">
        <is>
          <t>__upload_recvh9P0bm7d8L.jpg</t>
        </is>
      </c>
      <c r="C4698" s="2" t="str">
        <f>=HYPERLINK("https://xhslink.com/m/2jDstrF12sm", "https://xhslink.com/m/2jDstrF12sm")</f>
        <v>https://xhslink.com/m/2jDstrF12sm</v>
      </c>
      <c r="D4698"/>
      <c r="E4698">
        <v>53000</v>
      </c>
      <c r="F4698">
        <v>23.8</v>
      </c>
      <c r="G4698"/>
      <c r="H4698">
        <v>100</v>
      </c>
      <c r="I4698" t="inlineStr">
        <is>
          <t>低热量零食</t>
        </is>
      </c>
      <c r="J4698" t="inlineStr">
        <is>
          <t>0.00</t>
        </is>
      </c>
      <c r="K4698" t="inlineStr">
        <is>
          <t>🔥低粉爆款</t>
        </is>
      </c>
      <c r="L4698" t="inlineStr">
        <is>
          <t>零食股东的店</t>
        </is>
      </c>
      <c r="M4698">
        <v>12000</v>
      </c>
      <c r="N4698">
        <v>4.68</v>
      </c>
      <c r="O4698">
        <v>263000</v>
      </c>
      <c r="P4698" t="inlineStr">
        <is>
          <t>6852871cf89aa5000174dac6</t>
        </is>
      </c>
      <c r="Q4698" t="inlineStr">
        <is>
          <t>🚫重复</t>
        </is>
      </c>
      <c r="R4698" t="inlineStr">
        <is>
          <t>16周</t>
        </is>
      </c>
      <c r="S4698" t="inlineStr">
        <is>
          <t>4.42</t>
        </is>
      </c>
      <c r="T4698" t="inlineStr">
        <is>
          <t>美食滋补</t>
        </is>
      </c>
      <c r="U4698" t="inlineStr">
        <is>
          <t>休闲零食</t>
        </is>
      </c>
      <c r="V4698" s="3">
        <v>46130.98501157408</v>
      </c>
      <c r="W4698" t="inlineStr">
        <is>
          <t>2026-Q2</t>
        </is>
      </c>
    </row>
    <row r="4699" ht="25.5" customHeight="1">
      <c r="A4699" t="inlineStr">
        <is>
          <t>【前1000名减12】大包水果干冻干果蔬脆零食混合苹果芒果解馋</t>
        </is>
      </c>
      <c r="B4699" t="inlineStr">
        <is>
          <t>__upload_recvh9P0bmrQyy.jpg</t>
        </is>
      </c>
      <c r="C4699" s="2" t="str">
        <f>=HYPERLINK("https://xhslink.com/m/8tKoeVc4ePy", "https://xhslink.com/m/8tKoeVc4ePy")</f>
        <v>https://xhslink.com/m/8tKoeVc4ePy</v>
      </c>
      <c r="D4699"/>
      <c r="E4699">
        <v>19000</v>
      </c>
      <c r="F4699">
        <v>41.9</v>
      </c>
      <c r="G4699">
        <v>29.9</v>
      </c>
      <c r="H4699">
        <v>100</v>
      </c>
      <c r="I4699" t="inlineStr">
        <is>
          <t>低热量零食</t>
        </is>
      </c>
      <c r="J4699" t="inlineStr">
        <is>
          <t>0.01</t>
        </is>
      </c>
      <c r="K4699"/>
      <c r="L4699" t="inlineStr">
        <is>
          <t>嘎嘎嘣嘣GABONG的店</t>
        </is>
      </c>
      <c r="M4699">
        <v>11000</v>
      </c>
      <c r="N4699">
        <v>4.37</v>
      </c>
      <c r="O4699">
        <v>80000</v>
      </c>
      <c r="P4699" t="inlineStr">
        <is>
          <t>6975d7b8b828e40001e74cb2</t>
        </is>
      </c>
      <c r="Q4699" t="inlineStr">
        <is>
          <t>🚫重复</t>
        </is>
      </c>
      <c r="R4699" t="inlineStr">
        <is>
          <t>16周</t>
        </is>
      </c>
      <c r="S4699" t="inlineStr">
        <is>
          <t>1.73</t>
        </is>
      </c>
      <c r="T4699" t="inlineStr">
        <is>
          <t>美食滋补</t>
        </is>
      </c>
      <c r="U4699" t="inlineStr">
        <is>
          <t>休闲零食</t>
        </is>
      </c>
      <c r="V4699" s="3">
        <v>46130.98501157408</v>
      </c>
      <c r="W4699" t="inlineStr">
        <is>
          <t>2026-Q2</t>
        </is>
      </c>
    </row>
    <row r="4700" ht="25.5" customHeight="1">
      <c r="A4700" t="inlineStr">
        <is>
          <t>可露丽尝鲜版 3只装组合（原味/香草/伯爵红茶）减糖版</t>
        </is>
      </c>
      <c r="B4700" t="inlineStr">
        <is>
          <t>__upload_recvh9P0bmANIT.jpg</t>
        </is>
      </c>
      <c r="C4700" s="2" t="str">
        <f>=HYPERLINK("https://xhslink.com/m/3ICATKaajuD", "https://xhslink.com/m/3ICATKaajuD")</f>
        <v>https://xhslink.com/m/3ICATKaajuD</v>
      </c>
      <c r="D4700"/>
      <c r="E4700">
        <v>54000</v>
      </c>
      <c r="F4700">
        <v>19.99</v>
      </c>
      <c r="G4700">
        <v>17.99</v>
      </c>
      <c r="H4700">
        <v>100</v>
      </c>
      <c r="I4700" t="inlineStr">
        <is>
          <t>低热量零食</t>
        </is>
      </c>
      <c r="J4700" t="inlineStr">
        <is>
          <t>0.00</t>
        </is>
      </c>
      <c r="K4700" t="inlineStr">
        <is>
          <t>🔥低粉爆款</t>
        </is>
      </c>
      <c r="L4700" t="inlineStr">
        <is>
          <t>橘芷可露丽的店</t>
        </is>
      </c>
      <c r="M4700">
        <v>10000</v>
      </c>
      <c r="N4700">
        <v>4.56</v>
      </c>
      <c r="O4700">
        <v>85000</v>
      </c>
      <c r="P4700" t="inlineStr">
        <is>
          <t>66c761375c80460001c6ca9d</t>
        </is>
      </c>
      <c r="Q4700"/>
      <c r="R4700" t="inlineStr">
        <is>
          <t>16周</t>
        </is>
      </c>
      <c r="S4700" t="inlineStr">
        <is>
          <t>5.40</t>
        </is>
      </c>
      <c r="T4700" t="inlineStr">
        <is>
          <t>美食滋补</t>
        </is>
      </c>
      <c r="U4700" t="inlineStr">
        <is>
          <t>休闲零食</t>
        </is>
      </c>
      <c r="V4700" s="3">
        <v>46130.98501157408</v>
      </c>
      <c r="W4700" t="inlineStr">
        <is>
          <t>2026-Q2</t>
        </is>
      </c>
    </row>
    <row r="4701" ht="25.5" customHeight="1">
      <c r="A4701" t="inlineStr">
        <is>
          <t>久抹手作中式风抹茶碱水棒代餐贝果吐司面包</t>
        </is>
      </c>
      <c r="B4701" t="inlineStr">
        <is>
          <t>__upload_recvh9P0bmNukW.jpg</t>
        </is>
      </c>
      <c r="C4701" s="2" t="str">
        <f>=HYPERLINK("https://xhslink.com/m/64pBeFUS9PB", "https://xhslink.com/m/64pBeFUS9PB")</f>
        <v>https://xhslink.com/m/64pBeFUS9PB</v>
      </c>
      <c r="D4701"/>
      <c r="E4701">
        <v>10000</v>
      </c>
      <c r="F4701">
        <v>55</v>
      </c>
      <c r="G4701"/>
      <c r="H4701">
        <v>100</v>
      </c>
      <c r="I4701" t="inlineStr">
        <is>
          <t>低热量零食</t>
        </is>
      </c>
      <c r="J4701" t="inlineStr">
        <is>
          <t>0.01</t>
        </is>
      </c>
      <c r="K4701"/>
      <c r="L4701" t="inlineStr">
        <is>
          <t>久抹的店</t>
        </is>
      </c>
      <c r="M4701">
        <v>69000</v>
      </c>
      <c r="N4701">
        <v>4.67</v>
      </c>
      <c r="O4701">
        <v>367000</v>
      </c>
      <c r="P4701" t="inlineStr">
        <is>
          <t>69de24f4caa21f0001e03c6c</t>
        </is>
      </c>
      <c r="Q4701"/>
      <c r="R4701" t="inlineStr">
        <is>
          <t>16周</t>
        </is>
      </c>
      <c r="S4701" t="inlineStr">
        <is>
          <t>0.14</t>
        </is>
      </c>
      <c r="T4701" t="inlineStr">
        <is>
          <t>美食滋补</t>
        </is>
      </c>
      <c r="U4701" t="inlineStr">
        <is>
          <t>休闲零食</t>
        </is>
      </c>
      <c r="V4701" s="3">
        <v>46130.98501157408</v>
      </c>
      <c r="W4701" t="inlineStr">
        <is>
          <t>2026-Q2</t>
        </is>
      </c>
    </row>
    <row r="4702" ht="25.5" customHeight="1">
      <c r="A4702" t="inlineStr">
        <is>
          <t>年终大促鲜小播MCT巧克力冰山熔岩健康饱腹纯可脂丝滑健康零食</t>
        </is>
      </c>
      <c r="B4702" t="inlineStr">
        <is>
          <t>__upload_recvh9P0bmSN1x.jpg</t>
        </is>
      </c>
      <c r="C4702" s="2" t="str">
        <f>=HYPERLINK("https://xhslink.com/m/QNnmCs0DBB", "https://xhslink.com/m/QNnmCs0DBB")</f>
        <v>https://xhslink.com/m/QNnmCs0DBB</v>
      </c>
      <c r="D4702"/>
      <c r="E4702">
        <v>9535</v>
      </c>
      <c r="F4702">
        <v>29.9</v>
      </c>
      <c r="G4702">
        <v>19.9</v>
      </c>
      <c r="H4702">
        <v>100</v>
      </c>
      <c r="I4702" t="inlineStr">
        <is>
          <t>低热量零食</t>
        </is>
      </c>
      <c r="J4702" t="inlineStr">
        <is>
          <t>0.01</t>
        </is>
      </c>
      <c r="K4702"/>
      <c r="L4702" t="inlineStr">
        <is>
          <t>檬檬的小铺子的店</t>
        </is>
      </c>
      <c r="M4702">
        <v>50000</v>
      </c>
      <c r="N4702">
        <v>4.52</v>
      </c>
      <c r="O4702">
        <v>212000</v>
      </c>
      <c r="P4702" t="inlineStr">
        <is>
          <t>68b95c59a50cd90001454562</t>
        </is>
      </c>
      <c r="Q4702"/>
      <c r="R4702" t="inlineStr">
        <is>
          <t>16周</t>
        </is>
      </c>
      <c r="S4702" t="inlineStr">
        <is>
          <t>0.19</t>
        </is>
      </c>
      <c r="T4702" t="inlineStr">
        <is>
          <t>美食滋补</t>
        </is>
      </c>
      <c r="U4702" t="inlineStr">
        <is>
          <t>休闲零食</t>
        </is>
      </c>
      <c r="V4702" s="3">
        <v>46130.98501157408</v>
      </c>
      <c r="W4702" t="inlineStr">
        <is>
          <t>2026-Q2</t>
        </is>
      </c>
    </row>
    <row r="4703" ht="25.5" customHeight="1">
      <c r="A4703" t="inlineStr">
        <is>
          <t>平野村 · 千层条礼盒7口味泰式咸法酪抹茶开心果奥巧生酪拿铁榴莲下午茶</t>
        </is>
      </c>
      <c r="B4703" t="inlineStr">
        <is>
          <t>__upload_recvh9P0bmn94S.jpg</t>
        </is>
      </c>
      <c r="C4703" s="2" t="str">
        <f>=HYPERLINK("https://xhslink.com/m/6SC6usCZBpo", "https://xhslink.com/m/6SC6usCZBpo")</f>
        <v>https://xhslink.com/m/6SC6usCZBpo</v>
      </c>
      <c r="D4703"/>
      <c r="E4703">
        <v>938</v>
      </c>
      <c r="F4703">
        <v>69.9</v>
      </c>
      <c r="G4703"/>
      <c r="H4703">
        <v>100</v>
      </c>
      <c r="I4703" t="inlineStr">
        <is>
          <t>低热量零食</t>
        </is>
      </c>
      <c r="J4703" t="inlineStr">
        <is>
          <t>0.11</t>
        </is>
      </c>
      <c r="K4703"/>
      <c r="L4703" t="inlineStr">
        <is>
          <t>平野村旗舰店</t>
        </is>
      </c>
      <c r="M4703">
        <v>74000</v>
      </c>
      <c r="N4703">
        <v>4.59</v>
      </c>
      <c r="O4703">
        <v>202000</v>
      </c>
      <c r="P4703" t="inlineStr">
        <is>
          <t>6964692ff7aaae0001daa69f</t>
        </is>
      </c>
      <c r="Q4703"/>
      <c r="R4703" t="inlineStr">
        <is>
          <t>16周</t>
        </is>
      </c>
      <c r="S4703" t="inlineStr">
        <is>
          <t>0.01</t>
        </is>
      </c>
      <c r="T4703" t="inlineStr">
        <is>
          <t>美食滋补</t>
        </is>
      </c>
      <c r="U4703" t="inlineStr">
        <is>
          <t>生鲜特产</t>
        </is>
      </c>
      <c r="V4703" s="3">
        <v>46130.98501157408</v>
      </c>
      <c r="W4703" t="inlineStr">
        <is>
          <t>2026-Q2</t>
        </is>
      </c>
    </row>
    <row r="4704" ht="25.5" customHeight="1">
      <c r="A4704" t="inlineStr">
        <is>
          <t>一号农场 · 羽衣甘蓝彩虹什蔬混合沙拉菜新鲜脆嫩即食免洗漂亮饭健身轻食代餐</t>
        </is>
      </c>
      <c r="B4704" t="inlineStr">
        <is>
          <t>__upload_recvh9P0bmXecF.jpg</t>
        </is>
      </c>
      <c r="C4704" s="2" t="str">
        <f>=HYPERLINK("https://xhslink.com/m/57Gzzgx2AWi", "https://xhslink.com/m/57Gzzgx2AWi")</f>
        <v>https://xhslink.com/m/57Gzzgx2AWi</v>
      </c>
      <c r="D4704"/>
      <c r="E4704">
        <v>22000</v>
      </c>
      <c r="F4704">
        <v>43.8</v>
      </c>
      <c r="G4704">
        <v>21.9</v>
      </c>
      <c r="H4704">
        <v>100</v>
      </c>
      <c r="I4704" t="inlineStr">
        <is>
          <t>低热量零食</t>
        </is>
      </c>
      <c r="J4704" t="inlineStr">
        <is>
          <t>0.00</t>
        </is>
      </c>
      <c r="K4704"/>
      <c r="L4704" t="inlineStr">
        <is>
          <t>一号农场旗舰店</t>
        </is>
      </c>
      <c r="M4704">
        <v>274000</v>
      </c>
      <c r="N4704">
        <v>4.63</v>
      </c>
      <c r="O4704">
        <v>233000</v>
      </c>
      <c r="P4704" t="inlineStr">
        <is>
          <t>6909c1f9e379430001dd92df</t>
        </is>
      </c>
      <c r="Q4704" t="inlineStr">
        <is>
          <t>🚫重复</t>
        </is>
      </c>
      <c r="R4704" t="inlineStr">
        <is>
          <t>16周</t>
        </is>
      </c>
      <c r="S4704" t="inlineStr">
        <is>
          <t>0.08</t>
        </is>
      </c>
      <c r="T4704" t="inlineStr">
        <is>
          <t>美食滋补</t>
        </is>
      </c>
      <c r="U4704" t="inlineStr">
        <is>
          <t>休闲零食</t>
        </is>
      </c>
      <c r="V4704" s="3">
        <v>46130.98501157408</v>
      </c>
      <c r="W4704" t="inlineStr">
        <is>
          <t>2026-Q2</t>
        </is>
      </c>
    </row>
    <row r="4705" ht="25.5" customHeight="1">
      <c r="A4705" t="inlineStr">
        <is>
          <t>全网独家首创法芙娜奥巧脆珠珠无坚果抹茶双响炮手工雪花酥</t>
        </is>
      </c>
      <c r="B4705" t="inlineStr">
        <is>
          <t>__upload_recvh9P0bm2Jgj.jpg</t>
        </is>
      </c>
      <c r="C4705" s="2" t="str">
        <f>=HYPERLINK("https://xhslink.com/m/1cIMHnGB3tR", "https://xhslink.com/m/1cIMHnGB3tR")</f>
        <v>https://xhslink.com/m/1cIMHnGB3tR</v>
      </c>
      <c r="D4705"/>
      <c r="E4705">
        <v>55000</v>
      </c>
      <c r="F4705">
        <v>78.8</v>
      </c>
      <c r="G4705"/>
      <c r="H4705">
        <v>100</v>
      </c>
      <c r="I4705" t="inlineStr">
        <is>
          <t>低热量零食</t>
        </is>
      </c>
      <c r="J4705" t="inlineStr">
        <is>
          <t>0.00</t>
        </is>
      </c>
      <c r="K4705"/>
      <c r="L4705" t="inlineStr">
        <is>
          <t>安诺手作的店</t>
        </is>
      </c>
      <c r="M4705">
        <v>85000</v>
      </c>
      <c r="N4705">
        <v>4.63</v>
      </c>
      <c r="O4705">
        <v>197000</v>
      </c>
      <c r="P4705" t="inlineStr">
        <is>
          <t>68fb6079ad046d000198899d</t>
        </is>
      </c>
      <c r="Q4705" t="inlineStr">
        <is>
          <t>🚫重复</t>
        </is>
      </c>
      <c r="R4705" t="inlineStr">
        <is>
          <t>16周</t>
        </is>
      </c>
      <c r="S4705" t="inlineStr">
        <is>
          <t>0.65</t>
        </is>
      </c>
      <c r="T4705" t="inlineStr">
        <is>
          <t>美食滋补</t>
        </is>
      </c>
      <c r="U4705" t="inlineStr">
        <is>
          <t>休闲零食</t>
        </is>
      </c>
      <c r="V4705" s="3">
        <v>46130.98501157408</v>
      </c>
      <c r="W4705" t="inlineStr">
        <is>
          <t>2026-Q2</t>
        </is>
      </c>
    </row>
    <row r="4706" ht="25.5" customHeight="1">
      <c r="A4706" t="inlineStr">
        <is>
          <t>太牛的奶希腊酸奶 干噎乐扣盒子（净含量300克）</t>
        </is>
      </c>
      <c r="B4706" t="inlineStr">
        <is>
          <t>__upload_recvh9P0bm0Pbi.jpg</t>
        </is>
      </c>
      <c r="C4706" s="2" t="str">
        <f>=HYPERLINK("https://xhslink.com/m/6LGKK7t0gT5", "https://xhslink.com/m/6LGKK7t0gT5")</f>
        <v>https://xhslink.com/m/6LGKK7t0gT5</v>
      </c>
      <c r="D4706"/>
      <c r="E4706">
        <v>67000</v>
      </c>
      <c r="F4706">
        <v>38</v>
      </c>
      <c r="G4706">
        <v>27</v>
      </c>
      <c r="H4706">
        <v>100</v>
      </c>
      <c r="I4706" t="inlineStr">
        <is>
          <t>低热量零食</t>
        </is>
      </c>
      <c r="J4706" t="inlineStr">
        <is>
          <t>0.00</t>
        </is>
      </c>
      <c r="K4706"/>
      <c r="L4706" t="inlineStr">
        <is>
          <t>太牛的奶的店</t>
        </is>
      </c>
      <c r="M4706">
        <v>45000</v>
      </c>
      <c r="N4706">
        <v>4.39</v>
      </c>
      <c r="O4706">
        <v>116000</v>
      </c>
      <c r="P4706" t="inlineStr">
        <is>
          <t>66e11d655403cb0001ea029f</t>
        </is>
      </c>
      <c r="Q4706" t="inlineStr">
        <is>
          <t>🚫重复</t>
        </is>
      </c>
      <c r="R4706" t="inlineStr">
        <is>
          <t>16周</t>
        </is>
      </c>
      <c r="S4706" t="inlineStr">
        <is>
          <t>1.49</t>
        </is>
      </c>
      <c r="T4706" t="inlineStr">
        <is>
          <t>美食滋补</t>
        </is>
      </c>
      <c r="U4706" t="inlineStr">
        <is>
          <t>酒水冲饮</t>
        </is>
      </c>
      <c r="V4706" s="3">
        <v>46130.98501157408</v>
      </c>
      <c r="W4706" t="inlineStr">
        <is>
          <t>2026-Q2</t>
        </is>
      </c>
    </row>
    <row r="4707" ht="25.5" customHeight="1">
      <c r="A4707" t="inlineStr">
        <is>
          <t>【顺丰空运】新疆特产民族糕点 民忠甜心店纯手工制作 现做现发</t>
        </is>
      </c>
      <c r="B4707" t="inlineStr">
        <is>
          <t>__upload_recvh9P0bmJpiF.jpg</t>
        </is>
      </c>
      <c r="C4707" s="2" t="str">
        <f>=HYPERLINK("https://xhslink.com/m/38mDVfVGpWM", "https://xhslink.com/m/38mDVfVGpWM")</f>
        <v>https://xhslink.com/m/38mDVfVGpWM</v>
      </c>
      <c r="D4707"/>
      <c r="E4707">
        <v>10000</v>
      </c>
      <c r="F4707">
        <v>58</v>
      </c>
      <c r="G4707"/>
      <c r="H4707">
        <v>100</v>
      </c>
      <c r="I4707" t="inlineStr">
        <is>
          <t>低热量零食</t>
        </is>
      </c>
      <c r="J4707" t="inlineStr">
        <is>
          <t>0.01</t>
        </is>
      </c>
      <c r="K4707" t="inlineStr">
        <is>
          <t>🔥低粉爆款</t>
        </is>
      </c>
      <c r="L4707" t="inlineStr">
        <is>
          <t>锦汇麟爱吃张张包的店的店</t>
        </is>
      </c>
      <c r="M4707">
        <v>1478</v>
      </c>
      <c r="N4707">
        <v>4.36</v>
      </c>
      <c r="O4707">
        <v>12000</v>
      </c>
      <c r="P4707" t="inlineStr">
        <is>
          <t>68622aba7590770001101494</t>
        </is>
      </c>
      <c r="Q4707"/>
      <c r="R4707" t="inlineStr">
        <is>
          <t>16周</t>
        </is>
      </c>
      <c r="S4707" t="inlineStr">
        <is>
          <t>6.77</t>
        </is>
      </c>
      <c r="T4707" t="inlineStr">
        <is>
          <t>美食滋补</t>
        </is>
      </c>
      <c r="U4707" t="inlineStr">
        <is>
          <t>休闲零食</t>
        </is>
      </c>
      <c r="V4707" s="3">
        <v>46130.98501157408</v>
      </c>
      <c r="W4707" t="inlineStr">
        <is>
          <t>2026-Q2</t>
        </is>
      </c>
    </row>
    <row r="4708" ht="25.5" customHeight="1">
      <c r="A4708" t="inlineStr">
        <is>
          <t>盒界 · 瞬抗饿牛肉肠齐鲁号高饱腹开袋即食独立装早餐代餐香肠</t>
        </is>
      </c>
      <c r="B4708" t="inlineStr">
        <is>
          <t>__upload_recvh9P0bmk9yS.jpg</t>
        </is>
      </c>
      <c r="C4708" s="2" t="str">
        <f>=HYPERLINK("https://xhslink.com/m/2qWLNRqf5RE", "https://xhslink.com/m/2qWLNRqf5RE")</f>
        <v>https://xhslink.com/m/2qWLNRqf5RE</v>
      </c>
      <c r="D4708"/>
      <c r="E4708">
        <v>73000</v>
      </c>
      <c r="F4708">
        <v>29.9</v>
      </c>
      <c r="G4708"/>
      <c r="H4708">
        <v>100</v>
      </c>
      <c r="I4708" t="inlineStr">
        <is>
          <t>低热量零食</t>
        </is>
      </c>
      <c r="J4708" t="inlineStr">
        <is>
          <t>0.00</t>
        </is>
      </c>
      <c r="K4708"/>
      <c r="L4708" t="inlineStr">
        <is>
          <t>盒界生鲜旗舰店</t>
        </is>
      </c>
      <c r="M4708">
        <v>70000</v>
      </c>
      <c r="N4708">
        <v>4.56</v>
      </c>
      <c r="O4708">
        <v>382000</v>
      </c>
      <c r="P4708" t="inlineStr">
        <is>
          <t>69859896eb0d9a00011f97b8</t>
        </is>
      </c>
      <c r="Q4708" t="inlineStr">
        <is>
          <t>🚫重复</t>
        </is>
      </c>
      <c r="R4708" t="inlineStr">
        <is>
          <t>16周</t>
        </is>
      </c>
      <c r="S4708" t="inlineStr">
        <is>
          <t>1.04</t>
        </is>
      </c>
      <c r="T4708" t="inlineStr">
        <is>
          <t>美食滋补</t>
        </is>
      </c>
      <c r="U4708" t="inlineStr">
        <is>
          <t>休闲零食</t>
        </is>
      </c>
      <c r="V4708" s="3">
        <v>46130.98501157408</v>
      </c>
      <c r="W4708" t="inlineStr">
        <is>
          <t>2026-Q2</t>
        </is>
      </c>
    </row>
    <row r="4709" ht="25.5" customHeight="1">
      <c r="A4709" t="inlineStr">
        <is>
          <t>苏农科JAAS · 农科院的酸甜金杏干 孕妇零食杏脯果干果脯</t>
        </is>
      </c>
      <c r="B4709" t="inlineStr">
        <is>
          <t>__upload_recvh9P0bmrryH.jpg</t>
        </is>
      </c>
      <c r="C4709" s="2" t="str">
        <f>=HYPERLINK("https://xhslink.com/m/620QdY9qJ9B", "https://xhslink.com/m/620QdY9qJ9B")</f>
        <v>https://xhslink.com/m/620QdY9qJ9B</v>
      </c>
      <c r="D4709"/>
      <c r="E4709">
        <v>94000</v>
      </c>
      <c r="F4709">
        <v>89.8</v>
      </c>
      <c r="G4709">
        <v>69.8</v>
      </c>
      <c r="H4709">
        <v>100</v>
      </c>
      <c r="I4709" t="inlineStr">
        <is>
          <t>低热量零食</t>
        </is>
      </c>
      <c r="J4709" t="inlineStr">
        <is>
          <t>0.00</t>
        </is>
      </c>
      <c r="K4709"/>
      <c r="L4709" t="inlineStr">
        <is>
          <t>苏农科JAAS的店</t>
        </is>
      </c>
      <c r="M4709">
        <v>137000</v>
      </c>
      <c r="N4709">
        <v>4.67</v>
      </c>
      <c r="O4709">
        <v>556000</v>
      </c>
      <c r="P4709" t="inlineStr">
        <is>
          <t>669c675d13a21f0001830a30</t>
        </is>
      </c>
      <c r="Q4709" t="inlineStr">
        <is>
          <t>🚫重复</t>
        </is>
      </c>
      <c r="R4709" t="inlineStr">
        <is>
          <t>16周</t>
        </is>
      </c>
      <c r="S4709" t="inlineStr">
        <is>
          <t>0.69</t>
        </is>
      </c>
      <c r="T4709" t="inlineStr">
        <is>
          <t>美食滋补</t>
        </is>
      </c>
      <c r="U4709" t="inlineStr">
        <is>
          <t>休闲零食</t>
        </is>
      </c>
      <c r="V4709" s="3">
        <v>46130.98501157408</v>
      </c>
      <c r="W4709" t="inlineStr">
        <is>
          <t>2026-Q2</t>
        </is>
      </c>
    </row>
    <row r="4710" ht="25.5" customHeight="1">
      <c r="A4710" t="inlineStr">
        <is>
          <t>札萨 · 【4.13囤货】辣子鸡香辣味芥末味蒜香牛脆片500g大袋装！非桶装！</t>
        </is>
      </c>
      <c r="B4710" t="inlineStr">
        <is>
          <t>__upload_recvh9P0bm0SFD.jpg</t>
        </is>
      </c>
      <c r="C4710" s="2" t="str">
        <f>=HYPERLINK("https://xhslink.com/m/9P9INjzKwK5", "https://xhslink.com/m/9P9INjzKwK5")</f>
        <v>https://xhslink.com/m/9P9INjzKwK5</v>
      </c>
      <c r="D4710"/>
      <c r="E4710">
        <v>6384</v>
      </c>
      <c r="F4710">
        <v>299.8</v>
      </c>
      <c r="G4710"/>
      <c r="H4710">
        <v>100</v>
      </c>
      <c r="I4710" t="inlineStr">
        <is>
          <t>低热量零食</t>
        </is>
      </c>
      <c r="J4710" t="inlineStr">
        <is>
          <t>0.02</t>
        </is>
      </c>
      <c r="K4710"/>
      <c r="L4710" t="inlineStr">
        <is>
          <t>札萨旗舰店</t>
        </is>
      </c>
      <c r="M4710">
        <v>123000</v>
      </c>
      <c r="N4710">
        <v>4.57</v>
      </c>
      <c r="O4710">
        <v>1406000</v>
      </c>
      <c r="P4710" t="inlineStr">
        <is>
          <t>6763d7945677c9000127278d</t>
        </is>
      </c>
      <c r="Q4710" t="inlineStr">
        <is>
          <t>🚫重复</t>
        </is>
      </c>
      <c r="R4710" t="inlineStr">
        <is>
          <t>16周</t>
        </is>
      </c>
      <c r="S4710" t="inlineStr">
        <is>
          <t>0.05</t>
        </is>
      </c>
      <c r="T4710" t="inlineStr">
        <is>
          <t>美食滋补</t>
        </is>
      </c>
      <c r="U4710" t="inlineStr">
        <is>
          <t>休闲零食</t>
        </is>
      </c>
      <c r="V4710" s="3">
        <v>46130.98501157408</v>
      </c>
      <c r="W4710" t="inlineStr">
        <is>
          <t>2026-Q2</t>
        </is>
      </c>
    </row>
    <row r="4711" ht="25.5" customHeight="1">
      <c r="A4711" t="inlineStr">
        <is>
          <t>桂味联 · 顺丰包邮国企肉联厂100%纯猪肉肠火山石烤肠脆皮黑椒芋头味香肠</t>
        </is>
      </c>
      <c r="B4711" t="inlineStr">
        <is>
          <t>__upload_recvh9P0bmutjM.jpg</t>
        </is>
      </c>
      <c r="C4711" s="2" t="str">
        <f>=HYPERLINK("https://xhslink.com/m/8Ks9GXKm5kL", "https://xhslink.com/m/8Ks9GXKm5kL")</f>
        <v>https://xhslink.com/m/8Ks9GXKm5kL</v>
      </c>
      <c r="D4711"/>
      <c r="E4711">
        <v>29000</v>
      </c>
      <c r="F4711">
        <v>35.6</v>
      </c>
      <c r="G4711">
        <v>33.6</v>
      </c>
      <c r="H4711">
        <v>100</v>
      </c>
      <c r="I4711" t="inlineStr">
        <is>
          <t>低热量零食</t>
        </is>
      </c>
      <c r="J4711" t="inlineStr">
        <is>
          <t>0.00</t>
        </is>
      </c>
      <c r="K4711" t="inlineStr">
        <is>
          <t>🔥低粉爆款</t>
        </is>
      </c>
      <c r="L4711" t="inlineStr">
        <is>
          <t>桂味联食品的店</t>
        </is>
      </c>
      <c r="M4711">
        <v>2843</v>
      </c>
      <c r="N4711">
        <v>4.66</v>
      </c>
      <c r="O4711">
        <v>29000</v>
      </c>
      <c r="P4711" t="inlineStr">
        <is>
          <t>686bb7ac0bb4080001357876</t>
        </is>
      </c>
      <c r="Q4711"/>
      <c r="R4711" t="inlineStr">
        <is>
          <t>16周</t>
        </is>
      </c>
      <c r="S4711" t="inlineStr">
        <is>
          <t>10.20</t>
        </is>
      </c>
      <c r="T4711" t="inlineStr">
        <is>
          <t>美食滋补</t>
        </is>
      </c>
      <c r="U4711" t="inlineStr">
        <is>
          <t>休闲零食</t>
        </is>
      </c>
      <c r="V4711" s="3">
        <v>46130.98501157408</v>
      </c>
      <c r="W4711" t="inlineStr">
        <is>
          <t>2026-Q2</t>
        </is>
      </c>
    </row>
    <row r="4712" ht="25.5" customHeight="1">
      <c r="A4712" t="inlineStr">
        <is>
          <t>【顺丰包邮】丹东泰式无皮虾鲜活味道开背生呛虾生腌虾即食零食</t>
        </is>
      </c>
      <c r="B4712" t="inlineStr">
        <is>
          <t>__upload_recvh9P0bmNdPE.jpg</t>
        </is>
      </c>
      <c r="C4712" s="2" t="str">
        <f>=HYPERLINK("https://xhslink.com/m/52vPkyu7Tkk", "https://xhslink.com/m/52vPkyu7Tkk")</f>
        <v>https://xhslink.com/m/52vPkyu7Tkk</v>
      </c>
      <c r="D4712"/>
      <c r="E4712">
        <v>13000</v>
      </c>
      <c r="F4712">
        <v>128</v>
      </c>
      <c r="G4712">
        <v>78</v>
      </c>
      <c r="H4712">
        <v>100</v>
      </c>
      <c r="I4712" t="inlineStr">
        <is>
          <t>低热量零食</t>
        </is>
      </c>
      <c r="J4712" t="inlineStr">
        <is>
          <t>0.01</t>
        </is>
      </c>
      <c r="K4712" t="inlineStr">
        <is>
          <t>🔥低粉爆款</t>
        </is>
      </c>
      <c r="L4712" t="inlineStr">
        <is>
          <t>贡捞海鲜码头的店</t>
        </is>
      </c>
      <c r="M4712">
        <v>2490</v>
      </c>
      <c r="N4712">
        <v>4.57</v>
      </c>
      <c r="O4712">
        <v>24000</v>
      </c>
      <c r="P4712" t="inlineStr">
        <is>
          <t>67f0a6305d35ce000193e11d</t>
        </is>
      </c>
      <c r="Q4712" t="inlineStr">
        <is>
          <t>🚫重复</t>
        </is>
      </c>
      <c r="R4712" t="inlineStr">
        <is>
          <t>16周</t>
        </is>
      </c>
      <c r="S4712" t="inlineStr">
        <is>
          <t>5.22</t>
        </is>
      </c>
      <c r="T4712" t="inlineStr">
        <is>
          <t>美食滋补</t>
        </is>
      </c>
      <c r="U4712" t="inlineStr">
        <is>
          <t>休闲零食</t>
        </is>
      </c>
      <c r="V4712" s="3">
        <v>46130.98501157408</v>
      </c>
      <c r="W4712" t="inlineStr">
        <is>
          <t>2026-Q2</t>
        </is>
      </c>
    </row>
    <row r="4713" ht="25.5" customHeight="1">
      <c r="A4713" t="inlineStr">
        <is>
          <t>冷萃千层铁盒 小花家</t>
        </is>
      </c>
      <c r="B4713" t="inlineStr">
        <is>
          <t>__upload_recvh9P0bmwDXD.jpg</t>
        </is>
      </c>
      <c r="C4713" s="2" t="str">
        <f>=HYPERLINK("https://xhslink.com/m/8TCzQLBXfsw", "https://xhslink.com/m/8TCzQLBXfsw")</f>
        <v>https://xhslink.com/m/8TCzQLBXfsw</v>
      </c>
      <c r="D4713"/>
      <c r="E4713">
        <v>3296</v>
      </c>
      <c r="F4713">
        <v>49.9</v>
      </c>
      <c r="G4713"/>
      <c r="H4713">
        <v>100</v>
      </c>
      <c r="I4713" t="inlineStr">
        <is>
          <t>低热量零食</t>
        </is>
      </c>
      <c r="J4713" t="inlineStr">
        <is>
          <t>0.03</t>
        </is>
      </c>
      <c r="K4713" t="inlineStr">
        <is>
          <t>🔥低粉爆款</t>
        </is>
      </c>
      <c r="L4713" t="inlineStr">
        <is>
          <t>桃囍小花2的店</t>
        </is>
      </c>
      <c r="M4713">
        <v>118</v>
      </c>
      <c r="N4713">
        <v>4.49</v>
      </c>
      <c r="O4713">
        <v>10000</v>
      </c>
      <c r="P4713" t="inlineStr">
        <is>
          <t>699021d52080aa0001597e2c</t>
        </is>
      </c>
      <c r="Q4713"/>
      <c r="R4713" t="inlineStr">
        <is>
          <t>16周</t>
        </is>
      </c>
      <c r="S4713" t="inlineStr">
        <is>
          <t>27.93</t>
        </is>
      </c>
      <c r="T4713" t="inlineStr">
        <is>
          <t>美食滋补</t>
        </is>
      </c>
      <c r="U4713" t="inlineStr">
        <is>
          <t>休闲零食</t>
        </is>
      </c>
      <c r="V4713" s="3">
        <v>46130.98501157408</v>
      </c>
      <c r="W4713" t="inlineStr">
        <is>
          <t>2026-Q2</t>
        </is>
      </c>
    </row>
    <row r="4714" ht="25.5" customHeight="1">
      <c r="A4714" t="inlineStr">
        <is>
          <t>【中通快递！蒸款青团】纯手工青汁青团咸甜60g/个 收到需要加热</t>
        </is>
      </c>
      <c r="B4714" t="inlineStr">
        <is>
          <t>__upload_recvh9P0bmHOiK.jpg</t>
        </is>
      </c>
      <c r="C4714" s="2" t="str">
        <f>=HYPERLINK("https://xhslink.com/m/7dHVO4AALIX", "https://xhslink.com/m/7dHVO4AALIX")</f>
        <v>https://xhslink.com/m/7dHVO4AALIX</v>
      </c>
      <c r="D4714"/>
      <c r="E4714">
        <v>20000</v>
      </c>
      <c r="F4714">
        <v>35</v>
      </c>
      <c r="G4714"/>
      <c r="H4714">
        <v>100</v>
      </c>
      <c r="I4714" t="inlineStr">
        <is>
          <t>低热量零食</t>
        </is>
      </c>
      <c r="J4714" t="inlineStr">
        <is>
          <t>0.01</t>
        </is>
      </c>
      <c r="K4714" t="inlineStr">
        <is>
          <t>🔥低粉爆款</t>
        </is>
      </c>
      <c r="L4714" t="inlineStr">
        <is>
          <t>吃奥不吃利的店</t>
        </is>
      </c>
      <c r="M4714">
        <v>5730</v>
      </c>
      <c r="N4714">
        <v>4.43</v>
      </c>
      <c r="O4714">
        <v>42000</v>
      </c>
      <c r="P4714" t="inlineStr">
        <is>
          <t>67d03ee35339580001c859cf</t>
        </is>
      </c>
      <c r="Q4714"/>
      <c r="R4714" t="inlineStr">
        <is>
          <t>16周</t>
        </is>
      </c>
      <c r="S4714" t="inlineStr">
        <is>
          <t>3.49</t>
        </is>
      </c>
      <c r="T4714" t="inlineStr">
        <is>
          <t>美食滋补</t>
        </is>
      </c>
      <c r="U4714" t="inlineStr">
        <is>
          <t>休闲零食</t>
        </is>
      </c>
      <c r="V4714" s="3">
        <v>46130.98501157408</v>
      </c>
      <c r="W4714" t="inlineStr">
        <is>
          <t>2026-Q2</t>
        </is>
      </c>
    </row>
    <row r="4715" ht="25.5" customHeight="1">
      <c r="A4715" t="inlineStr">
        <is>
          <t>遂香记 · 艾草青团纯手工自制传统清明粿浙江特产糕点米果团子新鲜现做</t>
        </is>
      </c>
      <c r="B4715" t="inlineStr">
        <is>
          <t>__upload_recvh9P0bm8NpG.jpg</t>
        </is>
      </c>
      <c r="C4715" s="2" t="str">
        <f>=HYPERLINK("https://xhslink.com/m/58P2MhADxwN", "https://xhslink.com/m/58P2MhADxwN")</f>
        <v>https://xhslink.com/m/58P2MhADxwN</v>
      </c>
      <c r="D4715"/>
      <c r="E4715">
        <v>25000</v>
      </c>
      <c r="F4715">
        <v>59.8</v>
      </c>
      <c r="G4715"/>
      <c r="H4715">
        <v>100</v>
      </c>
      <c r="I4715" t="inlineStr">
        <is>
          <t>低热量零食</t>
        </is>
      </c>
      <c r="J4715" t="inlineStr">
        <is>
          <t>0.00</t>
        </is>
      </c>
      <c r="K4715"/>
      <c r="L4715" t="inlineStr">
        <is>
          <t>遂香记的店</t>
        </is>
      </c>
      <c r="M4715">
        <v>23000</v>
      </c>
      <c r="N4715">
        <v>4.67</v>
      </c>
      <c r="O4715">
        <v>302000</v>
      </c>
      <c r="P4715" t="inlineStr">
        <is>
          <t>697f5ea8a60bac00013e468e</t>
        </is>
      </c>
      <c r="Q4715" t="inlineStr">
        <is>
          <t>🚫重复</t>
        </is>
      </c>
      <c r="R4715" t="inlineStr">
        <is>
          <t>16周</t>
        </is>
      </c>
      <c r="S4715" t="inlineStr">
        <is>
          <t>1.09</t>
        </is>
      </c>
      <c r="T4715" t="inlineStr">
        <is>
          <t>美食滋补</t>
        </is>
      </c>
      <c r="U4715" t="inlineStr">
        <is>
          <t>休闲零食</t>
        </is>
      </c>
      <c r="V4715" s="3">
        <v>46130.98501157408</v>
      </c>
      <c r="W4715" t="inlineStr">
        <is>
          <t>2026-Q2</t>
        </is>
      </c>
    </row>
    <row r="4716" ht="25.5" customHeight="1">
      <c r="A4716" t="inlineStr">
        <is>
          <t>香格里拉面包（沈阳特色）明星面包/老式奶油面包卷/冰淇淋面包</t>
        </is>
      </c>
      <c r="B4716" t="inlineStr">
        <is>
          <t>__upload_recvh9P0bmQPRd.jpg</t>
        </is>
      </c>
      <c r="C4716" s="2" t="str">
        <f>=HYPERLINK("https://xhslink.com/m/6CkIQGC3RLZ", "https://xhslink.com/m/6CkIQGC3RLZ")</f>
        <v>https://xhslink.com/m/6CkIQGC3RLZ</v>
      </c>
      <c r="D4716"/>
      <c r="E4716">
        <v>4785</v>
      </c>
      <c r="F4716">
        <v>69</v>
      </c>
      <c r="G4716">
        <v>35</v>
      </c>
      <c r="H4716">
        <v>100</v>
      </c>
      <c r="I4716" t="inlineStr">
        <is>
          <t>低热量零食</t>
        </is>
      </c>
      <c r="J4716" t="inlineStr">
        <is>
          <t>0.02</t>
        </is>
      </c>
      <c r="K4716" t="inlineStr">
        <is>
          <t>🔥低粉爆款</t>
        </is>
      </c>
      <c r="L4716" t="inlineStr">
        <is>
          <t>兰乔贝恩 香格里拉面包的店</t>
        </is>
      </c>
      <c r="M4716">
        <v>1165</v>
      </c>
      <c r="N4716">
        <v>3.84</v>
      </c>
      <c r="O4716">
        <v>4785</v>
      </c>
      <c r="P4716" t="inlineStr">
        <is>
          <t>65b0ee135984670001883dd5</t>
        </is>
      </c>
      <c r="Q4716"/>
      <c r="R4716" t="inlineStr">
        <is>
          <t>16周</t>
        </is>
      </c>
      <c r="S4716" t="inlineStr">
        <is>
          <t>4.11</t>
        </is>
      </c>
      <c r="T4716" t="inlineStr">
        <is>
          <t>美食滋补</t>
        </is>
      </c>
      <c r="U4716" t="inlineStr">
        <is>
          <t>休闲零食</t>
        </is>
      </c>
      <c r="V4716" s="3">
        <v>46130.98501157408</v>
      </c>
      <c r="W4716" t="inlineStr">
        <is>
          <t>2026-Q2</t>
        </is>
      </c>
    </row>
    <row r="4717" ht="25.5" customHeight="1">
      <c r="A4717" t="inlineStr">
        <is>
          <t>王大爪 · 柠檬无骨鸡爪 顺丰包邮 现做现发 无添加纯手工制作</t>
        </is>
      </c>
      <c r="B4717" t="inlineStr">
        <is>
          <t>__upload_recvh9P0bm6RX0.jpg</t>
        </is>
      </c>
      <c r="C4717" s="2" t="str">
        <f>=HYPERLINK("https://xhslink.com/m/201uvrZarZD", "https://xhslink.com/m/201uvrZarZD")</f>
        <v>https://xhslink.com/m/201uvrZarZD</v>
      </c>
      <c r="D4717"/>
      <c r="E4717">
        <v>42000</v>
      </c>
      <c r="F4717">
        <v>38</v>
      </c>
      <c r="G4717">
        <v>37</v>
      </c>
      <c r="H4717">
        <v>100</v>
      </c>
      <c r="I4717" t="inlineStr">
        <is>
          <t>低热量零食</t>
        </is>
      </c>
      <c r="J4717" t="inlineStr">
        <is>
          <t>0.00</t>
        </is>
      </c>
      <c r="K4717" t="inlineStr">
        <is>
          <t>🔥低粉爆款</t>
        </is>
      </c>
      <c r="L4717" t="inlineStr">
        <is>
          <t>强哥美食的店</t>
        </is>
      </c>
      <c r="M4717">
        <v>3812</v>
      </c>
      <c r="N4717">
        <v>4.67</v>
      </c>
      <c r="O4717">
        <v>43000</v>
      </c>
      <c r="P4717" t="inlineStr">
        <is>
          <t>667630ccc19f1f0001cc9c99</t>
        </is>
      </c>
      <c r="Q4717" t="inlineStr">
        <is>
          <t>🚫重复</t>
        </is>
      </c>
      <c r="R4717" t="inlineStr">
        <is>
          <t>16周</t>
        </is>
      </c>
      <c r="S4717" t="inlineStr">
        <is>
          <t>11.02</t>
        </is>
      </c>
      <c r="T4717" t="inlineStr">
        <is>
          <t>美食滋补</t>
        </is>
      </c>
      <c r="U4717" t="inlineStr">
        <is>
          <t>休闲零食</t>
        </is>
      </c>
      <c r="V4717" s="3">
        <v>46130.98501157408</v>
      </c>
      <c r="W4717" t="inlineStr">
        <is>
          <t>2026-Q2</t>
        </is>
      </c>
    </row>
    <row r="4718" ht="25.5" customHeight="1">
      <c r="A4718" t="inlineStr">
        <is>
          <t>「三月」天然海蓝宝水滴形极细项链 三月生辰石喜水精工定制款</t>
        </is>
      </c>
      <c r="B4718" t="inlineStr">
        <is>
          <t>__upload_recvh9P0bmESwk.jpg</t>
        </is>
      </c>
      <c r="C4718" s="2" t="str">
        <f>=HYPERLINK("https://xhslink.com/m/6lVbDvlWYnr", "https://xhslink.com/m/6lVbDvlWYnr")</f>
        <v>https://xhslink.com/m/6lVbDvlWYnr</v>
      </c>
      <c r="D4718"/>
      <c r="E4718">
        <v>5000</v>
      </c>
      <c r="F4718">
        <v>258</v>
      </c>
      <c r="G4718">
        <v>253</v>
      </c>
      <c r="H4718">
        <v>100</v>
      </c>
      <c r="I4718" t="inlineStr">
        <is>
          <t>配饰</t>
        </is>
      </c>
      <c r="J4718" t="inlineStr">
        <is>
          <t>0.02</t>
        </is>
      </c>
      <c r="K4718"/>
      <c r="L4718" t="inlineStr">
        <is>
          <t>inner向内的店</t>
        </is>
      </c>
      <c r="M4718">
        <v>23000</v>
      </c>
      <c r="N4718">
        <v>4.85</v>
      </c>
      <c r="O4718">
        <v>27000</v>
      </c>
      <c r="P4718" t="inlineStr">
        <is>
          <t>68ee758717d8080001b3cd2f</t>
        </is>
      </c>
      <c r="Q4718"/>
      <c r="R4718" t="inlineStr">
        <is>
          <t>16周</t>
        </is>
      </c>
      <c r="S4718" t="inlineStr">
        <is>
          <t>0.22</t>
        </is>
      </c>
      <c r="T4718" t="inlineStr">
        <is>
          <t>服饰穿搭</t>
        </is>
      </c>
      <c r="U4718" t="inlineStr">
        <is>
          <t>配饰</t>
        </is>
      </c>
      <c r="V4718" s="3">
        <v>46130.98501157408</v>
      </c>
      <c r="W4718" t="inlineStr">
        <is>
          <t>2026-Q2</t>
        </is>
      </c>
    </row>
    <row r="4719" ht="25.5" customHeight="1">
      <c r="A4719" t="inlineStr">
        <is>
          <t>骷髅小手｜亡灵腐核 哥特亚比挂件 配饰可拆 改耳饰/发夹备注即可</t>
        </is>
      </c>
      <c r="B4719" t="inlineStr">
        <is>
          <t>__upload_recvh9P0bmmRBE.jpg</t>
        </is>
      </c>
      <c r="C4719" s="2" t="str">
        <f>=HYPERLINK("https://xhslink.com/m/8SM7qPoGYmp", "https://xhslink.com/m/8SM7qPoGYmp")</f>
        <v>https://xhslink.com/m/8SM7qPoGYmp</v>
      </c>
      <c r="D4719"/>
      <c r="E4719">
        <v>3058</v>
      </c>
      <c r="F4719">
        <v>33.8</v>
      </c>
      <c r="G4719">
        <v>19.8</v>
      </c>
      <c r="H4719">
        <v>100</v>
      </c>
      <c r="I4719" t="inlineStr">
        <is>
          <t>配饰</t>
        </is>
      </c>
      <c r="J4719" t="inlineStr">
        <is>
          <t>0.03</t>
        </is>
      </c>
      <c r="K4719"/>
      <c r="L4719" t="inlineStr">
        <is>
          <t>VORN的店</t>
        </is>
      </c>
      <c r="M4719">
        <v>2804</v>
      </c>
      <c r="N4719">
        <v>4.42</v>
      </c>
      <c r="O4719">
        <v>12000</v>
      </c>
      <c r="P4719" t="inlineStr">
        <is>
          <t>68f5cdcf7d3b3f0001500c04</t>
        </is>
      </c>
      <c r="Q4719" t="inlineStr">
        <is>
          <t>🚫重复</t>
        </is>
      </c>
      <c r="R4719" t="inlineStr">
        <is>
          <t>16周</t>
        </is>
      </c>
      <c r="S4719" t="inlineStr">
        <is>
          <t>1.09</t>
        </is>
      </c>
      <c r="T4719" t="inlineStr">
        <is>
          <t>服饰穿搭</t>
        </is>
      </c>
      <c r="U4719" t="inlineStr">
        <is>
          <t>配饰</t>
        </is>
      </c>
      <c r="V4719" s="3">
        <v>46130.98501157408</v>
      </c>
      <c r="W4719" t="inlineStr">
        <is>
          <t>2026-Q2</t>
        </is>
      </c>
    </row>
    <row r="4720" ht="25.5" customHeight="1">
      <c r="A4720" t="inlineStr">
        <is>
          <t>多层叠戴珍珠项链亚文化重工朋克嘻哈Y2K锁骨链</t>
        </is>
      </c>
      <c r="B4720" t="inlineStr">
        <is>
          <t>__upload_recvh9P0bmAU46.jpg</t>
        </is>
      </c>
      <c r="C4720" s="2" t="str">
        <f>=HYPERLINK("https://xhslink.com/m/4KlVT0RZfBu", "https://xhslink.com/m/4KlVT0RZfBu")</f>
        <v>https://xhslink.com/m/4KlVT0RZfBu</v>
      </c>
      <c r="D4720"/>
      <c r="E4720">
        <v>1729</v>
      </c>
      <c r="F4720">
        <v>18.9</v>
      </c>
      <c r="G4720">
        <v>17.9</v>
      </c>
      <c r="H4720">
        <v>100</v>
      </c>
      <c r="I4720" t="inlineStr">
        <is>
          <t>配饰</t>
        </is>
      </c>
      <c r="J4720" t="inlineStr">
        <is>
          <t>0.06</t>
        </is>
      </c>
      <c r="K4720"/>
      <c r="L4720" t="inlineStr">
        <is>
          <t>旧饰界的店</t>
        </is>
      </c>
      <c r="M4720">
        <v>721</v>
      </c>
      <c r="N4720">
        <v>4.6</v>
      </c>
      <c r="O4720">
        <v>2022</v>
      </c>
      <c r="P4720" t="inlineStr">
        <is>
          <t>67b40997c3cf0a0001bf1c1a</t>
        </is>
      </c>
      <c r="Q4720"/>
      <c r="R4720" t="inlineStr">
        <is>
          <t>16周</t>
        </is>
      </c>
      <c r="S4720" t="inlineStr">
        <is>
          <t>2.40</t>
        </is>
      </c>
      <c r="T4720" t="inlineStr">
        <is>
          <t>服饰穿搭</t>
        </is>
      </c>
      <c r="U4720" t="inlineStr">
        <is>
          <t>配饰</t>
        </is>
      </c>
      <c r="V4720" s="3">
        <v>46130.98501157408</v>
      </c>
      <c r="W4720" t="inlineStr">
        <is>
          <t>2026-Q2</t>
        </is>
      </c>
    </row>
    <row r="4721" ht="25.5" customHeight="1">
      <c r="A4721" t="inlineStr">
        <is>
          <t>【玉溪春】古风粉色烫花发夹小众侧边夹春天头饰新中式国风饰品</t>
        </is>
      </c>
      <c r="B4721" t="inlineStr">
        <is>
          <t>__upload_recvh9P0bmFNA4.jpg</t>
        </is>
      </c>
      <c r="C4721" s="2" t="str">
        <f>=HYPERLINK("https://xhslink.com/m/96XCIFhEOeT", "https://xhslink.com/m/96XCIFhEOeT")</f>
        <v>https://xhslink.com/m/96XCIFhEOeT</v>
      </c>
      <c r="D4721"/>
      <c r="E4721">
        <v>935</v>
      </c>
      <c r="F4721">
        <v>36.8</v>
      </c>
      <c r="G4721">
        <v>26.8</v>
      </c>
      <c r="H4721">
        <v>100</v>
      </c>
      <c r="I4721" t="inlineStr">
        <is>
          <t>配饰</t>
        </is>
      </c>
      <c r="J4721" t="inlineStr">
        <is>
          <t>0.11</t>
        </is>
      </c>
      <c r="K4721"/>
      <c r="L4721" t="inlineStr">
        <is>
          <t>默默莫非的店</t>
        </is>
      </c>
      <c r="M4721">
        <v>18000</v>
      </c>
      <c r="N4721">
        <v>4.18</v>
      </c>
      <c r="O4721">
        <v>37000</v>
      </c>
      <c r="P4721" t="inlineStr">
        <is>
          <t>699bd5ffc9f5da0001403401</t>
        </is>
      </c>
      <c r="Q4721"/>
      <c r="R4721" t="inlineStr">
        <is>
          <t>16周</t>
        </is>
      </c>
      <c r="S4721" t="inlineStr">
        <is>
          <t>0.05</t>
        </is>
      </c>
      <c r="T4721" t="inlineStr">
        <is>
          <t>服饰穿搭</t>
        </is>
      </c>
      <c r="U4721" t="inlineStr">
        <is>
          <t>配饰</t>
        </is>
      </c>
      <c r="V4721" s="3">
        <v>46130.98501157408</v>
      </c>
      <c r="W4721" t="inlineStr">
        <is>
          <t>2026-Q2</t>
        </is>
      </c>
    </row>
    <row r="4722" ht="25.5" customHeight="1">
      <c r="A4722" t="inlineStr">
        <is>
          <t>Boddywear早春分趾袜清透薄款中筒袜夏季无骨堆堆袜</t>
        </is>
      </c>
      <c r="B4722" t="inlineStr">
        <is>
          <t>__upload_recvh9P0bm8yVb.jpg</t>
        </is>
      </c>
      <c r="C4722" s="2" t="str">
        <f>=HYPERLINK("https://xhslink.com/m/2kN1siO7Htp", "https://xhslink.com/m/2kN1siO7Htp")</f>
        <v>https://xhslink.com/m/2kN1siO7Htp</v>
      </c>
      <c r="D4722"/>
      <c r="E4722">
        <v>2408</v>
      </c>
      <c r="F4722">
        <v>15.6</v>
      </c>
      <c r="G4722"/>
      <c r="H4722">
        <v>100</v>
      </c>
      <c r="I4722" t="inlineStr">
        <is>
          <t>袜子</t>
        </is>
      </c>
      <c r="J4722" t="inlineStr">
        <is>
          <t>0.04</t>
        </is>
      </c>
      <c r="K4722"/>
      <c r="L4722" t="inlineStr">
        <is>
          <t>Boddywear Official的店</t>
        </is>
      </c>
      <c r="M4722">
        <v>945</v>
      </c>
      <c r="N4722">
        <v>4.53</v>
      </c>
      <c r="O4722">
        <v>2562</v>
      </c>
      <c r="P4722" t="inlineStr">
        <is>
          <t>69bacc5023faf800014d2d9f</t>
        </is>
      </c>
      <c r="Q4722" t="inlineStr">
        <is>
          <t>🚫重复</t>
        </is>
      </c>
      <c r="R4722" t="inlineStr">
        <is>
          <t>16周</t>
        </is>
      </c>
      <c r="S4722" t="inlineStr">
        <is>
          <t>2.55</t>
        </is>
      </c>
      <c r="T4722" t="inlineStr">
        <is>
          <t>服饰穿搭</t>
        </is>
      </c>
      <c r="U4722" t="inlineStr">
        <is>
          <t>鞋靴箱包</t>
        </is>
      </c>
      <c r="V4722" s="3">
        <v>46130.98501157408</v>
      </c>
      <c r="W4722" t="inlineStr">
        <is>
          <t>2026-Q2</t>
        </is>
      </c>
    </row>
    <row r="4723" ht="25.5" customHeight="1">
      <c r="A4723" t="inlineStr">
        <is>
          <t>辰柚 · 天鹅绒高压过膝袜黑色带硅胶防滑设计显瘦大腿袜Jk少女夏季薄款</t>
        </is>
      </c>
      <c r="B4723" t="inlineStr">
        <is>
          <t>__upload_recvh9P0bmGqZe.jpg</t>
        </is>
      </c>
      <c r="C4723" s="2" t="str">
        <f>=HYPERLINK("https://xhslink.com/m/6lq5Hr5fFiy", "https://xhslink.com/m/6lq5Hr5fFiy")</f>
        <v>https://xhslink.com/m/6lq5Hr5fFiy</v>
      </c>
      <c r="D4723"/>
      <c r="E4723">
        <v>25000</v>
      </c>
      <c r="F4723">
        <v>13.9</v>
      </c>
      <c r="G4723"/>
      <c r="H4723">
        <v>100</v>
      </c>
      <c r="I4723" t="inlineStr">
        <is>
          <t>袜子</t>
        </is>
      </c>
      <c r="J4723" t="inlineStr">
        <is>
          <t>0.00</t>
        </is>
      </c>
      <c r="K4723"/>
      <c r="L4723" t="inlineStr">
        <is>
          <t>辰柚studio的店</t>
        </is>
      </c>
      <c r="M4723">
        <v>13000</v>
      </c>
      <c r="N4723">
        <v>4.61</v>
      </c>
      <c r="O4723">
        <v>163000</v>
      </c>
      <c r="P4723" t="inlineStr">
        <is>
          <t>67cd460b29b9f70001382be4</t>
        </is>
      </c>
      <c r="Q4723" t="inlineStr">
        <is>
          <t>🚫重复</t>
        </is>
      </c>
      <c r="R4723" t="inlineStr">
        <is>
          <t>16周</t>
        </is>
      </c>
      <c r="S4723" t="inlineStr">
        <is>
          <t>1.92</t>
        </is>
      </c>
      <c r="T4723" t="inlineStr">
        <is>
          <t>服饰穿搭</t>
        </is>
      </c>
      <c r="U4723" t="inlineStr">
        <is>
          <t>鞋靴箱包</t>
        </is>
      </c>
      <c r="V4723" s="3">
        <v>46130.98501157408</v>
      </c>
      <c r="W4723" t="inlineStr">
        <is>
          <t>2026-Q2</t>
        </is>
      </c>
    </row>
    <row r="4724" ht="25.5" customHeight="1">
      <c r="A4724" t="inlineStr">
        <is>
          <t>【一盒甜甜袜子】春夏新款棉袜子女中筒袜堆堆袜组合装</t>
        </is>
      </c>
      <c r="B4724" t="inlineStr">
        <is>
          <t>__upload_recvh9P0bmDuAh.jpg</t>
        </is>
      </c>
      <c r="C4724" s="2" t="str">
        <f>=HYPERLINK("https://xhslink.com/m/AAkGLybmdwB", "https://xhslink.com/m/AAkGLybmdwB")</f>
        <v>https://xhslink.com/m/AAkGLybmdwB</v>
      </c>
      <c r="D4724"/>
      <c r="E4724">
        <v>3651</v>
      </c>
      <c r="F4724">
        <v>29.9</v>
      </c>
      <c r="G4724">
        <v>19.9</v>
      </c>
      <c r="H4724">
        <v>100</v>
      </c>
      <c r="I4724" t="inlineStr">
        <is>
          <t>袜子</t>
        </is>
      </c>
      <c r="J4724" t="inlineStr">
        <is>
          <t>0.03</t>
        </is>
      </c>
      <c r="K4724"/>
      <c r="L4724" t="inlineStr">
        <is>
          <t>一盒甜甜的店</t>
        </is>
      </c>
      <c r="M4724">
        <v>273000</v>
      </c>
      <c r="N4724">
        <v>4.72</v>
      </c>
      <c r="O4724">
        <v>461000</v>
      </c>
      <c r="P4724" t="inlineStr">
        <is>
          <t>69b88f7523faf80001ee421d</t>
        </is>
      </c>
      <c r="Q4724" t="inlineStr">
        <is>
          <t>🚫重复</t>
        </is>
      </c>
      <c r="R4724" t="inlineStr">
        <is>
          <t>16周</t>
        </is>
      </c>
      <c r="S4724" t="inlineStr">
        <is>
          <t>0.01</t>
        </is>
      </c>
      <c r="T4724" t="inlineStr">
        <is>
          <t>服饰穿搭</t>
        </is>
      </c>
      <c r="U4724" t="inlineStr">
        <is>
          <t>鞋靴箱包</t>
        </is>
      </c>
      <c r="V4724" s="3">
        <v>46130.98501157408</v>
      </c>
      <c r="W4724" t="inlineStr">
        <is>
          <t>2026-Q2</t>
        </is>
      </c>
    </row>
    <row r="4725" ht="25.5" customHeight="1">
      <c r="A4725" t="inlineStr">
        <is>
          <t>拾兄弟 · 当季东北七色糙米粗粮五谷杂粮真空包装健康低脂主食膳食纤维谷物</t>
        </is>
      </c>
      <c r="B4725" t="inlineStr">
        <is>
          <t>__upload_recvh9P0bmdXIp.jpg</t>
        </is>
      </c>
      <c r="C4725" s="2" t="str">
        <f>=HYPERLINK("https://xhslink.com/m/90ja551Mxbm", "https://xhslink.com/m/90ja551Mxbm")</f>
        <v>https://xhslink.com/m/90ja551Mxbm</v>
      </c>
      <c r="D4725"/>
      <c r="E4725">
        <v>16000</v>
      </c>
      <c r="F4725">
        <v>19.9</v>
      </c>
      <c r="G4725"/>
      <c r="H4725">
        <v>100</v>
      </c>
      <c r="I4725" t="inlineStr">
        <is>
          <t>减脂主食</t>
        </is>
      </c>
      <c r="J4725" t="inlineStr">
        <is>
          <t>0.01</t>
        </is>
      </c>
      <c r="K4725"/>
      <c r="L4725" t="inlineStr">
        <is>
          <t>拾兄弟粮油的店</t>
        </is>
      </c>
      <c r="M4725">
        <v>10000</v>
      </c>
      <c r="N4725">
        <v>4.73</v>
      </c>
      <c r="O4725">
        <v>34000</v>
      </c>
      <c r="P4725" t="inlineStr">
        <is>
          <t>674b04c4740c49000158355a</t>
        </is>
      </c>
      <c r="Q4725"/>
      <c r="R4725" t="inlineStr">
        <is>
          <t>16周</t>
        </is>
      </c>
      <c r="S4725" t="inlineStr">
        <is>
          <t>1.60</t>
        </is>
      </c>
      <c r="T4725" t="inlineStr">
        <is>
          <t>美食滋补</t>
        </is>
      </c>
      <c r="U4725" t="inlineStr">
        <is>
          <t>休闲零食</t>
        </is>
      </c>
      <c r="V4725" s="3">
        <v>46130.98501157408</v>
      </c>
      <c r="W4725" t="inlineStr">
        <is>
          <t>2026-Q2</t>
        </is>
      </c>
    </row>
    <row r="4726" ht="25.5" customHeight="1">
      <c r="A4726" t="inlineStr">
        <is>
          <t>八千步 · 全麦面包糕点吐司整箱早餐代餐饱腹粗粮</t>
        </is>
      </c>
      <c r="B4726" t="inlineStr">
        <is>
          <t>__upload_recvh9P0bm8WZy.jpg</t>
        </is>
      </c>
      <c r="C4726" s="2" t="str">
        <f>=HYPERLINK("https://xhslink.com/m/t7lWrEIojz", "https://xhslink.com/m/t7lWrEIojz")</f>
        <v>https://xhslink.com/m/t7lWrEIojz</v>
      </c>
      <c r="D4726"/>
      <c r="E4726">
        <v>44000</v>
      </c>
      <c r="F4726">
        <v>9.9</v>
      </c>
      <c r="G4726"/>
      <c r="H4726">
        <v>100</v>
      </c>
      <c r="I4726" t="inlineStr">
        <is>
          <t>减脂主食</t>
        </is>
      </c>
      <c r="J4726" t="inlineStr">
        <is>
          <t>0.00</t>
        </is>
      </c>
      <c r="K4726"/>
      <c r="L4726" t="inlineStr">
        <is>
          <t>八千步旗舰店</t>
        </is>
      </c>
      <c r="M4726">
        <v>45000</v>
      </c>
      <c r="N4726">
        <v>4.43</v>
      </c>
      <c r="O4726">
        <v>235000</v>
      </c>
      <c r="P4726" t="inlineStr">
        <is>
          <t>634370215b203e00015d4bb8</t>
        </is>
      </c>
      <c r="Q4726" t="inlineStr">
        <is>
          <t>🚫重复</t>
        </is>
      </c>
      <c r="R4726" t="inlineStr">
        <is>
          <t>16周</t>
        </is>
      </c>
      <c r="S4726" t="inlineStr">
        <is>
          <t>0.98</t>
        </is>
      </c>
      <c r="T4726" t="inlineStr">
        <is>
          <t>美食滋补</t>
        </is>
      </c>
      <c r="U4726" t="inlineStr">
        <is>
          <t>休闲零食</t>
        </is>
      </c>
      <c r="V4726" s="3">
        <v>46130.98501157408</v>
      </c>
      <c r="W4726" t="inlineStr">
        <is>
          <t>2026-Q2</t>
        </is>
      </c>
    </row>
    <row r="4727" ht="25.5" customHeight="1">
      <c r="A4727" t="inlineStr">
        <is>
          <t>〖经典冰透椰子油〗手作球捏捏乐丨解压玩具丨礼盒</t>
        </is>
      </c>
      <c r="B4727" t="inlineStr">
        <is>
          <t>__upload_recvhfQlfRW4Zw.jpg</t>
        </is>
      </c>
      <c r="C4727" s="2" t="str">
        <f>=HYPERLINK("https://xhslink.com/m/APCU98xxesL", "https://xhslink.com/m/APCU98xxesL")</f>
        <v>https://xhslink.com/m/APCU98xxesL</v>
      </c>
      <c r="D4727"/>
      <c r="E4727">
        <v>9267</v>
      </c>
      <c r="F4727">
        <v>20.8</v>
      </c>
      <c r="G4727">
        <v>14.8</v>
      </c>
      <c r="H4727">
        <v>100</v>
      </c>
      <c r="I4727" t="inlineStr">
        <is>
          <t>解压玩具</t>
        </is>
      </c>
      <c r="J4727" t="inlineStr">
        <is>
          <t>0.01</t>
        </is>
      </c>
      <c r="K4727"/>
      <c r="L4727" t="inlineStr">
        <is>
          <t>instree野萃的店</t>
        </is>
      </c>
      <c r="M4727">
        <v>17000</v>
      </c>
      <c r="N4727">
        <v>4.46</v>
      </c>
      <c r="O4727">
        <v>20000</v>
      </c>
      <c r="P4727" t="inlineStr">
        <is>
          <t>68f72155ce94ee000151dfeb</t>
        </is>
      </c>
      <c r="Q4727"/>
      <c r="R4727" t="inlineStr">
        <is>
          <t>17周</t>
        </is>
      </c>
      <c r="S4727" t="inlineStr">
        <is>
          <t>0.55</t>
        </is>
      </c>
      <c r="T4727" t="inlineStr">
        <is>
          <t>母婴亲子</t>
        </is>
      </c>
      <c r="U4727" t="inlineStr">
        <is>
          <t>玩具早教</t>
        </is>
      </c>
      <c r="V4727" s="3">
        <v>46132.014861111114</v>
      </c>
      <c r="W4727" t="inlineStr">
        <is>
          <t>2026-Q2</t>
        </is>
      </c>
    </row>
    <row r="4728" ht="25.5" customHeight="1">
      <c r="A4728" t="inlineStr">
        <is>
          <t>真液态玻璃，巨硬，慢慢拉， 肌无力慎拍！按克重卖盒子装不满哦</t>
        </is>
      </c>
      <c r="B4728" t="inlineStr">
        <is>
          <t>__upload_recvhfQmhqTDSk.jpg</t>
        </is>
      </c>
      <c r="C4728" s="2" t="str">
        <f>=HYPERLINK("https://xhslink.com/m/S2GDA1dBuz", "https://xhslink.com/m/S2GDA1dBuz")</f>
        <v>https://xhslink.com/m/S2GDA1dBuz</v>
      </c>
      <c r="D4728"/>
      <c r="E4728">
        <v>7202</v>
      </c>
      <c r="F4728">
        <v>24.8</v>
      </c>
      <c r="G4728"/>
      <c r="H4728">
        <v>100</v>
      </c>
      <c r="I4728" t="inlineStr">
        <is>
          <t>解压玩具</t>
        </is>
      </c>
      <c r="J4728" t="inlineStr">
        <is>
          <t>0.01</t>
        </is>
      </c>
      <c r="K4728"/>
      <c r="L4728" t="inlineStr">
        <is>
          <t>你的甜酒酒的店</t>
        </is>
      </c>
      <c r="M4728">
        <v>49000</v>
      </c>
      <c r="N4728">
        <v>4.46</v>
      </c>
      <c r="O4728">
        <v>11000</v>
      </c>
      <c r="P4728" t="inlineStr">
        <is>
          <t>68beccff096c870001a56a96</t>
        </is>
      </c>
      <c r="Q4728" t="inlineStr">
        <is>
          <t>🚫重复</t>
        </is>
      </c>
      <c r="R4728" t="inlineStr">
        <is>
          <t>17周</t>
        </is>
      </c>
      <c r="S4728" t="inlineStr">
        <is>
          <t>0.15</t>
        </is>
      </c>
      <c r="T4728" t="inlineStr">
        <is>
          <t>母婴亲子</t>
        </is>
      </c>
      <c r="U4728" t="inlineStr">
        <is>
          <t>玩具早教</t>
        </is>
      </c>
      <c r="V4728" s="3">
        <v>46132.014918981484</v>
      </c>
      <c r="W4728" t="inlineStr">
        <is>
          <t>2026-Q2</t>
        </is>
      </c>
    </row>
    <row r="4729" ht="25.5" customHeight="1">
      <c r="A4729" t="inlineStr">
        <is>
          <t>原神崩坏正版官谷全新未拆清仓不包场瑕</t>
        </is>
      </c>
      <c r="B4729" t="inlineStr">
        <is>
          <t>__upload_recvhfQmhqD2L9.jpg</t>
        </is>
      </c>
      <c r="C4729" s="2" t="str">
        <f>=HYPERLINK("https://xhslink.com/m/3EKoRNjOEcf", "https://xhslink.com/m/3EKoRNjOEcf")</f>
        <v>https://xhslink.com/m/3EKoRNjOEcf</v>
      </c>
      <c r="D4729"/>
      <c r="E4729">
        <v>8692</v>
      </c>
      <c r="F4729">
        <v>5</v>
      </c>
      <c r="G4729"/>
      <c r="H4729">
        <v>100</v>
      </c>
      <c r="I4729" t="inlineStr">
        <is>
          <t>谷子</t>
        </is>
      </c>
      <c r="J4729" t="inlineStr">
        <is>
          <t>0.01</t>
        </is>
      </c>
      <c r="K4729"/>
      <c r="L4729" t="inlineStr">
        <is>
          <t>谷子铺（原神崩铁重返未来清仓版）的店</t>
        </is>
      </c>
      <c r="M4729">
        <v>3598</v>
      </c>
      <c r="N4729">
        <v>4.38</v>
      </c>
      <c r="O4729">
        <v>21000</v>
      </c>
      <c r="P4729" t="inlineStr">
        <is>
          <t>69429ee0bd92f50001956bb3</t>
        </is>
      </c>
      <c r="Q4729"/>
      <c r="R4729" t="inlineStr">
        <is>
          <t>17周</t>
        </is>
      </c>
      <c r="S4729" t="inlineStr">
        <is>
          <t>2.42</t>
        </is>
      </c>
      <c r="T4729" t="inlineStr">
        <is>
          <t>运动潮玩</t>
        </is>
      </c>
      <c r="U4729" t="inlineStr">
        <is>
          <t>潮玩手办</t>
        </is>
      </c>
      <c r="V4729" s="3">
        <v>46132.014918981484</v>
      </c>
      <c r="W4729" t="inlineStr">
        <is>
          <t>2026-Q2</t>
        </is>
      </c>
    </row>
    <row r="4730" ht="25.5" customHeight="1">
      <c r="A4730" t="inlineStr">
        <is>
          <t>二贩|恋与深空沈星回祁煜黎深秦彻夏以昼10cm棉花娃娃海星体裸娃</t>
        </is>
      </c>
      <c r="B4730" t="inlineStr">
        <is>
          <t>__upload_recvhfQmhqSEF0.jpg</t>
        </is>
      </c>
      <c r="C4730" s="2" t="str">
        <f>=HYPERLINK("https://xhslink.com/m/8kkUFAH2UUy", "https://xhslink.com/m/8kkUFAH2UUy")</f>
        <v>https://xhslink.com/m/8kkUFAH2UUy</v>
      </c>
      <c r="D4730"/>
      <c r="E4730">
        <v>33000</v>
      </c>
      <c r="F4730">
        <v>34.9</v>
      </c>
      <c r="G4730">
        <v>29.9</v>
      </c>
      <c r="H4730">
        <v>100</v>
      </c>
      <c r="I4730" t="inlineStr">
        <is>
          <t>棉花娃娃</t>
        </is>
      </c>
      <c r="J4730" t="inlineStr">
        <is>
          <t>0.00</t>
        </is>
      </c>
      <c r="K4730"/>
      <c r="L4730" t="inlineStr">
        <is>
          <t>一亩棉花地的店</t>
        </is>
      </c>
      <c r="M4730">
        <v>49000</v>
      </c>
      <c r="N4730">
        <v>4.5</v>
      </c>
      <c r="O4730">
        <v>139000</v>
      </c>
      <c r="P4730" t="inlineStr">
        <is>
          <t>6788c472bac2510001a15a6e</t>
        </is>
      </c>
      <c r="Q4730" t="inlineStr">
        <is>
          <t>🚫重复</t>
        </is>
      </c>
      <c r="R4730" t="inlineStr">
        <is>
          <t>17周</t>
        </is>
      </c>
      <c r="S4730" t="inlineStr">
        <is>
          <t>0.67</t>
        </is>
      </c>
      <c r="T4730" t="inlineStr">
        <is>
          <t>运动潮玩</t>
        </is>
      </c>
      <c r="U4730" t="inlineStr">
        <is>
          <t>潮玩手办</t>
        </is>
      </c>
      <c r="V4730" s="3">
        <v>46132.014918981484</v>
      </c>
      <c r="W4730" t="inlineStr">
        <is>
          <t>2026-Q2</t>
        </is>
      </c>
    </row>
    <row r="4731" ht="25.5" customHeight="1">
      <c r="A4731" t="inlineStr">
        <is>
          <t>【预售】少司缘瑶桑启王昭君朵莉亚10cm印花努努王者荣耀原创同人</t>
        </is>
      </c>
      <c r="B4731" t="inlineStr">
        <is>
          <t>__upload_recvhfQmhquPwj.jpg</t>
        </is>
      </c>
      <c r="C4731" s="2" t="str">
        <f>=HYPERLINK("https://xhslink.com/m/Az4sGRsOg04", "https://xhslink.com/m/Az4sGRsOg04")</f>
        <v>https://xhslink.com/m/Az4sGRsOg04</v>
      </c>
      <c r="D4731"/>
      <c r="E4731">
        <v>3805</v>
      </c>
      <c r="F4731">
        <v>49</v>
      </c>
      <c r="G4731"/>
      <c r="H4731">
        <v>100</v>
      </c>
      <c r="I4731" t="inlineStr">
        <is>
          <t>棉花娃娃</t>
        </is>
      </c>
      <c r="J4731" t="inlineStr">
        <is>
          <t>0.03</t>
        </is>
      </c>
      <c r="K4731"/>
      <c r="L4731" t="inlineStr">
        <is>
          <t>Wawa小厨的店</t>
        </is>
      </c>
      <c r="M4731">
        <v>11000</v>
      </c>
      <c r="N4731">
        <v>4.58</v>
      </c>
      <c r="O4731">
        <v>12000</v>
      </c>
      <c r="P4731" t="inlineStr">
        <is>
          <t>6986d8a3e04706000102f361</t>
        </is>
      </c>
      <c r="Q4731" t="inlineStr">
        <is>
          <t>🚫重复</t>
        </is>
      </c>
      <c r="R4731" t="inlineStr">
        <is>
          <t>17周</t>
        </is>
      </c>
      <c r="S4731" t="inlineStr">
        <is>
          <t>0.35</t>
        </is>
      </c>
      <c r="T4731" t="inlineStr">
        <is>
          <t>运动潮玩</t>
        </is>
      </c>
      <c r="U4731" t="inlineStr">
        <is>
          <t>潮玩手办</t>
        </is>
      </c>
      <c r="V4731" s="3">
        <v>46132.014918981484</v>
      </c>
      <c r="W4731" t="inlineStr">
        <is>
          <t>2026-Q2</t>
        </is>
      </c>
    </row>
    <row r="4732" ht="25.5" customHeight="1">
      <c r="A4732" t="inlineStr">
        <is>
          <t>【预售】恋与深空原创同人5cm大头海星体棉花娃娃挂件</t>
        </is>
      </c>
      <c r="B4732" t="inlineStr">
        <is>
          <t>__upload_recvhfQmhqQz9u.jpg</t>
        </is>
      </c>
      <c r="C4732" s="2" t="str">
        <f>=HYPERLINK("https://xhslink.com/m/3iJTq9sijnD", "https://xhslink.com/m/3iJTq9sijnD")</f>
        <v>https://xhslink.com/m/3iJTq9sijnD</v>
      </c>
      <c r="D4732"/>
      <c r="E4732">
        <v>7717</v>
      </c>
      <c r="F4732">
        <v>32.8</v>
      </c>
      <c r="G4732"/>
      <c r="H4732">
        <v>100</v>
      </c>
      <c r="I4732" t="inlineStr">
        <is>
          <t>棉花娃娃</t>
        </is>
      </c>
      <c r="J4732" t="inlineStr">
        <is>
          <t>0.01</t>
        </is>
      </c>
      <c r="K4732"/>
      <c r="L4732" t="inlineStr">
        <is>
          <t>Wawa同人社的店</t>
        </is>
      </c>
      <c r="M4732">
        <v>67000</v>
      </c>
      <c r="N4732">
        <v>4.59</v>
      </c>
      <c r="O4732">
        <v>86000</v>
      </c>
      <c r="P4732" t="inlineStr">
        <is>
          <t>6960ce691bb69f0001af3741</t>
        </is>
      </c>
      <c r="Q4732" t="inlineStr">
        <is>
          <t>🚫重复</t>
        </is>
      </c>
      <c r="R4732" t="inlineStr">
        <is>
          <t>17周</t>
        </is>
      </c>
      <c r="S4732" t="inlineStr">
        <is>
          <t>0.12</t>
        </is>
      </c>
      <c r="T4732" t="inlineStr">
        <is>
          <t>运动潮玩</t>
        </is>
      </c>
      <c r="U4732" t="inlineStr">
        <is>
          <t>潮玩手办</t>
        </is>
      </c>
      <c r="V4732" s="3">
        <v>46132.014918981484</v>
      </c>
      <c r="W4732" t="inlineStr">
        <is>
          <t>2026-Q2</t>
        </is>
      </c>
    </row>
    <row r="4733" ht="25.5" customHeight="1">
      <c r="A4733" t="inlineStr">
        <is>
          <t>棉花星球原创正版10cm棉花娃娃男女衣服斗篷玩偶周可可公仔海星体</t>
        </is>
      </c>
      <c r="B4733" t="inlineStr">
        <is>
          <t>__upload_recvhfQmhqXNPe.jpg</t>
        </is>
      </c>
      <c r="C4733" s="2" t="str">
        <f>=HYPERLINK("https://xhslink.com/m/5inPMAr4Ygd", "https://xhslink.com/m/5inPMAr4Ygd")</f>
        <v>https://xhslink.com/m/5inPMAr4Ygd</v>
      </c>
      <c r="D4733"/>
      <c r="E4733">
        <v>4243</v>
      </c>
      <c r="F4733">
        <v>20</v>
      </c>
      <c r="G4733"/>
      <c r="H4733">
        <v>100</v>
      </c>
      <c r="I4733" t="inlineStr">
        <is>
          <t>棉花娃娃</t>
        </is>
      </c>
      <c r="J4733" t="inlineStr">
        <is>
          <t>0.02</t>
        </is>
      </c>
      <c r="K4733"/>
      <c r="L4733" t="inlineStr">
        <is>
          <t>棉花星球的店</t>
        </is>
      </c>
      <c r="M4733">
        <v>120000</v>
      </c>
      <c r="N4733">
        <v>4.66</v>
      </c>
      <c r="O4733">
        <v>47000</v>
      </c>
      <c r="P4733" t="inlineStr">
        <is>
          <t>68ae7c2b5ce8aa0001456564</t>
        </is>
      </c>
      <c r="Q4733" t="inlineStr">
        <is>
          <t>🚫重复</t>
        </is>
      </c>
      <c r="R4733" t="inlineStr">
        <is>
          <t>17周</t>
        </is>
      </c>
      <c r="S4733" t="inlineStr">
        <is>
          <t>0.04</t>
        </is>
      </c>
      <c r="T4733" t="inlineStr">
        <is>
          <t>母婴亲子</t>
        </is>
      </c>
      <c r="U4733" t="inlineStr">
        <is>
          <t>玩具早教</t>
        </is>
      </c>
      <c r="V4733" s="3">
        <v>46132.014918981484</v>
      </c>
      <c r="W4733" t="inlineStr">
        <is>
          <t>2026-Q2</t>
        </is>
      </c>
    </row>
    <row r="4734" ht="25.5" customHeight="1">
      <c r="A4734" t="inlineStr">
        <is>
          <t>糖果系列硬糖捏捏硅胶捏捏乐默认微瑕留胶可塑黏糊泥48g左右</t>
        </is>
      </c>
      <c r="B4734" t="inlineStr">
        <is>
          <t>__upload_recvhfQmhqhJAa.jpg</t>
        </is>
      </c>
      <c r="C4734" s="2" t="str">
        <f>=HYPERLINK("https://xhslink.com/m/5vXq2fdpDUc", "https://xhslink.com/m/5vXq2fdpDUc")</f>
        <v>https://xhslink.com/m/5vXq2fdpDUc</v>
      </c>
      <c r="D4734"/>
      <c r="E4734">
        <v>12000</v>
      </c>
      <c r="F4734">
        <v>9.9</v>
      </c>
      <c r="G4734"/>
      <c r="H4734">
        <v>100</v>
      </c>
      <c r="I4734" t="inlineStr">
        <is>
          <t>硅胶捏捏</t>
        </is>
      </c>
      <c r="J4734" t="inlineStr">
        <is>
          <t>0.01</t>
        </is>
      </c>
      <c r="K4734"/>
      <c r="L4734" t="inlineStr">
        <is>
          <t>我一定会爆单的！！（捏捏版）的店</t>
        </is>
      </c>
      <c r="M4734">
        <v>32000</v>
      </c>
      <c r="N4734">
        <v>4.48</v>
      </c>
      <c r="O4734">
        <v>103000</v>
      </c>
      <c r="P4734" t="inlineStr">
        <is>
          <t>694e2fb623d3ce0001a319af</t>
        </is>
      </c>
      <c r="Q4734" t="inlineStr">
        <is>
          <t>🚫重复</t>
        </is>
      </c>
      <c r="R4734" t="inlineStr">
        <is>
          <t>17周</t>
        </is>
      </c>
      <c r="S4734" t="inlineStr">
        <is>
          <t>0.38</t>
        </is>
      </c>
      <c r="T4734" t="inlineStr">
        <is>
          <t>美食滋补</t>
        </is>
      </c>
      <c r="U4734" t="inlineStr">
        <is>
          <t>休闲零食</t>
        </is>
      </c>
      <c r="V4734" s="3">
        <v>46132.014918981484</v>
      </c>
      <c r="W4734" t="inlineStr">
        <is>
          <t>2026-Q2</t>
        </is>
      </c>
    </row>
    <row r="4735" ht="25.5" customHeight="1">
      <c r="A4735" t="inlineStr">
        <is>
          <t>【水果合集】食品级硅胶捏捏奶油泥慢回弹礼物仿真水果肌小力</t>
        </is>
      </c>
      <c r="B4735" t="inlineStr">
        <is>
          <t>__upload_recvhfQmhqXhVX.jpg</t>
        </is>
      </c>
      <c r="C4735" s="2" t="str">
        <f>=HYPERLINK("https://xhslink.com/m/1Rd8XCbADh8", "https://xhslink.com/m/1Rd8XCbADh8")</f>
        <v>https://xhslink.com/m/1Rd8XCbADh8</v>
      </c>
      <c r="D4735"/>
      <c r="E4735">
        <v>407</v>
      </c>
      <c r="F4735">
        <v>30.9</v>
      </c>
      <c r="G4735">
        <v>29.9</v>
      </c>
      <c r="H4735">
        <v>100</v>
      </c>
      <c r="I4735" t="inlineStr">
        <is>
          <t>硅胶捏捏</t>
        </is>
      </c>
      <c r="J4735" t="inlineStr">
        <is>
          <t>0.25</t>
        </is>
      </c>
      <c r="K4735"/>
      <c r="L4735" t="inlineStr">
        <is>
          <t>湫湫捏（肌小力版）的店</t>
        </is>
      </c>
      <c r="M4735">
        <v>18000</v>
      </c>
      <c r="N4735">
        <v>4.43</v>
      </c>
      <c r="O4735">
        <v>7002</v>
      </c>
      <c r="P4735" t="inlineStr">
        <is>
          <t>68737de968b50f0001040836</t>
        </is>
      </c>
      <c r="Q4735"/>
      <c r="R4735" t="inlineStr">
        <is>
          <t>17周</t>
        </is>
      </c>
      <c r="S4735" t="inlineStr">
        <is>
          <t>0.02</t>
        </is>
      </c>
      <c r="T4735" t="inlineStr">
        <is>
          <t>美食滋补</t>
        </is>
      </c>
      <c r="U4735" t="inlineStr">
        <is>
          <t>生鲜特产</t>
        </is>
      </c>
      <c r="V4735" s="3">
        <v>46132.014918981484</v>
      </c>
      <c r="W4735" t="inlineStr">
        <is>
          <t>2026-Q2</t>
        </is>
      </c>
    </row>
    <row r="4736" ht="25.5" customHeight="1">
      <c r="A4736" t="inlineStr">
        <is>
          <t>糯米饭系列捏捏食品级硅胶捏捏乐默认微瑕留胶可塑黏糊泥</t>
        </is>
      </c>
      <c r="B4736" t="inlineStr">
        <is>
          <t>__upload_recvhfQmhqdphm.jpg</t>
        </is>
      </c>
      <c r="C4736" s="2" t="str">
        <f>=HYPERLINK("https://xhslink.com/m/4YLtxiQFkTm", "https://xhslink.com/m/4YLtxiQFkTm")</f>
        <v>https://xhslink.com/m/4YLtxiQFkTm</v>
      </c>
      <c r="D4736"/>
      <c r="E4736">
        <v>837</v>
      </c>
      <c r="F4736">
        <v>12.8</v>
      </c>
      <c r="G4736"/>
      <c r="H4736">
        <v>100</v>
      </c>
      <c r="I4736" t="inlineStr">
        <is>
          <t>硅胶捏捏</t>
        </is>
      </c>
      <c r="J4736" t="inlineStr">
        <is>
          <t>0.12</t>
        </is>
      </c>
      <c r="K4736"/>
      <c r="L4736" t="inlineStr">
        <is>
          <t>我一定会爆单的！！（捏捏版）的店</t>
        </is>
      </c>
      <c r="M4736">
        <v>32000</v>
      </c>
      <c r="N4736">
        <v>4.48</v>
      </c>
      <c r="O4736">
        <v>103000</v>
      </c>
      <c r="P4736" t="inlineStr">
        <is>
          <t>69c90a9846fe2a00018fb526</t>
        </is>
      </c>
      <c r="Q4736" t="inlineStr">
        <is>
          <t>🚫重复</t>
        </is>
      </c>
      <c r="R4736" t="inlineStr">
        <is>
          <t>17周</t>
        </is>
      </c>
      <c r="S4736" t="inlineStr">
        <is>
          <t>0.03</t>
        </is>
      </c>
      <c r="T4736" t="inlineStr">
        <is>
          <t>运动潮玩</t>
        </is>
      </c>
      <c r="U4736" t="inlineStr">
        <is>
          <t>潮玩手办</t>
        </is>
      </c>
      <c r="V4736" s="3">
        <v>46132.014918981484</v>
      </c>
      <c r="W4736" t="inlineStr">
        <is>
          <t>2026-Q2</t>
        </is>
      </c>
    </row>
    <row r="4737" ht="25.5" customHeight="1">
      <c r="A4737" t="inlineStr">
        <is>
          <t>小熊软糖软胶捏捏默认瑕疵丨全店满29包</t>
        </is>
      </c>
      <c r="B4737" t="inlineStr">
        <is>
          <t>__upload_recvhfQmhqptKS.jpg</t>
        </is>
      </c>
      <c r="C4737" s="2" t="str">
        <f>=HYPERLINK("https://xhslink.com/m/3o3mYmx1zvT", "https://xhslink.com/m/3o3mYmx1zvT")</f>
        <v>https://xhslink.com/m/3o3mYmx1zvT</v>
      </c>
      <c r="D4737"/>
      <c r="E4737">
        <v>352</v>
      </c>
      <c r="F4737">
        <v>20</v>
      </c>
      <c r="G4737">
        <v>5.88</v>
      </c>
      <c r="H4737">
        <v>100</v>
      </c>
      <c r="I4737" t="inlineStr">
        <is>
          <t>硅胶捏捏</t>
        </is>
      </c>
      <c r="J4737" t="inlineStr">
        <is>
          <t>0.28</t>
        </is>
      </c>
      <c r="K4737"/>
      <c r="L4737" t="inlineStr">
        <is>
          <t>yy茶的软胶捏捏的店</t>
        </is>
      </c>
      <c r="M4737">
        <v>3484</v>
      </c>
      <c r="N4737">
        <v>4.51</v>
      </c>
      <c r="O4737">
        <v>1302</v>
      </c>
      <c r="P4737" t="inlineStr">
        <is>
          <t>69d09fc3c8c7330001f35b79</t>
        </is>
      </c>
      <c r="Q4737"/>
      <c r="R4737" t="inlineStr">
        <is>
          <t>17周</t>
        </is>
      </c>
      <c r="S4737" t="inlineStr">
        <is>
          <t>0.10</t>
        </is>
      </c>
      <c r="T4737" t="inlineStr">
        <is>
          <t>运动潮玩</t>
        </is>
      </c>
      <c r="U4737" t="inlineStr">
        <is>
          <t>潮玩手办</t>
        </is>
      </c>
      <c r="V4737" s="3">
        <v>46132.014918981484</v>
      </c>
      <c r="W4737" t="inlineStr">
        <is>
          <t>2026-Q2</t>
        </is>
      </c>
    </row>
    <row r="4738" ht="25.5" customHeight="1">
      <c r="A4738" t="inlineStr">
        <is>
          <t>淡干墨鱼干，淡晒墨鱼干，东海海捕墨鱼干全淡干不加盐</t>
        </is>
      </c>
      <c r="B4738" t="inlineStr">
        <is>
          <t>__upload_recvhfQmhqCSGp.jpg</t>
        </is>
      </c>
      <c r="C4738" s="2" t="str">
        <f>=HYPERLINK("https://xhslink.com/m/5qJJU713zLE", "https://xhslink.com/m/5qJJU713zLE")</f>
        <v>https://xhslink.com/m/5qJJU713zLE</v>
      </c>
      <c r="D4738"/>
      <c r="E4738">
        <v>36000</v>
      </c>
      <c r="F4738">
        <v>95</v>
      </c>
      <c r="G4738">
        <v>79.5</v>
      </c>
      <c r="H4738">
        <v>100</v>
      </c>
      <c r="I4738" t="inlineStr">
        <is>
          <t>海鲜水产</t>
        </is>
      </c>
      <c r="J4738" t="inlineStr">
        <is>
          <t>0.00</t>
        </is>
      </c>
      <c r="K4738" t="inlineStr">
        <is>
          <t>🔥低粉爆款</t>
        </is>
      </c>
      <c r="L4738" t="inlineStr">
        <is>
          <t>卖东海墨鱼干的店</t>
        </is>
      </c>
      <c r="M4738">
        <v>12000</v>
      </c>
      <c r="N4738">
        <v>4.68</v>
      </c>
      <c r="O4738">
        <v>69000</v>
      </c>
      <c r="P4738" t="inlineStr">
        <is>
          <t>68aa85f28f53130001654dae</t>
        </is>
      </c>
      <c r="Q4738" t="inlineStr">
        <is>
          <t>🚫重复</t>
        </is>
      </c>
      <c r="R4738" t="inlineStr">
        <is>
          <t>17周</t>
        </is>
      </c>
      <c r="S4738" t="inlineStr">
        <is>
          <t>3.00</t>
        </is>
      </c>
      <c r="T4738" t="inlineStr">
        <is>
          <t>美食滋补</t>
        </is>
      </c>
      <c r="U4738" t="inlineStr">
        <is>
          <t>生鲜特产</t>
        </is>
      </c>
      <c r="V4738" s="3">
        <v>46132.014918981484</v>
      </c>
      <c r="W4738" t="inlineStr">
        <is>
          <t>2026-Q2</t>
        </is>
      </c>
    </row>
    <row r="4739" ht="25.5" customHeight="1">
      <c r="A4739" t="inlineStr">
        <is>
          <t>青岛扇贝肉大号（20/40规格）净重4斤 去沙无冰带膏带黄 顺丰包邮</t>
        </is>
      </c>
      <c r="B4739" t="inlineStr">
        <is>
          <t>__upload_recvhfQmhqLrVA.jpg</t>
        </is>
      </c>
      <c r="C4739" s="2" t="str">
        <f>=HYPERLINK("https://xhslink.com/m/AQRGKOxlDDb", "https://xhslink.com/m/AQRGKOxlDDb")</f>
        <v>https://xhslink.com/m/AQRGKOxlDDb</v>
      </c>
      <c r="D4739"/>
      <c r="E4739">
        <v>4498</v>
      </c>
      <c r="F4739">
        <v>99.9</v>
      </c>
      <c r="G4739">
        <v>69.9</v>
      </c>
      <c r="H4739">
        <v>100</v>
      </c>
      <c r="I4739" t="inlineStr">
        <is>
          <t>海鲜水产</t>
        </is>
      </c>
      <c r="J4739" t="inlineStr">
        <is>
          <t>0.02</t>
        </is>
      </c>
      <c r="K4739" t="inlineStr">
        <is>
          <t>🔥低粉爆款</t>
        </is>
      </c>
      <c r="L4739" t="inlineStr">
        <is>
          <t>鲜有瘾生鲜的店</t>
        </is>
      </c>
      <c r="M4739">
        <v>618</v>
      </c>
      <c r="N4739">
        <v>4.71</v>
      </c>
      <c r="O4739">
        <v>5131</v>
      </c>
      <c r="P4739" t="inlineStr">
        <is>
          <t>692127d518096d0001807e39</t>
        </is>
      </c>
      <c r="Q4739"/>
      <c r="R4739" t="inlineStr">
        <is>
          <t>17周</t>
        </is>
      </c>
      <c r="S4739" t="inlineStr">
        <is>
          <t>7.28</t>
        </is>
      </c>
      <c r="T4739" t="inlineStr">
        <is>
          <t>美食滋补</t>
        </is>
      </c>
      <c r="U4739" t="inlineStr">
        <is>
          <t>生鲜特产</t>
        </is>
      </c>
      <c r="V4739" s="3">
        <v>46132.014918981484</v>
      </c>
      <c r="W4739" t="inlineStr">
        <is>
          <t>2026-Q2</t>
        </is>
      </c>
    </row>
    <row r="4740" ht="25.5" customHeight="1">
      <c r="A4740" t="inlineStr">
        <is>
          <t>【冰鲜送达】当天鲜切法罗皇冠挪威冰鲜三文鱼新鲜中段料理400g</t>
        </is>
      </c>
      <c r="B4740" t="inlineStr">
        <is>
          <t>__upload_recvhfQmhqFoPK.jpg</t>
        </is>
      </c>
      <c r="C4740" s="2" t="str">
        <f>=HYPERLINK("https://xhslink.com/m/7BCEXYHkDNt", "https://xhslink.com/m/7BCEXYHkDNt")</f>
        <v>https://xhslink.com/m/7BCEXYHkDNt</v>
      </c>
      <c r="D4740"/>
      <c r="E4740">
        <v>55000</v>
      </c>
      <c r="F4740">
        <v>108</v>
      </c>
      <c r="G4740"/>
      <c r="H4740">
        <v>100</v>
      </c>
      <c r="I4740" t="inlineStr">
        <is>
          <t>海鲜水产</t>
        </is>
      </c>
      <c r="J4740" t="inlineStr">
        <is>
          <t>0.00</t>
        </is>
      </c>
      <c r="K4740" t="inlineStr">
        <is>
          <t>🔥低粉爆款</t>
        </is>
      </c>
      <c r="L4740" t="inlineStr">
        <is>
          <t>如伊鲜三文鱼的店</t>
        </is>
      </c>
      <c r="M4740">
        <v>13000</v>
      </c>
      <c r="N4740">
        <v>4.73</v>
      </c>
      <c r="O4740">
        <v>60000</v>
      </c>
      <c r="P4740" t="inlineStr">
        <is>
          <t>660660519f57d1000116e66e</t>
        </is>
      </c>
      <c r="Q4740" t="inlineStr">
        <is>
          <t>🚫重复</t>
        </is>
      </c>
      <c r="R4740" t="inlineStr">
        <is>
          <t>17周</t>
        </is>
      </c>
      <c r="S4740" t="inlineStr">
        <is>
          <t>4.23</t>
        </is>
      </c>
      <c r="T4740" t="inlineStr">
        <is>
          <t>美食滋补</t>
        </is>
      </c>
      <c r="U4740" t="inlineStr">
        <is>
          <t>生鲜特产</t>
        </is>
      </c>
      <c r="V4740" s="3">
        <v>46132.014918981484</v>
      </c>
      <c r="W4740" t="inlineStr">
        <is>
          <t>2026-Q2</t>
        </is>
      </c>
    </row>
    <row r="4741" ht="25.5" customHeight="1">
      <c r="A4741" t="inlineStr">
        <is>
          <t>免清理龙利鱼 去皮去内脏无冰衣无任何添加 4/6/8包 （250克/包）</t>
        </is>
      </c>
      <c r="B4741" t="inlineStr">
        <is>
          <t>__upload_recvhfQmhqlptq.jpg</t>
        </is>
      </c>
      <c r="C4741" s="2" t="str">
        <f>=HYPERLINK("https://xhslink.com/m/5UBGzSAlBiS", "https://xhslink.com/m/5UBGzSAlBiS")</f>
        <v>https://xhslink.com/m/5UBGzSAlBiS</v>
      </c>
      <c r="D4741"/>
      <c r="E4741">
        <v>1874</v>
      </c>
      <c r="F4741">
        <v>78</v>
      </c>
      <c r="G4741"/>
      <c r="H4741">
        <v>100</v>
      </c>
      <c r="I4741" t="inlineStr">
        <is>
          <t>海鲜水产</t>
        </is>
      </c>
      <c r="J4741" t="inlineStr">
        <is>
          <t>0.05</t>
        </is>
      </c>
      <c r="K4741"/>
      <c r="L4741" t="inlineStr">
        <is>
          <t>良子海鲜美食的店</t>
        </is>
      </c>
      <c r="M4741">
        <v>21000</v>
      </c>
      <c r="N4741">
        <v>4.79</v>
      </c>
      <c r="O4741">
        <v>2963</v>
      </c>
      <c r="P4741" t="inlineStr">
        <is>
          <t>65ada8109ae7f400018847b8</t>
        </is>
      </c>
      <c r="Q4741"/>
      <c r="R4741" t="inlineStr">
        <is>
          <t>17周</t>
        </is>
      </c>
      <c r="S4741" t="inlineStr">
        <is>
          <t>0.09</t>
        </is>
      </c>
      <c r="T4741" t="inlineStr">
        <is>
          <t>美食滋补</t>
        </is>
      </c>
      <c r="U4741" t="inlineStr">
        <is>
          <t>生鲜特产</t>
        </is>
      </c>
      <c r="V4741" s="3">
        <v>46132.014918981484</v>
      </c>
      <c r="W4741" t="inlineStr">
        <is>
          <t>2026-Q2</t>
        </is>
      </c>
    </row>
    <row r="4742" ht="25.5" customHeight="1">
      <c r="A4742" t="inlineStr">
        <is>
          <t>【顺丰包邮】正宗海南黑金刚莲雾热带水果孕妇水果脆口鲜甜多汁</t>
        </is>
      </c>
      <c r="B4742" t="inlineStr">
        <is>
          <t>__upload_recvhfQmhqp5FR.jpg</t>
        </is>
      </c>
      <c r="C4742" s="2" t="str">
        <f>=HYPERLINK("https://xhslink.com/m/2brSyIPj6vK", "https://xhslink.com/m/2brSyIPj6vK")</f>
        <v>https://xhslink.com/m/2brSyIPj6vK</v>
      </c>
      <c r="D4742"/>
      <c r="E4742">
        <v>13000</v>
      </c>
      <c r="F4742">
        <v>159</v>
      </c>
      <c r="G4742">
        <v>79</v>
      </c>
      <c r="H4742">
        <v>100</v>
      </c>
      <c r="I4742" t="inlineStr">
        <is>
          <t>水果</t>
        </is>
      </c>
      <c r="J4742" t="inlineStr">
        <is>
          <t>0.01</t>
        </is>
      </c>
      <c r="K4742" t="inlineStr">
        <is>
          <t>🔥低粉爆款</t>
        </is>
      </c>
      <c r="L4742" t="inlineStr">
        <is>
          <t>海南派仔黑金刚莲雾的店</t>
        </is>
      </c>
      <c r="M4742">
        <v>592</v>
      </c>
      <c r="N4742">
        <v>4.6</v>
      </c>
      <c r="O4742">
        <v>15000</v>
      </c>
      <c r="P4742" t="inlineStr">
        <is>
          <t>68901636417c3f0001ef6775</t>
        </is>
      </c>
      <c r="Q4742"/>
      <c r="R4742" t="inlineStr">
        <is>
          <t>17周</t>
        </is>
      </c>
      <c r="S4742" t="inlineStr">
        <is>
          <t>21.96</t>
        </is>
      </c>
      <c r="T4742" t="inlineStr">
        <is>
          <t>美食滋补</t>
        </is>
      </c>
      <c r="U4742" t="inlineStr">
        <is>
          <t>生鲜特产</t>
        </is>
      </c>
      <c r="V4742" s="3">
        <v>46132.014918981484</v>
      </c>
      <c r="W4742" t="inlineStr">
        <is>
          <t>2026-Q2</t>
        </is>
      </c>
    </row>
    <row r="4743" ht="25.5" customHeight="1">
      <c r="A4743" t="inlineStr">
        <is>
          <t>天天奶奶陕西泾阳新鲜普罗旺斯水果沙瓤西红柿4.5斤</t>
        </is>
      </c>
      <c r="B4743" t="inlineStr">
        <is>
          <t>__upload_recvhfQmhq0zOH.jpg</t>
        </is>
      </c>
      <c r="C4743" s="2" t="str">
        <f>=HYPERLINK("https://xhslink.com/m/49o08eZJzgL", "https://xhslink.com/m/49o08eZJzgL")</f>
        <v>https://xhslink.com/m/49o08eZJzgL</v>
      </c>
      <c r="D4743"/>
      <c r="E4743">
        <v>37000</v>
      </c>
      <c r="F4743">
        <v>49.9</v>
      </c>
      <c r="G4743">
        <v>39.9</v>
      </c>
      <c r="H4743">
        <v>100</v>
      </c>
      <c r="I4743" t="inlineStr">
        <is>
          <t>水果</t>
        </is>
      </c>
      <c r="J4743" t="inlineStr">
        <is>
          <t>0.00</t>
        </is>
      </c>
      <c r="K4743"/>
      <c r="L4743" t="inlineStr">
        <is>
          <t>天天奶奶的乡村味道的店</t>
        </is>
      </c>
      <c r="M4743">
        <v>68000</v>
      </c>
      <c r="N4743">
        <v>4.68</v>
      </c>
      <c r="O4743">
        <v>143000</v>
      </c>
      <c r="P4743" t="inlineStr">
        <is>
          <t>63ff59283af4270001f2fd2d</t>
        </is>
      </c>
      <c r="Q4743"/>
      <c r="R4743" t="inlineStr">
        <is>
          <t>17周</t>
        </is>
      </c>
      <c r="S4743" t="inlineStr">
        <is>
          <t>0.54</t>
        </is>
      </c>
      <c r="T4743" t="inlineStr">
        <is>
          <t>美食滋补</t>
        </is>
      </c>
      <c r="U4743" t="inlineStr">
        <is>
          <t>生鲜特产</t>
        </is>
      </c>
      <c r="V4743" s="3">
        <v>46132.014918981484</v>
      </c>
      <c r="W4743" t="inlineStr">
        <is>
          <t>2026-Q2</t>
        </is>
      </c>
    </row>
    <row r="4744" ht="25.5" customHeight="1">
      <c r="A4744" t="inlineStr">
        <is>
          <t>【顺丰/JD】新鲜云南蓝莓甄选当季鲜果孕妇宝宝辅食整箱现摘S8-1</t>
        </is>
      </c>
      <c r="B4744" t="inlineStr">
        <is>
          <t>__upload_recvhfQmhqmCJA.jpg</t>
        </is>
      </c>
      <c r="C4744" s="2" t="str">
        <f>=HYPERLINK("https://xhslink.com/m/uPVRAoiKDS", "https://xhslink.com/m/uPVRAoiKDS")</f>
        <v>https://xhslink.com/m/uPVRAoiKDS</v>
      </c>
      <c r="D4744"/>
      <c r="E4744">
        <v>53000</v>
      </c>
      <c r="F4744">
        <v>47.8</v>
      </c>
      <c r="G4744">
        <v>17.8</v>
      </c>
      <c r="H4744">
        <v>100</v>
      </c>
      <c r="I4744" t="inlineStr">
        <is>
          <t>水果</t>
        </is>
      </c>
      <c r="J4744" t="inlineStr">
        <is>
          <t>0.00</t>
        </is>
      </c>
      <c r="K4744" t="inlineStr">
        <is>
          <t>🔥低粉爆款</t>
        </is>
      </c>
      <c r="L4744" t="inlineStr">
        <is>
          <t>卓果鲜的店</t>
        </is>
      </c>
      <c r="M4744">
        <v>444</v>
      </c>
      <c r="N4744">
        <v>4.36</v>
      </c>
      <c r="O4744">
        <v>86000</v>
      </c>
      <c r="P4744" t="inlineStr">
        <is>
          <t>6916d0541c5b2a0001c226e4</t>
        </is>
      </c>
      <c r="Q4744" t="inlineStr">
        <is>
          <t>🚫重复</t>
        </is>
      </c>
      <c r="R4744" t="inlineStr">
        <is>
          <t>17周</t>
        </is>
      </c>
      <c r="S4744" t="inlineStr">
        <is>
          <t>119.37</t>
        </is>
      </c>
      <c r="T4744" t="inlineStr">
        <is>
          <t>母婴亲子</t>
        </is>
      </c>
      <c r="U4744" t="inlineStr">
        <is>
          <t>童装童鞋</t>
        </is>
      </c>
      <c r="V4744" s="3">
        <v>46132.014918981484</v>
      </c>
      <c r="W4744" t="inlineStr">
        <is>
          <t>2026-Q2</t>
        </is>
      </c>
    </row>
    <row r="4745" ht="25.5" customHeight="1">
      <c r="A4745" t="inlineStr">
        <is>
          <t>顺丰自然熟多籽番茄盘锦碱地柿子草莓西红柿铁皮番茄酸甜水果孕妇</t>
        </is>
      </c>
      <c r="B4745" t="inlineStr">
        <is>
          <t>__upload_recvhfQmhqYxcV.jpg</t>
        </is>
      </c>
      <c r="C4745" s="2" t="str">
        <f>=HYPERLINK("https://xhslink.com/m/2iyAOTBuXrw", "https://xhslink.com/m/2iyAOTBuXrw")</f>
        <v>https://xhslink.com/m/2iyAOTBuXrw</v>
      </c>
      <c r="D4745"/>
      <c r="E4745">
        <v>46000</v>
      </c>
      <c r="F4745">
        <v>45.9</v>
      </c>
      <c r="G4745">
        <v>35.9</v>
      </c>
      <c r="H4745">
        <v>100</v>
      </c>
      <c r="I4745" t="inlineStr">
        <is>
          <t>水果</t>
        </is>
      </c>
      <c r="J4745" t="inlineStr">
        <is>
          <t>0.00</t>
        </is>
      </c>
      <c r="K4745" t="inlineStr">
        <is>
          <t>🔥低粉爆款</t>
        </is>
      </c>
      <c r="L4745" t="inlineStr">
        <is>
          <t>盘锦天成碱地柿子的店</t>
        </is>
      </c>
      <c r="M4745">
        <v>4719</v>
      </c>
      <c r="N4745">
        <v>4.51</v>
      </c>
      <c r="O4745">
        <v>60000</v>
      </c>
      <c r="P4745" t="inlineStr">
        <is>
          <t>68391ddb3aaa1e00016b23ac</t>
        </is>
      </c>
      <c r="Q4745"/>
      <c r="R4745" t="inlineStr">
        <is>
          <t>17周</t>
        </is>
      </c>
      <c r="S4745" t="inlineStr">
        <is>
          <t>9.75</t>
        </is>
      </c>
      <c r="T4745" t="inlineStr">
        <is>
          <t>家居生活</t>
        </is>
      </c>
      <c r="U4745" t="inlineStr">
        <is>
          <t>厨房餐饮</t>
        </is>
      </c>
      <c r="V4745" s="3">
        <v>46132.014918981484</v>
      </c>
      <c r="W4745" t="inlineStr">
        <is>
          <t>2026-Q2</t>
        </is>
      </c>
    </row>
    <row r="4746" ht="25.5" customHeight="1">
      <c r="A4746" t="inlineStr">
        <is>
          <t>黄心油桃脆甜多汁当季现摘整箱新鲜水果孕妇水果</t>
        </is>
      </c>
      <c r="B4746" t="inlineStr">
        <is>
          <t>__upload_recvhfQmhqeWMK.jpg</t>
        </is>
      </c>
      <c r="C4746" s="2" t="str">
        <f>=HYPERLINK("https://xhslink.com/m/1v84Zboybw", "https://xhslink.com/m/1v84Zboybw")</f>
        <v>https://xhslink.com/m/1v84Zboybw</v>
      </c>
      <c r="D4746"/>
      <c r="E4746">
        <v>17000</v>
      </c>
      <c r="F4746">
        <v>43.9</v>
      </c>
      <c r="G4746">
        <v>33.9</v>
      </c>
      <c r="H4746">
        <v>100</v>
      </c>
      <c r="I4746" t="inlineStr">
        <is>
          <t>水果</t>
        </is>
      </c>
      <c r="J4746" t="inlineStr">
        <is>
          <t>0.01</t>
        </is>
      </c>
      <c r="K4746" t="inlineStr">
        <is>
          <t>🔥低粉爆款</t>
        </is>
      </c>
      <c r="L4746" t="inlineStr">
        <is>
          <t>小小小小刺猬的店</t>
        </is>
      </c>
      <c r="M4746">
        <v>116</v>
      </c>
      <c r="N4746">
        <v>4.41</v>
      </c>
      <c r="O4746">
        <v>9384</v>
      </c>
      <c r="P4746" t="inlineStr">
        <is>
          <t>69d5cc5eda5d200001ad5678</t>
        </is>
      </c>
      <c r="Q4746"/>
      <c r="R4746" t="inlineStr">
        <is>
          <t>17周</t>
        </is>
      </c>
      <c r="S4746" t="inlineStr">
        <is>
          <t>146.55</t>
        </is>
      </c>
      <c r="T4746" t="inlineStr">
        <is>
          <t>美食滋补</t>
        </is>
      </c>
      <c r="U4746" t="inlineStr">
        <is>
          <t>生鲜特产</t>
        </is>
      </c>
      <c r="V4746" s="3">
        <v>46132.014918981484</v>
      </c>
      <c r="W4746" t="inlineStr">
        <is>
          <t>2026-Q2</t>
        </is>
      </c>
    </row>
    <row r="4747" ht="25.5" customHeight="1">
      <c r="A4747" t="inlineStr">
        <is>
          <t>广西红心木瓜新鲜孕妇水果牛奶冰糖心木瓜树上熟产地直发</t>
        </is>
      </c>
      <c r="B4747" t="inlineStr">
        <is>
          <t>__upload_recvhfQmhq6qjQ.jpg</t>
        </is>
      </c>
      <c r="C4747" s="2" t="str">
        <f>=HYPERLINK("https://xhslink.com/m/2neK6bVXAG4", "https://xhslink.com/m/2neK6bVXAG4")</f>
        <v>https://xhslink.com/m/2neK6bVXAG4</v>
      </c>
      <c r="D4747"/>
      <c r="E4747">
        <v>25000</v>
      </c>
      <c r="F4747">
        <v>43.6</v>
      </c>
      <c r="G4747">
        <v>31.6</v>
      </c>
      <c r="H4747">
        <v>100</v>
      </c>
      <c r="I4747" t="inlineStr">
        <is>
          <t>水果</t>
        </is>
      </c>
      <c r="J4747" t="inlineStr">
        <is>
          <t>0.00</t>
        </is>
      </c>
      <c r="K4747" t="inlineStr">
        <is>
          <t>🔥低粉爆款</t>
        </is>
      </c>
      <c r="L4747" t="inlineStr">
        <is>
          <t>西西的田间日记的店</t>
        </is>
      </c>
      <c r="M4747">
        <v>35</v>
      </c>
      <c r="N4747">
        <v>4.41</v>
      </c>
      <c r="O4747">
        <v>8087</v>
      </c>
      <c r="P4747" t="inlineStr">
        <is>
          <t>69be4b60ec6664000106640f</t>
        </is>
      </c>
      <c r="Q4747" t="inlineStr">
        <is>
          <t>🚫重复</t>
        </is>
      </c>
      <c r="R4747" t="inlineStr">
        <is>
          <t>17周</t>
        </is>
      </c>
      <c r="S4747" t="inlineStr">
        <is>
          <t>714.29</t>
        </is>
      </c>
      <c r="T4747" t="inlineStr">
        <is>
          <t>美食滋补</t>
        </is>
      </c>
      <c r="U4747" t="inlineStr">
        <is>
          <t>酒水冲饮</t>
        </is>
      </c>
      <c r="V4747" s="3">
        <v>46132.014918981484</v>
      </c>
      <c r="W4747" t="inlineStr">
        <is>
          <t>2026-Q2</t>
        </is>
      </c>
    </row>
    <row r="4748" ht="25.5" customHeight="1">
      <c r="A4748" t="inlineStr">
        <is>
          <t>麸味希腊冷萃干噎厚酸奶拍两罐及以上有满减单罐220</t>
        </is>
      </c>
      <c r="B4748" t="inlineStr">
        <is>
          <t>__upload_recvhfQmhqiYL7.jpg</t>
        </is>
      </c>
      <c r="C4748" s="2" t="str">
        <f>=HYPERLINK("https://xhslink.com/m/60DclCcahAx", "https://xhslink.com/m/60DclCcahAx")</f>
        <v>https://xhslink.com/m/60DclCcahAx</v>
      </c>
      <c r="D4748"/>
      <c r="E4748">
        <v>235000</v>
      </c>
      <c r="F4748">
        <v>27.8</v>
      </c>
      <c r="G4748"/>
      <c r="H4748">
        <v>100</v>
      </c>
      <c r="I4748" t="inlineStr">
        <is>
          <t>酸奶</t>
        </is>
      </c>
      <c r="J4748" t="inlineStr">
        <is>
          <t>0.00</t>
        </is>
      </c>
      <c r="K4748" t="inlineStr">
        <is>
          <t>🔥低粉爆款</t>
        </is>
      </c>
      <c r="L4748" t="inlineStr">
        <is>
          <t>麸味冷萃希腊酸奶的店</t>
        </is>
      </c>
      <c r="M4748">
        <v>27000</v>
      </c>
      <c r="N4748">
        <v>4.55</v>
      </c>
      <c r="O4748">
        <v>253000</v>
      </c>
      <c r="P4748" t="inlineStr">
        <is>
          <t>67f6468d04afe30001ba8af7</t>
        </is>
      </c>
      <c r="Q4748" t="inlineStr">
        <is>
          <t>🚫重复</t>
        </is>
      </c>
      <c r="R4748" t="inlineStr">
        <is>
          <t>17周</t>
        </is>
      </c>
      <c r="S4748" t="inlineStr">
        <is>
          <t>8.70</t>
        </is>
      </c>
      <c r="T4748" t="inlineStr">
        <is>
          <t>美食滋补</t>
        </is>
      </c>
      <c r="U4748" t="inlineStr">
        <is>
          <t>酒水冲饮</t>
        </is>
      </c>
      <c r="V4748" s="3">
        <v>46132.014918981484</v>
      </c>
      <c r="W4748" t="inlineStr">
        <is>
          <t>2026-Q2</t>
        </is>
      </c>
    </row>
    <row r="4749" ht="25.5" customHeight="1">
      <c r="A4749" t="inlineStr">
        <is>
          <t>ChillBake冷萃干噎酸奶 下单送一罐110g香芋味 拍两罐立减10元</t>
        </is>
      </c>
      <c r="B4749" t="inlineStr">
        <is>
          <t>__upload_recvhfQmhqZw9n.jpg</t>
        </is>
      </c>
      <c r="C4749" s="2" t="str">
        <f>=HYPERLINK("https://xhslink.com/m/7T6nz4BeyHk", "https://xhslink.com/m/7T6nz4BeyHk")</f>
        <v>https://xhslink.com/m/7T6nz4BeyHk</v>
      </c>
      <c r="D4749"/>
      <c r="E4749">
        <v>13000</v>
      </c>
      <c r="F4749">
        <v>32.8</v>
      </c>
      <c r="G4749">
        <v>26.8</v>
      </c>
      <c r="H4749">
        <v>100</v>
      </c>
      <c r="I4749" t="inlineStr">
        <is>
          <t>酸奶</t>
        </is>
      </c>
      <c r="J4749" t="inlineStr">
        <is>
          <t>0.01</t>
        </is>
      </c>
      <c r="K4749" t="inlineStr">
        <is>
          <t>🔥低粉爆款</t>
        </is>
      </c>
      <c r="L4749" t="inlineStr">
        <is>
          <t>ChillBake手作的店</t>
        </is>
      </c>
      <c r="M4749">
        <v>3781</v>
      </c>
      <c r="N4749">
        <v>4.44</v>
      </c>
      <c r="O4749">
        <v>13000</v>
      </c>
      <c r="P4749" t="inlineStr">
        <is>
          <t>68c155d5a756a700019f5908</t>
        </is>
      </c>
      <c r="Q4749"/>
      <c r="R4749" t="inlineStr">
        <is>
          <t>17周</t>
        </is>
      </c>
      <c r="S4749" t="inlineStr">
        <is>
          <t>3.44</t>
        </is>
      </c>
      <c r="T4749" t="inlineStr">
        <is>
          <t>美食滋补</t>
        </is>
      </c>
      <c r="U4749" t="inlineStr">
        <is>
          <t>酒水冲饮</t>
        </is>
      </c>
      <c r="V4749" s="3">
        <v>46132.014918981484</v>
      </c>
      <c r="W4749" t="inlineStr">
        <is>
          <t>2026-Q2</t>
        </is>
      </c>
    </row>
    <row r="4750" ht="25.5" customHeight="1">
      <c r="A4750" t="inlineStr">
        <is>
          <t>【半斤装双拼超划算】希腊冷萃干噎酸奶石膏厚乳网红顺丰冷链包邮</t>
        </is>
      </c>
      <c r="B4750" t="inlineStr">
        <is>
          <t>__upload_recvhfQmhqdquh.jpg</t>
        </is>
      </c>
      <c r="C4750" s="2" t="str">
        <f>=HYPERLINK("https://xhslink.com/m/AZg28GCUXsf", "https://xhslink.com/m/AZg28GCUXsf")</f>
        <v>https://xhslink.com/m/AZg28GCUXsf</v>
      </c>
      <c r="D4750"/>
      <c r="E4750">
        <v>11000</v>
      </c>
      <c r="F4750">
        <v>28.9</v>
      </c>
      <c r="G4750"/>
      <c r="H4750">
        <v>100</v>
      </c>
      <c r="I4750" t="inlineStr">
        <is>
          <t>酸奶</t>
        </is>
      </c>
      <c r="J4750" t="inlineStr">
        <is>
          <t>0.01</t>
        </is>
      </c>
      <c r="K4750" t="inlineStr">
        <is>
          <t>🔥低粉爆款</t>
        </is>
      </c>
      <c r="L4750" t="inlineStr">
        <is>
          <t>第0号牧场的店</t>
        </is>
      </c>
      <c r="M4750">
        <v>2942</v>
      </c>
      <c r="N4750">
        <v>4.44</v>
      </c>
      <c r="O4750">
        <v>263000</v>
      </c>
      <c r="P4750" t="inlineStr">
        <is>
          <t>69c22eccd95b5a0001084dfe</t>
        </is>
      </c>
      <c r="Q4750"/>
      <c r="R4750" t="inlineStr">
        <is>
          <t>17周</t>
        </is>
      </c>
      <c r="S4750" t="inlineStr">
        <is>
          <t>3.74</t>
        </is>
      </c>
      <c r="T4750" t="inlineStr">
        <is>
          <t>美食滋补</t>
        </is>
      </c>
      <c r="U4750" t="inlineStr">
        <is>
          <t>酒水冲饮</t>
        </is>
      </c>
      <c r="V4750" s="3">
        <v>46132.014918981484</v>
      </c>
      <c r="W4750" t="inlineStr">
        <is>
          <t>2026-Q2</t>
        </is>
      </c>
    </row>
    <row r="4751" ht="25.5" customHeight="1">
      <c r="A4751" t="inlineStr">
        <is>
          <t>ÖarmiLk · 2.0升级款无蔗糖酸奶6种有益菌单桶发酵低温酸奶720g*2桶D</t>
        </is>
      </c>
      <c r="B4751" t="inlineStr">
        <is>
          <t>__upload_recvhfQmhqYATw.jpg</t>
        </is>
      </c>
      <c r="C4751" s="2" t="str">
        <f>=HYPERLINK("https://xhslink.com/m/8UTRT6mo2b", "https://xhslink.com/m/8UTRT6mo2b")</f>
        <v>https://xhslink.com/m/8UTRT6mo2b</v>
      </c>
      <c r="D4751"/>
      <c r="E4751">
        <v>23000</v>
      </c>
      <c r="F4751">
        <v>79.9</v>
      </c>
      <c r="G4751">
        <v>49.9</v>
      </c>
      <c r="H4751">
        <v>100</v>
      </c>
      <c r="I4751" t="inlineStr">
        <is>
          <t>酸奶</t>
        </is>
      </c>
      <c r="J4751" t="inlineStr">
        <is>
          <t>0.00</t>
        </is>
      </c>
      <c r="K4751"/>
      <c r="L4751" t="inlineStr">
        <is>
          <t>Oarmilk吾岛旗舰店</t>
        </is>
      </c>
      <c r="M4751">
        <v>25000</v>
      </c>
      <c r="N4751">
        <v>4.58</v>
      </c>
      <c r="O4751">
        <v>217000</v>
      </c>
      <c r="P4751" t="inlineStr">
        <is>
          <t>6684f21ae389a10001c58214</t>
        </is>
      </c>
      <c r="Q4751"/>
      <c r="R4751" t="inlineStr">
        <is>
          <t>17周</t>
        </is>
      </c>
      <c r="S4751" t="inlineStr">
        <is>
          <t>0.92</t>
        </is>
      </c>
      <c r="T4751" t="inlineStr">
        <is>
          <t>美食滋补</t>
        </is>
      </c>
      <c r="U4751" t="inlineStr">
        <is>
          <t>酒水冲饮</t>
        </is>
      </c>
      <c r="V4751" s="3">
        <v>46132.014918981484</v>
      </c>
      <c r="W4751" t="inlineStr">
        <is>
          <t>2026-Q2</t>
        </is>
      </c>
    </row>
    <row r="4752" ht="25.5" customHeight="1">
      <c r="A4752" t="inlineStr">
        <is>
          <t>【孤品捡漏专区】天然水晶手串原创设计款 默认微瑕 介意勿拍</t>
        </is>
      </c>
      <c r="B4752" t="inlineStr">
        <is>
          <t>__upload_recvhfQmhqlez9.jpg</t>
        </is>
      </c>
      <c r="C4752" s="2" t="str">
        <f>=HYPERLINK("https://xhslink.com/m/8eJqglA8w5", "https://xhslink.com/m/8eJqglA8w5")</f>
        <v>https://xhslink.com/m/8eJqglA8w5</v>
      </c>
      <c r="D4752"/>
      <c r="E4752">
        <v>25000</v>
      </c>
      <c r="F4752">
        <v>39.9</v>
      </c>
      <c r="G4752"/>
      <c r="H4752">
        <v>100</v>
      </c>
      <c r="I4752" t="inlineStr">
        <is>
          <t>配饰</t>
        </is>
      </c>
      <c r="J4752" t="inlineStr">
        <is>
          <t>0.00</t>
        </is>
      </c>
      <c r="K4752"/>
      <c r="L4752" t="inlineStr">
        <is>
          <t>FENGL水晶定制的店</t>
        </is>
      </c>
      <c r="M4752">
        <v>21000</v>
      </c>
      <c r="N4752">
        <v>4.47</v>
      </c>
      <c r="O4752">
        <v>55000</v>
      </c>
      <c r="P4752" t="inlineStr">
        <is>
          <t>681df2f410039a0001163bd1</t>
        </is>
      </c>
      <c r="Q4752" t="inlineStr">
        <is>
          <t>🚫重复</t>
        </is>
      </c>
      <c r="R4752" t="inlineStr">
        <is>
          <t>17周</t>
        </is>
      </c>
      <c r="S4752" t="inlineStr">
        <is>
          <t>1.19</t>
        </is>
      </c>
      <c r="T4752" t="inlineStr">
        <is>
          <t>服饰穿搭</t>
        </is>
      </c>
      <c r="U4752" t="inlineStr">
        <is>
          <t>配饰</t>
        </is>
      </c>
      <c r="V4752" s="3">
        <v>46132.014918981484</v>
      </c>
      <c r="W4752" t="inlineStr">
        <is>
          <t>2026-Q2</t>
        </is>
      </c>
    </row>
    <row r="4753" ht="25.5" customHeight="1">
      <c r="A4753" t="inlineStr">
        <is>
          <t>进口正圆强暖光人造水晶珍珠美国14K包金ins风手链</t>
        </is>
      </c>
      <c r="B4753" t="inlineStr">
        <is>
          <t>__upload_recvhfQmhqVFR0.jpg</t>
        </is>
      </c>
      <c r="C4753" s="2" t="str">
        <f>=HYPERLINK("https://xhslink.com/m/Tccgs3S74K", "https://xhslink.com/m/Tccgs3S74K")</f>
        <v>https://xhslink.com/m/Tccgs3S74K</v>
      </c>
      <c r="D4753"/>
      <c r="E4753">
        <v>56000</v>
      </c>
      <c r="F4753">
        <v>88</v>
      </c>
      <c r="G4753">
        <v>74.8</v>
      </c>
      <c r="H4753">
        <v>100</v>
      </c>
      <c r="I4753" t="inlineStr">
        <is>
          <t>配饰</t>
        </is>
      </c>
      <c r="J4753" t="inlineStr">
        <is>
          <t>0.00</t>
        </is>
      </c>
      <c r="K4753"/>
      <c r="L4753" t="inlineStr">
        <is>
          <t>Carmen Studio的店</t>
        </is>
      </c>
      <c r="M4753">
        <v>26000</v>
      </c>
      <c r="N4753">
        <v>4.65</v>
      </c>
      <c r="O4753">
        <v>71000</v>
      </c>
      <c r="P4753" t="inlineStr">
        <is>
          <t>66c2b3a93a77210001722a00</t>
        </is>
      </c>
      <c r="Q4753"/>
      <c r="R4753" t="inlineStr">
        <is>
          <t>17周</t>
        </is>
      </c>
      <c r="S4753" t="inlineStr">
        <is>
          <t>2.15</t>
        </is>
      </c>
      <c r="T4753" t="inlineStr">
        <is>
          <t>服饰穿搭</t>
        </is>
      </c>
      <c r="U4753" t="inlineStr">
        <is>
          <t>配饰</t>
        </is>
      </c>
      <c r="V4753" s="3">
        <v>46132.014918981484</v>
      </c>
      <c r="W4753" t="inlineStr">
        <is>
          <t>2026-Q2</t>
        </is>
      </c>
    </row>
    <row r="4754" ht="25.5" customHeight="1">
      <c r="A4754" t="inlineStr">
        <is>
          <t>中国生灵动物追踪手链•国风礼物</t>
        </is>
      </c>
      <c r="B4754" t="inlineStr">
        <is>
          <t>__upload_recvhfQmhqQ8BU.jpg</t>
        </is>
      </c>
      <c r="C4754" s="2" t="str">
        <f>=HYPERLINK("https://xhslink.com/m/pgIeRE9N7M", "https://xhslink.com/m/pgIeRE9N7M")</f>
        <v>https://xhslink.com/m/pgIeRE9N7M</v>
      </c>
      <c r="D4754"/>
      <c r="E4754">
        <v>49000</v>
      </c>
      <c r="F4754">
        <v>159</v>
      </c>
      <c r="G4754"/>
      <c r="H4754">
        <v>100</v>
      </c>
      <c r="I4754" t="inlineStr">
        <is>
          <t>配饰</t>
        </is>
      </c>
      <c r="J4754" t="inlineStr">
        <is>
          <t>0.00</t>
        </is>
      </c>
      <c r="K4754"/>
      <c r="L4754" t="inlineStr">
        <is>
          <t>中国生灵动物追踪的店</t>
        </is>
      </c>
      <c r="M4754">
        <v>164000</v>
      </c>
      <c r="N4754">
        <v>4.65</v>
      </c>
      <c r="O4754">
        <v>56000</v>
      </c>
      <c r="P4754" t="inlineStr">
        <is>
          <t>6613fdffeb324400016b2eda</t>
        </is>
      </c>
      <c r="Q4754" t="inlineStr">
        <is>
          <t>🚫重复</t>
        </is>
      </c>
      <c r="R4754" t="inlineStr">
        <is>
          <t>17周</t>
        </is>
      </c>
      <c r="S4754" t="inlineStr">
        <is>
          <t>0.30</t>
        </is>
      </c>
      <c r="T4754" t="inlineStr">
        <is>
          <t>服饰穿搭</t>
        </is>
      </c>
      <c r="U4754" t="inlineStr">
        <is>
          <t>配饰</t>
        </is>
      </c>
      <c r="V4754" s="3">
        <v>46132.014918981484</v>
      </c>
      <c r="W4754" t="inlineStr">
        <is>
          <t>2026-Q2</t>
        </is>
      </c>
    </row>
    <row r="4755" ht="25.5" customHeight="1">
      <c r="A4755" t="inlineStr">
        <is>
          <t>Rubyday · 甜心派对Sweet party碎银手链 少女心精致感手链</t>
        </is>
      </c>
      <c r="B4755" t="inlineStr">
        <is>
          <t>__upload_recvhfQmhqNZ0s.jpg</t>
        </is>
      </c>
      <c r="C4755" s="2" t="str">
        <f>=HYPERLINK("https://xhslink.com/m/9CRchDLGe8B", "https://xhslink.com/m/9CRchDLGe8B")</f>
        <v>https://xhslink.com/m/9CRchDLGe8B</v>
      </c>
      <c r="D4755"/>
      <c r="E4755">
        <v>21000</v>
      </c>
      <c r="F4755">
        <v>49</v>
      </c>
      <c r="G4755">
        <v>43.12</v>
      </c>
      <c r="H4755">
        <v>100</v>
      </c>
      <c r="I4755" t="inlineStr">
        <is>
          <t>配饰</t>
        </is>
      </c>
      <c r="J4755" t="inlineStr">
        <is>
          <t>0.00</t>
        </is>
      </c>
      <c r="K4755"/>
      <c r="L4755" t="inlineStr">
        <is>
          <t>Rubyday.Shop的店</t>
        </is>
      </c>
      <c r="M4755">
        <v>110000</v>
      </c>
      <c r="N4755">
        <v>4.53</v>
      </c>
      <c r="O4755">
        <v>108000</v>
      </c>
      <c r="P4755" t="inlineStr">
        <is>
          <t>67fccec38c174700012d0617</t>
        </is>
      </c>
      <c r="Q4755" t="inlineStr">
        <is>
          <t>🚫重复</t>
        </is>
      </c>
      <c r="R4755" t="inlineStr">
        <is>
          <t>17周</t>
        </is>
      </c>
      <c r="S4755" t="inlineStr">
        <is>
          <t>0.19</t>
        </is>
      </c>
      <c r="T4755" t="inlineStr">
        <is>
          <t>服饰穿搭</t>
        </is>
      </c>
      <c r="U4755" t="inlineStr">
        <is>
          <t>配饰</t>
        </is>
      </c>
      <c r="V4755" s="3">
        <v>46132.014918981484</v>
      </c>
      <c r="W4755" t="inlineStr">
        <is>
          <t>2026-Q2</t>
        </is>
      </c>
    </row>
    <row r="4756" ht="25.5" customHeight="1">
      <c r="A4756" t="inlineStr">
        <is>
          <t>旧时笺 NewVintage复古 Beach Bracelet手链 SL0125</t>
        </is>
      </c>
      <c r="B4756" t="inlineStr">
        <is>
          <t>__upload_recvhfQmhq2XCi.jpg</t>
        </is>
      </c>
      <c r="C4756" s="2" t="str">
        <f>=HYPERLINK("https://xhslink.com/m/KtaHp6wKdu", "https://xhslink.com/m/KtaHp6wKdu")</f>
        <v>https://xhslink.com/m/KtaHp6wKdu</v>
      </c>
      <c r="D4756"/>
      <c r="E4756">
        <v>492</v>
      </c>
      <c r="F4756">
        <v>39.8</v>
      </c>
      <c r="G4756">
        <v>38.8</v>
      </c>
      <c r="H4756">
        <v>100</v>
      </c>
      <c r="I4756" t="inlineStr">
        <is>
          <t>配饰</t>
        </is>
      </c>
      <c r="J4756" t="inlineStr">
        <is>
          <t>0.20</t>
        </is>
      </c>
      <c r="K4756"/>
      <c r="L4756" t="inlineStr">
        <is>
          <t>旧时笺Vintage Note的店</t>
        </is>
      </c>
      <c r="M4756">
        <v>16000</v>
      </c>
      <c r="N4756">
        <v>4.69</v>
      </c>
      <c r="O4756">
        <v>20000</v>
      </c>
      <c r="P4756" t="inlineStr">
        <is>
          <t>68a1745eb7465e000127c212</t>
        </is>
      </c>
      <c r="Q4756"/>
      <c r="R4756" t="inlineStr">
        <is>
          <t>17周</t>
        </is>
      </c>
      <c r="S4756" t="inlineStr">
        <is>
          <t>0.03</t>
        </is>
      </c>
      <c r="T4756" t="inlineStr">
        <is>
          <t>服饰穿搭</t>
        </is>
      </c>
      <c r="U4756" t="inlineStr">
        <is>
          <t>配饰</t>
        </is>
      </c>
      <c r="V4756" s="3">
        <v>46132.014918981484</v>
      </c>
      <c r="W4756" t="inlineStr">
        <is>
          <t>2026-Q2</t>
        </is>
      </c>
    </row>
    <row r="4757" ht="25.5" customHeight="1">
      <c r="A4757" t="inlineStr">
        <is>
          <t>LumoLumos · 新品福利｜3-4mm天然不规则巴洛克珍珠项链超稀有极小碎银子可叠</t>
        </is>
      </c>
      <c r="B4757" t="inlineStr">
        <is>
          <t>__upload_recvhfQmhqirVq.jpg</t>
        </is>
      </c>
      <c r="C4757" s="2" t="str">
        <f>=HYPERLINK("https://xhslink.com/m/3UdxKNLwMJI", "https://xhslink.com/m/3UdxKNLwMJI")</f>
        <v>https://xhslink.com/m/3UdxKNLwMJI</v>
      </c>
      <c r="D4757"/>
      <c r="E4757">
        <v>7425</v>
      </c>
      <c r="F4757">
        <v>168</v>
      </c>
      <c r="G4757"/>
      <c r="H4757">
        <v>100</v>
      </c>
      <c r="I4757" t="inlineStr">
        <is>
          <t>配饰</t>
        </is>
      </c>
      <c r="J4757" t="inlineStr">
        <is>
          <t>0.01</t>
        </is>
      </c>
      <c r="K4757" t="inlineStr">
        <is>
          <t>🔥低粉爆款</t>
        </is>
      </c>
      <c r="L4757" t="inlineStr">
        <is>
          <t>Lumolumos的店</t>
        </is>
      </c>
      <c r="M4757">
        <v>2372</v>
      </c>
      <c r="N4757">
        <v>4.57</v>
      </c>
      <c r="O4757">
        <v>14000</v>
      </c>
      <c r="P4757" t="inlineStr">
        <is>
          <t>682a150182d86e00017bde8f</t>
        </is>
      </c>
      <c r="Q4757" t="inlineStr">
        <is>
          <t>🚫重复</t>
        </is>
      </c>
      <c r="R4757" t="inlineStr">
        <is>
          <t>17周</t>
        </is>
      </c>
      <c r="S4757" t="inlineStr">
        <is>
          <t>3.13</t>
        </is>
      </c>
      <c r="T4757" t="inlineStr">
        <is>
          <t>服饰穿搭</t>
        </is>
      </c>
      <c r="U4757" t="inlineStr">
        <is>
          <t>配饰</t>
        </is>
      </c>
      <c r="V4757" s="3">
        <v>46132.014918981484</v>
      </c>
      <c r="W4757" t="inlineStr">
        <is>
          <t>2026-Q2</t>
        </is>
      </c>
    </row>
    <row r="4758" ht="25.5" customHeight="1">
      <c r="A4758" t="inlineStr">
        <is>
          <t>blingbling素链合集｜钛钢真空镀18K/24K金高保色素链条</t>
        </is>
      </c>
      <c r="B4758" t="inlineStr">
        <is>
          <t>__upload_recvhfQmhqeUEs.jpg</t>
        </is>
      </c>
      <c r="C4758" s="2" t="str">
        <f>=HYPERLINK("https://xhslink.com/m/1j8N9xaebpw", "https://xhslink.com/m/1j8N9xaebpw")</f>
        <v>https://xhslink.com/m/1j8N9xaebpw</v>
      </c>
      <c r="D4758"/>
      <c r="E4758">
        <v>11000</v>
      </c>
      <c r="F4758">
        <v>35.2</v>
      </c>
      <c r="G4758"/>
      <c r="H4758">
        <v>100</v>
      </c>
      <c r="I4758" t="inlineStr">
        <is>
          <t>配饰</t>
        </is>
      </c>
      <c r="J4758" t="inlineStr">
        <is>
          <t>0.01</t>
        </is>
      </c>
      <c r="K4758"/>
      <c r="L4758" t="inlineStr">
        <is>
          <t>nora叨叨的店</t>
        </is>
      </c>
      <c r="M4758">
        <v>3895</v>
      </c>
      <c r="N4758">
        <v>4.53</v>
      </c>
      <c r="O4758">
        <v>14000</v>
      </c>
      <c r="P4758" t="inlineStr">
        <is>
          <t>68358edd2e3a00000182df41</t>
        </is>
      </c>
      <c r="Q4758" t="inlineStr">
        <is>
          <t>🚫重复</t>
        </is>
      </c>
      <c r="R4758" t="inlineStr">
        <is>
          <t>17周</t>
        </is>
      </c>
      <c r="S4758" t="inlineStr">
        <is>
          <t>2.82</t>
        </is>
      </c>
      <c r="T4758" t="inlineStr">
        <is>
          <t>服饰穿搭</t>
        </is>
      </c>
      <c r="U4758" t="inlineStr">
        <is>
          <t>配饰</t>
        </is>
      </c>
      <c r="V4758" s="3">
        <v>46132.014918981484</v>
      </c>
      <c r="W4758" t="inlineStr">
        <is>
          <t>2026-Q2</t>
        </is>
      </c>
    </row>
    <row r="4759" ht="25.5" customHeight="1">
      <c r="A4759" t="inlineStr">
        <is>
          <t>极简千金感手提菜篮子水桶包女2026高级百搭单肩斜挎包手提包MUJU</t>
        </is>
      </c>
      <c r="B4759" t="inlineStr">
        <is>
          <t>__upload_recvhfQmhqa70Z.jpg</t>
        </is>
      </c>
      <c r="C4759" s="2" t="str">
        <f>=HYPERLINK("https://xhslink.com/m/7qtD0Grh5K5", "https://xhslink.com/m/7qtD0Grh5K5")</f>
        <v>https://xhslink.com/m/7qtD0Grh5K5</v>
      </c>
      <c r="D4759"/>
      <c r="E4759">
        <v>2238</v>
      </c>
      <c r="F4759">
        <v>159.9</v>
      </c>
      <c r="G4759">
        <v>109.9</v>
      </c>
      <c r="H4759">
        <v>100</v>
      </c>
      <c r="I4759" t="inlineStr">
        <is>
          <t>小斜挎包</t>
        </is>
      </c>
      <c r="J4759" t="inlineStr">
        <is>
          <t>0.04</t>
        </is>
      </c>
      <c r="K4759" t="inlineStr">
        <is>
          <t>🔥低粉爆款</t>
        </is>
      </c>
      <c r="L4759" t="inlineStr">
        <is>
          <t>一只顺的布兰达的店</t>
        </is>
      </c>
      <c r="M4759">
        <v>175</v>
      </c>
      <c r="N4759">
        <v>4.65</v>
      </c>
      <c r="O4759">
        <v>2680</v>
      </c>
      <c r="P4759" t="inlineStr">
        <is>
          <t>697c72aa64c86a0015be101f</t>
        </is>
      </c>
      <c r="Q4759"/>
      <c r="R4759" t="inlineStr">
        <is>
          <t>17周</t>
        </is>
      </c>
      <c r="S4759" t="inlineStr">
        <is>
          <t>12.79</t>
        </is>
      </c>
      <c r="T4759" t="inlineStr">
        <is>
          <t>服饰穿搭</t>
        </is>
      </c>
      <c r="U4759" t="inlineStr">
        <is>
          <t>鞋靴箱包</t>
        </is>
      </c>
      <c r="V4759" s="3">
        <v>46132.014918981484</v>
      </c>
      <c r="W4759" t="inlineStr">
        <is>
          <t>2026-Q2</t>
        </is>
      </c>
    </row>
    <row r="4760" ht="25.5" customHeight="1">
      <c r="A4760" t="inlineStr">
        <is>
          <t>春夏青青飞鸟^大肚包斜挎小容量补妆拍立得手机包//肩带可调节</t>
        </is>
      </c>
      <c r="B4760" t="inlineStr">
        <is>
          <t>__upload_recvhfQmhq3tqv.jpg</t>
        </is>
      </c>
      <c r="C4760" s="2" t="str">
        <f>=HYPERLINK("https://xhslink.com/m/9i67s5MiNBp", "https://xhslink.com/m/9i67s5MiNBp")</f>
        <v>https://xhslink.com/m/9i67s5MiNBp</v>
      </c>
      <c r="D4760"/>
      <c r="E4760">
        <v>4270</v>
      </c>
      <c r="F4760">
        <v>26.9</v>
      </c>
      <c r="G4760">
        <v>16.9</v>
      </c>
      <c r="H4760">
        <v>100</v>
      </c>
      <c r="I4760" t="inlineStr">
        <is>
          <t>小斜挎包</t>
        </is>
      </c>
      <c r="J4760" t="inlineStr">
        <is>
          <t>0.02</t>
        </is>
      </c>
      <c r="K4760"/>
      <c r="L4760" t="inlineStr">
        <is>
          <t>幸运狗狗的店</t>
        </is>
      </c>
      <c r="M4760">
        <v>219000</v>
      </c>
      <c r="N4760">
        <v>4.23</v>
      </c>
      <c r="O4760">
        <v>505000</v>
      </c>
      <c r="P4760" t="inlineStr">
        <is>
          <t>69c40f9546fe2a00014a96ea</t>
        </is>
      </c>
      <c r="Q4760" t="inlineStr">
        <is>
          <t>🚫重复</t>
        </is>
      </c>
      <c r="R4760" t="inlineStr">
        <is>
          <t>17周</t>
        </is>
      </c>
      <c r="S4760" t="inlineStr">
        <is>
          <t>0.02</t>
        </is>
      </c>
      <c r="T4760" t="inlineStr">
        <is>
          <t>服饰穿搭</t>
        </is>
      </c>
      <c r="U4760" t="inlineStr">
        <is>
          <t>鞋靴箱包</t>
        </is>
      </c>
      <c r="V4760" s="3">
        <v>46132.014918981484</v>
      </c>
      <c r="W4760" t="inlineStr">
        <is>
          <t>2026-Q2</t>
        </is>
      </c>
    </row>
    <row r="4761" ht="25.5" customHeight="1">
      <c r="A4761" t="inlineStr">
        <is>
          <t>新款可爱小挎包多隔层大容量小包轻便通勤斜挎包复古小方包妈咪包</t>
        </is>
      </c>
      <c r="B4761" t="inlineStr">
        <is>
          <t>__upload_recvhfQmhqL6nd.jpg</t>
        </is>
      </c>
      <c r="C4761" s="2" t="str">
        <f>=HYPERLINK("https://xhslink.com/m/9m2KRoaK0dX", "https://xhslink.com/m/9m2KRoaK0dX")</f>
        <v>https://xhslink.com/m/9m2KRoaK0dX</v>
      </c>
      <c r="D4761"/>
      <c r="E4761">
        <v>8095</v>
      </c>
      <c r="F4761">
        <v>79</v>
      </c>
      <c r="G4761">
        <v>69.9</v>
      </c>
      <c r="H4761">
        <v>100</v>
      </c>
      <c r="I4761" t="inlineStr">
        <is>
          <t>小斜挎包</t>
        </is>
      </c>
      <c r="J4761" t="inlineStr">
        <is>
          <t>0.01</t>
        </is>
      </c>
      <c r="K4761"/>
      <c r="L4761" t="inlineStr">
        <is>
          <t>苏小槿的店</t>
        </is>
      </c>
      <c r="M4761">
        <v>243000</v>
      </c>
      <c r="N4761">
        <v>4.64</v>
      </c>
      <c r="O4761">
        <v>323000</v>
      </c>
      <c r="P4761" t="inlineStr">
        <is>
          <t>68ee13319176f50001555a19</t>
        </is>
      </c>
      <c r="Q4761"/>
      <c r="R4761" t="inlineStr">
        <is>
          <t>17周</t>
        </is>
      </c>
      <c r="S4761" t="inlineStr">
        <is>
          <t>0.03</t>
        </is>
      </c>
      <c r="T4761" t="inlineStr">
        <is>
          <t>服饰穿搭</t>
        </is>
      </c>
      <c r="U4761" t="inlineStr">
        <is>
          <t>鞋靴箱包</t>
        </is>
      </c>
      <c r="V4761" s="3">
        <v>46132.014918981484</v>
      </c>
      <c r="W4761" t="inlineStr">
        <is>
          <t>2026-Q2</t>
        </is>
      </c>
    </row>
    <row r="4762" ht="25.5" customHeight="1">
      <c r="A4762" t="inlineStr">
        <is>
          <t>mar高级感韩国小众设计师新款法棍手提单肩斜挎包（现货）</t>
        </is>
      </c>
      <c r="B4762" t="inlineStr">
        <is>
          <t>__upload_recvhfQmhqviGy.jpg</t>
        </is>
      </c>
      <c r="C4762" s="2" t="str">
        <f>=HYPERLINK("https://xhslink.com/m/1cYBA5K28Bd", "https://xhslink.com/m/1cYBA5K28Bd")</f>
        <v>https://xhslink.com/m/1cYBA5K28Bd</v>
      </c>
      <c r="D4762"/>
      <c r="E4762">
        <v>1809</v>
      </c>
      <c r="F4762">
        <v>258.8</v>
      </c>
      <c r="G4762">
        <v>248.8</v>
      </c>
      <c r="H4762">
        <v>100</v>
      </c>
      <c r="I4762" t="inlineStr">
        <is>
          <t>小斜挎包</t>
        </is>
      </c>
      <c r="J4762" t="inlineStr">
        <is>
          <t>0.06</t>
        </is>
      </c>
      <c r="K4762"/>
      <c r="L4762" t="inlineStr">
        <is>
          <t>minonoo米诺小包的店</t>
        </is>
      </c>
      <c r="M4762">
        <v>1599</v>
      </c>
      <c r="N4762">
        <v>4.62</v>
      </c>
      <c r="O4762">
        <v>2534</v>
      </c>
      <c r="P4762" t="inlineStr">
        <is>
          <t>69cf963198fb9300013d363d</t>
        </is>
      </c>
      <c r="Q4762"/>
      <c r="R4762" t="inlineStr">
        <is>
          <t>17周</t>
        </is>
      </c>
      <c r="S4762" t="inlineStr">
        <is>
          <t>1.13</t>
        </is>
      </c>
      <c r="T4762" t="inlineStr">
        <is>
          <t>服饰穿搭</t>
        </is>
      </c>
      <c r="U4762" t="inlineStr">
        <is>
          <t>鞋靴箱包</t>
        </is>
      </c>
      <c r="V4762" s="3">
        <v>46132.014918981484</v>
      </c>
      <c r="W4762" t="inlineStr">
        <is>
          <t>2026-Q2</t>
        </is>
      </c>
    </row>
    <row r="4763" ht="25.5" customHeight="1">
      <c r="A4763" t="inlineStr">
        <is>
          <t>精致19饭盒包手提饭盒斜挎小包简约高级时尚潮流单肩包</t>
        </is>
      </c>
      <c r="B4763" t="inlineStr">
        <is>
          <t>__upload_recvhfQmhqwrnr.jpg</t>
        </is>
      </c>
      <c r="C4763" s="2" t="str">
        <f>=HYPERLINK("https://xhslink.com/m/4PLS9diRZ7T", "https://xhslink.com/m/4PLS9diRZ7T")</f>
        <v>https://xhslink.com/m/4PLS9diRZ7T</v>
      </c>
      <c r="D4763"/>
      <c r="E4763">
        <v>687</v>
      </c>
      <c r="F4763">
        <v>169</v>
      </c>
      <c r="G4763"/>
      <c r="H4763">
        <v>100</v>
      </c>
      <c r="I4763" t="inlineStr">
        <is>
          <t>小斜挎包</t>
        </is>
      </c>
      <c r="J4763" t="inlineStr">
        <is>
          <t>0.15</t>
        </is>
      </c>
      <c r="K4763"/>
      <c r="L4763" t="inlineStr">
        <is>
          <t>66bag的店</t>
        </is>
      </c>
      <c r="M4763">
        <v>436</v>
      </c>
      <c r="N4763">
        <v>4.61</v>
      </c>
      <c r="O4763">
        <v>943</v>
      </c>
      <c r="P4763" t="inlineStr">
        <is>
          <t>69ba7544ffa26d00012aa46e</t>
        </is>
      </c>
      <c r="Q4763"/>
      <c r="R4763" t="inlineStr">
        <is>
          <t>17周</t>
        </is>
      </c>
      <c r="S4763" t="inlineStr">
        <is>
          <t>1.58</t>
        </is>
      </c>
      <c r="T4763" t="inlineStr">
        <is>
          <t>服饰穿搭</t>
        </is>
      </c>
      <c r="U4763" t="inlineStr">
        <is>
          <t>鞋靴箱包</t>
        </is>
      </c>
      <c r="V4763" s="3">
        <v>46132.014918981484</v>
      </c>
      <c r="W4763" t="inlineStr">
        <is>
          <t>2026-Q2</t>
        </is>
      </c>
    </row>
    <row r="4764" ht="25.5" customHeight="1">
      <c r="A4764" t="inlineStr">
        <is>
          <t>Hello 新款荔枝纹牛皮真皮手提单肩斜挎包水桶菜篮子百搭韩系休闲</t>
        </is>
      </c>
      <c r="B4764" t="inlineStr">
        <is>
          <t>__upload_recvhfQmhqg6dC.jpg</t>
        </is>
      </c>
      <c r="C4764" s="2" t="str">
        <f>=HYPERLINK("https://xhslink.com/m/8l3BpdXMMUX", "https://xhslink.com/m/8l3BpdXMMUX")</f>
        <v>https://xhslink.com/m/8l3BpdXMMUX</v>
      </c>
      <c r="D4764"/>
      <c r="E4764">
        <v>6301</v>
      </c>
      <c r="F4764">
        <v>159</v>
      </c>
      <c r="G4764">
        <v>156</v>
      </c>
      <c r="H4764">
        <v>100</v>
      </c>
      <c r="I4764" t="inlineStr">
        <is>
          <t>小斜挎包</t>
        </is>
      </c>
      <c r="J4764" t="inlineStr">
        <is>
          <t>0.02</t>
        </is>
      </c>
      <c r="K4764"/>
      <c r="L4764" t="inlineStr">
        <is>
          <t>Hello的店</t>
        </is>
      </c>
      <c r="M4764">
        <v>3015</v>
      </c>
      <c r="N4764">
        <v>4.72</v>
      </c>
      <c r="O4764">
        <v>16000</v>
      </c>
      <c r="P4764" t="inlineStr">
        <is>
          <t>694f5f99a351230001363142</t>
        </is>
      </c>
      <c r="Q4764" t="inlineStr">
        <is>
          <t>🚫重复</t>
        </is>
      </c>
      <c r="R4764" t="inlineStr">
        <is>
          <t>17周</t>
        </is>
      </c>
      <c r="S4764" t="inlineStr">
        <is>
          <t>2.09</t>
        </is>
      </c>
      <c r="T4764" t="inlineStr">
        <is>
          <t>服饰穿搭</t>
        </is>
      </c>
      <c r="U4764" t="inlineStr">
        <is>
          <t>鞋靴箱包</t>
        </is>
      </c>
      <c r="V4764" s="3">
        <v>46132.014918981484</v>
      </c>
      <c r="W4764" t="inlineStr">
        <is>
          <t>2026-Q2</t>
        </is>
      </c>
    </row>
    <row r="4765" ht="25.5" customHeight="1">
      <c r="A4765" t="inlineStr">
        <is>
          <t>Ewe三点才睡｜拉链千金包！显贵老钱风真皮搭配皮草可斜挎手提包</t>
        </is>
      </c>
      <c r="B4765" t="inlineStr">
        <is>
          <t>__upload_recvhfQmhqoqKs.jpg</t>
        </is>
      </c>
      <c r="C4765" s="2" t="str">
        <f>=HYPERLINK("https://xhslink.com/m/fYq001dLKA", "https://xhslink.com/m/fYq001dLKA")</f>
        <v>https://xhslink.com/m/fYq001dLKA</v>
      </c>
      <c r="D4765"/>
      <c r="E4765">
        <v>750</v>
      </c>
      <c r="F4765">
        <v>268</v>
      </c>
      <c r="G4765">
        <v>263</v>
      </c>
      <c r="H4765">
        <v>100</v>
      </c>
      <c r="I4765" t="inlineStr">
        <is>
          <t>小斜挎包</t>
        </is>
      </c>
      <c r="J4765" t="inlineStr">
        <is>
          <t>0.13</t>
        </is>
      </c>
      <c r="K4765"/>
      <c r="L4765" t="inlineStr">
        <is>
          <t>Ewe三点才睡的店</t>
        </is>
      </c>
      <c r="M4765">
        <v>40000</v>
      </c>
      <c r="N4765">
        <v>4.61</v>
      </c>
      <c r="O4765">
        <v>81000</v>
      </c>
      <c r="P4765" t="inlineStr">
        <is>
          <t>69708684306dc5000136fc65</t>
        </is>
      </c>
      <c r="Q4765"/>
      <c r="R4765" t="inlineStr">
        <is>
          <t>17周</t>
        </is>
      </c>
      <c r="S4765" t="inlineStr">
        <is>
          <t>0.02</t>
        </is>
      </c>
      <c r="T4765" t="inlineStr">
        <is>
          <t>服饰穿搭</t>
        </is>
      </c>
      <c r="U4765" t="inlineStr">
        <is>
          <t>鞋靴箱包</t>
        </is>
      </c>
      <c r="V4765" s="3">
        <v>46132.014918981484</v>
      </c>
      <c r="W4765" t="inlineStr">
        <is>
          <t>2026-Q2</t>
        </is>
      </c>
    </row>
    <row r="4766" ht="25.5" customHeight="1">
      <c r="A4766" t="inlineStr">
        <is>
          <t>刺猬自制•韩系慵懒风尼龙斜挎包饺子包女2025夏季新款轻便百搭</t>
        </is>
      </c>
      <c r="B4766" t="inlineStr">
        <is>
          <t>__upload_recvhfQmhqvR8p.jpg</t>
        </is>
      </c>
      <c r="C4766" s="2" t="str">
        <f>=HYPERLINK("https://xhslink.com/m/7uDll6jTtr3", "https://xhslink.com/m/7uDll6jTtr3")</f>
        <v>https://xhslink.com/m/7uDll6jTtr3</v>
      </c>
      <c r="D4766"/>
      <c r="E4766">
        <v>7431</v>
      </c>
      <c r="F4766">
        <v>38.9</v>
      </c>
      <c r="G4766"/>
      <c r="H4766">
        <v>100</v>
      </c>
      <c r="I4766" t="inlineStr">
        <is>
          <t>小斜挎包</t>
        </is>
      </c>
      <c r="J4766" t="inlineStr">
        <is>
          <t>0.01</t>
        </is>
      </c>
      <c r="K4766"/>
      <c r="L4766" t="inlineStr">
        <is>
          <t>刺猬宝藏屋的店</t>
        </is>
      </c>
      <c r="M4766">
        <v>14000</v>
      </c>
      <c r="N4766">
        <v>4.66</v>
      </c>
      <c r="O4766">
        <v>113000</v>
      </c>
      <c r="P4766" t="inlineStr">
        <is>
          <t>6890d69f8fe34700011f0509</t>
        </is>
      </c>
      <c r="Q4766" t="inlineStr">
        <is>
          <t>🚫重复</t>
        </is>
      </c>
      <c r="R4766" t="inlineStr">
        <is>
          <t>17周</t>
        </is>
      </c>
      <c r="S4766" t="inlineStr">
        <is>
          <t>0.53</t>
        </is>
      </c>
      <c r="T4766" t="inlineStr">
        <is>
          <t>服饰穿搭</t>
        </is>
      </c>
      <c r="U4766" t="inlineStr">
        <is>
          <t>鞋靴箱包</t>
        </is>
      </c>
      <c r="V4766" s="3">
        <v>46132.014918981484</v>
      </c>
      <c r="W4766" t="inlineStr">
        <is>
          <t>2026-Q2</t>
        </is>
      </c>
    </row>
    <row r="4767" ht="25.5" customHeight="1">
      <c r="A4767" t="inlineStr">
        <is>
          <t>S&amp;W · 时尚百搭垂坠感显瘦修身夏季透气休闲A字短裙女款5046</t>
        </is>
      </c>
      <c r="B4767" t="inlineStr">
        <is>
          <t>__upload_recvhfQmhqUKz1.jpg</t>
        </is>
      </c>
      <c r="C4767" s="2" t="str">
        <f>=HYPERLINK("https://xhslink.com/m/12Pd6vb62kr", "https://xhslink.com/m/12Pd6vb62kr")</f>
        <v>https://xhslink.com/m/12Pd6vb62kr</v>
      </c>
      <c r="D4767"/>
      <c r="E4767">
        <v>13000</v>
      </c>
      <c r="F4767">
        <v>259</v>
      </c>
      <c r="G4767">
        <v>69.9</v>
      </c>
      <c r="H4767">
        <v>100</v>
      </c>
      <c r="I4767" t="inlineStr">
        <is>
          <t>半身裙</t>
        </is>
      </c>
      <c r="J4767" t="inlineStr">
        <is>
          <t>0.01</t>
        </is>
      </c>
      <c r="K4767"/>
      <c r="L4767" t="inlineStr">
        <is>
          <t>S&amp;W速惟旗舰店</t>
        </is>
      </c>
      <c r="M4767">
        <v>38000</v>
      </c>
      <c r="N4767">
        <v>4.51</v>
      </c>
      <c r="O4767">
        <v>849000</v>
      </c>
      <c r="P4767" t="inlineStr">
        <is>
          <t>698a97e17db7d20001922380</t>
        </is>
      </c>
      <c r="Q4767" t="inlineStr">
        <is>
          <t>🚫重复</t>
        </is>
      </c>
      <c r="R4767" t="inlineStr">
        <is>
          <t>17周</t>
        </is>
      </c>
      <c r="S4767" t="inlineStr">
        <is>
          <t>0.34</t>
        </is>
      </c>
      <c r="T4767" t="inlineStr">
        <is>
          <t>服饰穿搭</t>
        </is>
      </c>
      <c r="U4767" t="inlineStr">
        <is>
          <t>女装</t>
        </is>
      </c>
      <c r="V4767" s="3">
        <v>46132.014918981484</v>
      </c>
      <c r="W4767" t="inlineStr">
        <is>
          <t>2026-Q2</t>
        </is>
      </c>
    </row>
    <row r="4768" ht="25.5" customHeight="1">
      <c r="A4768" t="inlineStr">
        <is>
          <t>Yuan house春夏miu系学院风灰色西装百褶半身裙女高腰显瘦A字中裙</t>
        </is>
      </c>
      <c r="B4768" t="inlineStr">
        <is>
          <t>__upload_recvhfQmhqgje8.jpg</t>
        </is>
      </c>
      <c r="C4768" s="2" t="str">
        <f>=HYPERLINK("https://xhslink.com/m/A8GKik9tRpb", "https://xhslink.com/m/A8GKik9tRpb")</f>
        <v>https://xhslink.com/m/A8GKik9tRpb</v>
      </c>
      <c r="D4768"/>
      <c r="E4768">
        <v>25000</v>
      </c>
      <c r="F4768">
        <v>79.9</v>
      </c>
      <c r="G4768"/>
      <c r="H4768">
        <v>100</v>
      </c>
      <c r="I4768" t="inlineStr">
        <is>
          <t>半身裙</t>
        </is>
      </c>
      <c r="J4768" t="inlineStr">
        <is>
          <t>0.00</t>
        </is>
      </c>
      <c r="K4768"/>
      <c r="L4768" t="inlineStr">
        <is>
          <t>Yuan house的店</t>
        </is>
      </c>
      <c r="M4768">
        <v>108000</v>
      </c>
      <c r="N4768">
        <v>4.66</v>
      </c>
      <c r="O4768">
        <v>488000</v>
      </c>
      <c r="P4768" t="inlineStr">
        <is>
          <t>67added7ecf37e000105abb8</t>
        </is>
      </c>
      <c r="Q4768"/>
      <c r="R4768" t="inlineStr">
        <is>
          <t>17周</t>
        </is>
      </c>
      <c r="S4768" t="inlineStr">
        <is>
          <t>0.23</t>
        </is>
      </c>
      <c r="T4768" t="inlineStr">
        <is>
          <t>服饰穿搭</t>
        </is>
      </c>
      <c r="U4768" t="inlineStr">
        <is>
          <t>女装</t>
        </is>
      </c>
      <c r="V4768" s="3">
        <v>46132.014918981484</v>
      </c>
      <c r="W4768" t="inlineStr">
        <is>
          <t>2026-Q2</t>
        </is>
      </c>
    </row>
    <row r="4769" ht="25.5" customHeight="1">
      <c r="A4769" t="inlineStr">
        <is>
          <t>皮卡Pika高腰开叉西装半身裙女韩系通勤显瘦a字长裙遮胯包臀裙</t>
        </is>
      </c>
      <c r="B4769" t="inlineStr">
        <is>
          <t>__upload_recvhfQmhqaCIS.jpg</t>
        </is>
      </c>
      <c r="C4769" s="2" t="str">
        <f>=HYPERLINK("https://xhslink.com/m/5GIDIq2nfbc", "https://xhslink.com/m/5GIDIq2nfbc")</f>
        <v>https://xhslink.com/m/5GIDIq2nfbc</v>
      </c>
      <c r="D4769"/>
      <c r="E4769">
        <v>9777</v>
      </c>
      <c r="F4769">
        <v>69</v>
      </c>
      <c r="G4769"/>
      <c r="H4769">
        <v>100</v>
      </c>
      <c r="I4769" t="inlineStr">
        <is>
          <t>半身裙</t>
        </is>
      </c>
      <c r="J4769" t="inlineStr">
        <is>
          <t>0.01</t>
        </is>
      </c>
      <c r="K4769"/>
      <c r="L4769" t="inlineStr">
        <is>
          <t>皮老板生意兴隆哦的店</t>
        </is>
      </c>
      <c r="M4769">
        <v>64000</v>
      </c>
      <c r="N4769">
        <v>4.69</v>
      </c>
      <c r="O4769">
        <v>426000</v>
      </c>
      <c r="P4769" t="inlineStr">
        <is>
          <t>6877492e4daa710001af1052</t>
        </is>
      </c>
      <c r="Q4769" t="inlineStr">
        <is>
          <t>🚫重复</t>
        </is>
      </c>
      <c r="R4769" t="inlineStr">
        <is>
          <t>17周</t>
        </is>
      </c>
      <c r="S4769" t="inlineStr">
        <is>
          <t>0.15</t>
        </is>
      </c>
      <c r="T4769" t="inlineStr">
        <is>
          <t>服饰穿搭</t>
        </is>
      </c>
      <c r="U4769" t="inlineStr">
        <is>
          <t>女装</t>
        </is>
      </c>
      <c r="V4769" s="3">
        <v>46132.014918981484</v>
      </c>
      <c r="W4769" t="inlineStr">
        <is>
          <t>2026-Q2</t>
        </is>
      </c>
    </row>
    <row r="4770" ht="25.5" customHeight="1">
      <c r="A4770" t="inlineStr">
        <is>
          <t>日系学院风纯色半身裙女夏季高腰宽松显瘦a字伞裙休闲中长裙9184</t>
        </is>
      </c>
      <c r="B4770" t="inlineStr">
        <is>
          <t>__upload_recvhfQmhqpKgp.jpg</t>
        </is>
      </c>
      <c r="C4770" s="2" t="str">
        <f>=HYPERLINK("https://xhslink.com/m/3w6ys7XE64g", "https://xhslink.com/m/3w6ys7XE64g")</f>
        <v>https://xhslink.com/m/3w6ys7XE64g</v>
      </c>
      <c r="D4770"/>
      <c r="E4770">
        <v>5163</v>
      </c>
      <c r="F4770">
        <v>82</v>
      </c>
      <c r="G4770">
        <v>67</v>
      </c>
      <c r="H4770">
        <v>100</v>
      </c>
      <c r="I4770" t="inlineStr">
        <is>
          <t>半身裙</t>
        </is>
      </c>
      <c r="J4770" t="inlineStr">
        <is>
          <t>0.02</t>
        </is>
      </c>
      <c r="K4770"/>
      <c r="L4770" t="inlineStr">
        <is>
          <t>浓积云的店</t>
        </is>
      </c>
      <c r="M4770">
        <v>4612</v>
      </c>
      <c r="N4770">
        <v>4.61</v>
      </c>
      <c r="O4770">
        <v>75000</v>
      </c>
      <c r="P4770" t="inlineStr">
        <is>
          <t>683e8ff8f9ad0500013a4be2</t>
        </is>
      </c>
      <c r="Q4770" t="inlineStr">
        <is>
          <t>🚫重复</t>
        </is>
      </c>
      <c r="R4770" t="inlineStr">
        <is>
          <t>17周</t>
        </is>
      </c>
      <c r="S4770" t="inlineStr">
        <is>
          <t>1.12</t>
        </is>
      </c>
      <c r="T4770" t="inlineStr">
        <is>
          <t>服饰穿搭</t>
        </is>
      </c>
      <c r="U4770" t="inlineStr">
        <is>
          <t>女装</t>
        </is>
      </c>
      <c r="V4770" s="3">
        <v>46132.014918981484</v>
      </c>
      <c r="W4770" t="inlineStr">
        <is>
          <t>2026-Q2</t>
        </is>
      </c>
    </row>
    <row r="4771" ht="25.5" customHeight="1">
      <c r="A4771" t="inlineStr">
        <is>
          <t>PEACH自制 带口袋素版抗皱白色山本裙春夏季显瘦百搭净版A字裙</t>
        </is>
      </c>
      <c r="B4771" t="inlineStr">
        <is>
          <t>__upload_recvhfQmhqngE0.jpg</t>
        </is>
      </c>
      <c r="C4771" s="2" t="str">
        <f>=HYPERLINK("https://xhslink.com/m/2Q5kRNeG3UD", "https://xhslink.com/m/2Q5kRNeG3UD")</f>
        <v>https://xhslink.com/m/2Q5kRNeG3UD</v>
      </c>
      <c r="D4771"/>
      <c r="E4771">
        <v>5516</v>
      </c>
      <c r="F4771">
        <v>49</v>
      </c>
      <c r="G4771"/>
      <c r="H4771">
        <v>100</v>
      </c>
      <c r="I4771" t="inlineStr">
        <is>
          <t>半身裙</t>
        </is>
      </c>
      <c r="J4771" t="inlineStr">
        <is>
          <t>0.02</t>
        </is>
      </c>
      <c r="K4771"/>
      <c r="L4771" t="inlineStr">
        <is>
          <t>PEACH自制的店</t>
        </is>
      </c>
      <c r="M4771">
        <v>9708</v>
      </c>
      <c r="N4771">
        <v>4.63</v>
      </c>
      <c r="O4771">
        <v>66000</v>
      </c>
      <c r="P4771" t="inlineStr">
        <is>
          <t>67ff41a72a334f0001c546ca</t>
        </is>
      </c>
      <c r="Q4771" t="inlineStr">
        <is>
          <t>🚫重复</t>
        </is>
      </c>
      <c r="R4771" t="inlineStr">
        <is>
          <t>17周</t>
        </is>
      </c>
      <c r="S4771" t="inlineStr">
        <is>
          <t>0.57</t>
        </is>
      </c>
      <c r="T4771" t="inlineStr">
        <is>
          <t>服饰穿搭</t>
        </is>
      </c>
      <c r="U4771" t="inlineStr">
        <is>
          <t>女装</t>
        </is>
      </c>
      <c r="V4771" s="3">
        <v>46132.014918981484</v>
      </c>
      <c r="W4771" t="inlineStr">
        <is>
          <t>2026-Q2</t>
        </is>
      </c>
    </row>
    <row r="4772" ht="25.5" customHeight="1">
      <c r="A4772" t="inlineStr">
        <is>
          <t>2026春夏新品～韩系高腰遮胯显瘦纯棉格子花苞裙坠感A字半身裙穿</t>
        </is>
      </c>
      <c r="B4772" t="inlineStr">
        <is>
          <t>__upload_recvhfQmhqLQuv.jpg</t>
        </is>
      </c>
      <c r="C4772" s="2" t="str">
        <f>=HYPERLINK("https://xhslink.com/m/9qxOzGoCZXj", "https://xhslink.com/m/9qxOzGoCZXj")</f>
        <v>https://xhslink.com/m/9qxOzGoCZXj</v>
      </c>
      <c r="D4772"/>
      <c r="E4772">
        <v>1873</v>
      </c>
      <c r="F4772">
        <v>118</v>
      </c>
      <c r="G4772"/>
      <c r="H4772">
        <v>100</v>
      </c>
      <c r="I4772" t="inlineStr">
        <is>
          <t>半身裙</t>
        </is>
      </c>
      <c r="J4772" t="inlineStr">
        <is>
          <t>0.05</t>
        </is>
      </c>
      <c r="K4772"/>
      <c r="L4772" t="inlineStr">
        <is>
          <t>一米六的花花的店</t>
        </is>
      </c>
      <c r="M4772">
        <v>9800</v>
      </c>
      <c r="N4772">
        <v>4.63</v>
      </c>
      <c r="O4772">
        <v>56000</v>
      </c>
      <c r="P4772" t="inlineStr">
        <is>
          <t>69b795245e5f0500019b86a7</t>
        </is>
      </c>
      <c r="Q4772"/>
      <c r="R4772" t="inlineStr">
        <is>
          <t>17周</t>
        </is>
      </c>
      <c r="S4772" t="inlineStr">
        <is>
          <t>0.19</t>
        </is>
      </c>
      <c r="T4772" t="inlineStr">
        <is>
          <t>服饰穿搭</t>
        </is>
      </c>
      <c r="U4772" t="inlineStr">
        <is>
          <t>女装</t>
        </is>
      </c>
      <c r="V4772" s="3">
        <v>46132.014918981484</v>
      </c>
      <c r="W4772" t="inlineStr">
        <is>
          <t>2026-Q2</t>
        </is>
      </c>
    </row>
    <row r="4773" ht="25.5" customHeight="1">
      <c r="A4773" t="inlineStr">
        <is>
          <t>复古高腰日系垂感A版修长春夏季显瘦通勤气质休闲半身裙</t>
        </is>
      </c>
      <c r="B4773" t="inlineStr">
        <is>
          <t>__upload_recvhfQmhqeoqp.jpg</t>
        </is>
      </c>
      <c r="C4773" s="2" t="str">
        <f>=HYPERLINK("https://xhslink.com/m/2sxcfgJb1h5", "https://xhslink.com/m/2sxcfgJb1h5")</f>
        <v>https://xhslink.com/m/2sxcfgJb1h5</v>
      </c>
      <c r="D4773"/>
      <c r="E4773">
        <v>1110</v>
      </c>
      <c r="F4773">
        <v>108</v>
      </c>
      <c r="G4773">
        <v>99</v>
      </c>
      <c r="H4773">
        <v>100</v>
      </c>
      <c r="I4773" t="inlineStr">
        <is>
          <t>半身裙</t>
        </is>
      </c>
      <c r="J4773" t="inlineStr">
        <is>
          <t>0.09</t>
        </is>
      </c>
      <c r="K4773"/>
      <c r="L4773" t="inlineStr">
        <is>
          <t>苏大椰穿搭的店</t>
        </is>
      </c>
      <c r="M4773">
        <v>8272</v>
      </c>
      <c r="N4773">
        <v>4.69</v>
      </c>
      <c r="O4773">
        <v>121000</v>
      </c>
      <c r="P4773" t="inlineStr">
        <is>
          <t>69b008519b4aae0001c95642</t>
        </is>
      </c>
      <c r="Q4773" t="inlineStr">
        <is>
          <t>🚫重复</t>
        </is>
      </c>
      <c r="R4773" t="inlineStr">
        <is>
          <t>17周</t>
        </is>
      </c>
      <c r="S4773" t="inlineStr">
        <is>
          <t>0.13</t>
        </is>
      </c>
      <c r="T4773" t="inlineStr">
        <is>
          <t>服饰穿搭</t>
        </is>
      </c>
      <c r="U4773" t="inlineStr">
        <is>
          <t>女装</t>
        </is>
      </c>
      <c r="V4773" s="3">
        <v>46132.014918981484</v>
      </c>
      <c r="W4773" t="inlineStr">
        <is>
          <t>2026-Q2</t>
        </is>
      </c>
    </row>
    <row r="4774" ht="25.5" customHeight="1">
      <c r="A4774" t="inlineStr">
        <is>
          <t>鱼宝贝 · 自制新款 加长款全亚麻优雅法式柔紫色松紧腰A字花苞裙廓型半身裙</t>
        </is>
      </c>
      <c r="B4774" t="inlineStr">
        <is>
          <t>__upload_recvhfQmhqeWqN.jpg</t>
        </is>
      </c>
      <c r="C4774" s="2" t="str">
        <f>=HYPERLINK("https://xhslink.com/m/4yk7R8McEj3", "https://xhslink.com/m/4yk7R8McEj3")</f>
        <v>https://xhslink.com/m/4yk7R8McEj3</v>
      </c>
      <c r="D4774"/>
      <c r="E4774">
        <v>656</v>
      </c>
      <c r="F4774">
        <v>278</v>
      </c>
      <c r="G4774"/>
      <c r="H4774">
        <v>100</v>
      </c>
      <c r="I4774" t="inlineStr">
        <is>
          <t>半身裙</t>
        </is>
      </c>
      <c r="J4774" t="inlineStr">
        <is>
          <t>0.15</t>
        </is>
      </c>
      <c r="K4774"/>
      <c r="L4774" t="inlineStr">
        <is>
          <t>鱼宝贝女装的店</t>
        </is>
      </c>
      <c r="M4774">
        <v>4906</v>
      </c>
      <c r="N4774">
        <v>4.62</v>
      </c>
      <c r="O4774">
        <v>13000</v>
      </c>
      <c r="P4774" t="inlineStr">
        <is>
          <t>69a398f4a59459000187b898</t>
        </is>
      </c>
      <c r="Q4774"/>
      <c r="R4774" t="inlineStr">
        <is>
          <t>17周</t>
        </is>
      </c>
      <c r="S4774" t="inlineStr">
        <is>
          <t>0.13</t>
        </is>
      </c>
      <c r="T4774" t="inlineStr">
        <is>
          <t>服饰穿搭</t>
        </is>
      </c>
      <c r="U4774" t="inlineStr">
        <is>
          <t>女装</t>
        </is>
      </c>
      <c r="V4774" s="3">
        <v>46132.014918981484</v>
      </c>
      <c r="W4774" t="inlineStr">
        <is>
          <t>2026-Q2</t>
        </is>
      </c>
    </row>
    <row r="4775" ht="25.5" customHeight="1">
      <c r="A4775" t="inlineStr">
        <is>
          <t>碎花半身裙 有口袋有内衬 法式抗皱飘逸小个子半裙显瘦a字蛋糕裙</t>
        </is>
      </c>
      <c r="B4775" t="inlineStr">
        <is>
          <t>__upload_recvhfQmhqqH4l.jpg</t>
        </is>
      </c>
      <c r="C4775" s="2" t="str">
        <f>=HYPERLINK("https://xhslink.com/m/5Iu74w5sT29", "https://xhslink.com/m/5Iu74w5sT29")</f>
        <v>https://xhslink.com/m/5Iu74w5sT29</v>
      </c>
      <c r="D4775"/>
      <c r="E4775">
        <v>4052</v>
      </c>
      <c r="F4775">
        <v>108</v>
      </c>
      <c r="G4775">
        <v>78</v>
      </c>
      <c r="H4775">
        <v>100</v>
      </c>
      <c r="I4775" t="inlineStr">
        <is>
          <t>半身裙</t>
        </is>
      </c>
      <c r="J4775" t="inlineStr">
        <is>
          <t>0.02</t>
        </is>
      </c>
      <c r="K4775"/>
      <c r="L4775" t="inlineStr">
        <is>
          <t>可可西里打底系的店</t>
        </is>
      </c>
      <c r="M4775">
        <v>10000</v>
      </c>
      <c r="N4775">
        <v>4.72</v>
      </c>
      <c r="O4775">
        <v>61000</v>
      </c>
      <c r="P4775" t="inlineStr">
        <is>
          <t>682593df54dd9b0001acdd0f</t>
        </is>
      </c>
      <c r="Q4775" t="inlineStr">
        <is>
          <t>🚫重复</t>
        </is>
      </c>
      <c r="R4775" t="inlineStr">
        <is>
          <t>17周</t>
        </is>
      </c>
      <c r="S4775" t="inlineStr">
        <is>
          <t>0.41</t>
        </is>
      </c>
      <c r="T4775" t="inlineStr">
        <is>
          <t>服饰穿搭</t>
        </is>
      </c>
      <c r="U4775" t="inlineStr">
        <is>
          <t>女装</t>
        </is>
      </c>
      <c r="V4775" s="3">
        <v>46132.014918981484</v>
      </c>
      <c r="W4775" t="inlineStr">
        <is>
          <t>2026-Q2</t>
        </is>
      </c>
    </row>
    <row r="4776" ht="25.5" customHeight="1">
      <c r="A4776" t="inlineStr">
        <is>
          <t>白色鱼骨半身裙女夏季新款简约时尚显瘦小众设计感A字百搭中裙子</t>
        </is>
      </c>
      <c r="B4776" t="inlineStr">
        <is>
          <t>__upload_recvhfQmhqVkQi.jpg</t>
        </is>
      </c>
      <c r="C4776" s="2" t="str">
        <f>=HYPERLINK("https://xhslink.com/m/4Rgqw3qBz8G", "https://xhslink.com/m/4Rgqw3qBz8G")</f>
        <v>https://xhslink.com/m/4Rgqw3qBz8G</v>
      </c>
      <c r="D4776"/>
      <c r="E4776">
        <v>7833</v>
      </c>
      <c r="F4776">
        <v>82</v>
      </c>
      <c r="G4776">
        <v>67</v>
      </c>
      <c r="H4776">
        <v>100</v>
      </c>
      <c r="I4776" t="inlineStr">
        <is>
          <t>半身裙</t>
        </is>
      </c>
      <c r="J4776" t="inlineStr">
        <is>
          <t>0.01</t>
        </is>
      </c>
      <c r="K4776" t="inlineStr">
        <is>
          <t>🔥低粉爆款</t>
        </is>
      </c>
      <c r="L4776" t="inlineStr">
        <is>
          <t>失语对白的店</t>
        </is>
      </c>
      <c r="M4776">
        <v>2530</v>
      </c>
      <c r="N4776">
        <v>4.47</v>
      </c>
      <c r="O4776">
        <v>43000</v>
      </c>
      <c r="P4776" t="inlineStr">
        <is>
          <t>6857c5cf0f1443000136564b</t>
        </is>
      </c>
      <c r="Q4776" t="inlineStr">
        <is>
          <t>🚫重复</t>
        </is>
      </c>
      <c r="R4776" t="inlineStr">
        <is>
          <t>17周</t>
        </is>
      </c>
      <c r="S4776" t="inlineStr">
        <is>
          <t>3.10</t>
        </is>
      </c>
      <c r="T4776" t="inlineStr">
        <is>
          <t>服饰穿搭</t>
        </is>
      </c>
      <c r="U4776" t="inlineStr">
        <is>
          <t>女装</t>
        </is>
      </c>
      <c r="V4776" s="3">
        <v>46132.014918981484</v>
      </c>
      <c r="W4776" t="inlineStr">
        <is>
          <t>2026-Q2</t>
        </is>
      </c>
    </row>
    <row r="4777" ht="25.5" customHeight="1">
      <c r="A4777" t="inlineStr">
        <is>
          <t>【前2w单立减30】拼接花苞显瘦南瓜长裙高腰a字山本工装半身裙</t>
        </is>
      </c>
      <c r="B4777" t="inlineStr">
        <is>
          <t>__upload_recvhfQmhqTvMb.jpg</t>
        </is>
      </c>
      <c r="C4777" s="2" t="str">
        <f>=HYPERLINK("https://xhslink.com/m/1agcYSVwRw6", "https://xhslink.com/m/1agcYSVwRw6")</f>
        <v>https://xhslink.com/m/1agcYSVwRw6</v>
      </c>
      <c r="D4777"/>
      <c r="E4777">
        <v>20000</v>
      </c>
      <c r="F4777">
        <v>79.9</v>
      </c>
      <c r="G4777">
        <v>49.9</v>
      </c>
      <c r="H4777">
        <v>100</v>
      </c>
      <c r="I4777" t="inlineStr">
        <is>
          <t>半身裙</t>
        </is>
      </c>
      <c r="J4777" t="inlineStr">
        <is>
          <t>0.01</t>
        </is>
      </c>
      <c r="K4777" t="inlineStr">
        <is>
          <t>🔥低粉爆款</t>
        </is>
      </c>
      <c r="L4777" t="inlineStr">
        <is>
          <t>栗久野的店</t>
        </is>
      </c>
      <c r="M4777">
        <v>4931</v>
      </c>
      <c r="N4777">
        <v>4.47</v>
      </c>
      <c r="O4777">
        <v>106000</v>
      </c>
      <c r="P4777" t="inlineStr">
        <is>
          <t>683804dea5e39b0015033c0c</t>
        </is>
      </c>
      <c r="Q4777"/>
      <c r="R4777" t="inlineStr">
        <is>
          <t>17周</t>
        </is>
      </c>
      <c r="S4777" t="inlineStr">
        <is>
          <t>4.06</t>
        </is>
      </c>
      <c r="T4777" t="inlineStr">
        <is>
          <t>服饰穿搭</t>
        </is>
      </c>
      <c r="U4777" t="inlineStr">
        <is>
          <t>女装</t>
        </is>
      </c>
      <c r="V4777" s="3">
        <v>46132.014918981484</v>
      </c>
      <c r="W4777" t="inlineStr">
        <is>
          <t>2026-Q2</t>
        </is>
      </c>
    </row>
    <row r="4778" ht="25.5" customHeight="1">
      <c r="A4778" t="inlineStr">
        <is>
          <t>碎花a字半身裙短裙女2026夏季新款黑色高腰蛋糕裙小个子穿搭裙子</t>
        </is>
      </c>
      <c r="B4778" t="inlineStr">
        <is>
          <t>__upload_recvhfQmhqvOKJ.jpg</t>
        </is>
      </c>
      <c r="C4778" s="2" t="str">
        <f>=HYPERLINK("https://xhslink.com/m/5ExFj6vEPWI", "https://xhslink.com/m/5ExFj6vEPWI")</f>
        <v>https://xhslink.com/m/5ExFj6vEPWI</v>
      </c>
      <c r="D4778"/>
      <c r="E4778">
        <v>20000</v>
      </c>
      <c r="F4778">
        <v>70</v>
      </c>
      <c r="G4778">
        <v>59.9</v>
      </c>
      <c r="H4778">
        <v>100</v>
      </c>
      <c r="I4778" t="inlineStr">
        <is>
          <t>半身裙</t>
        </is>
      </c>
      <c r="J4778" t="inlineStr">
        <is>
          <t>0.01</t>
        </is>
      </c>
      <c r="K4778"/>
      <c r="L4778" t="inlineStr">
        <is>
          <t>是许珍妮呀的店</t>
        </is>
      </c>
      <c r="M4778">
        <v>8376</v>
      </c>
      <c r="N4778">
        <v>4.64</v>
      </c>
      <c r="O4778">
        <v>97000</v>
      </c>
      <c r="P4778" t="inlineStr">
        <is>
          <t>66028e6cfd3c06000185d1d9</t>
        </is>
      </c>
      <c r="Q4778"/>
      <c r="R4778" t="inlineStr">
        <is>
          <t>17周</t>
        </is>
      </c>
      <c r="S4778" t="inlineStr">
        <is>
          <t>2.39</t>
        </is>
      </c>
      <c r="T4778" t="inlineStr">
        <is>
          <t>服饰穿搭</t>
        </is>
      </c>
      <c r="U4778" t="inlineStr">
        <is>
          <t>女装</t>
        </is>
      </c>
      <c r="V4778" s="3">
        <v>46132.014918981484</v>
      </c>
      <c r="W4778" t="inlineStr">
        <is>
          <t>2026-Q2</t>
        </is>
      </c>
    </row>
    <row r="4779" ht="25.5" customHeight="1">
      <c r="A4779" t="inlineStr">
        <is>
          <t>QSSD魔芋三角蛋糕0面粉蔗糖低饱腹脂卡糖热量无面粉控糖健身甜品</t>
        </is>
      </c>
      <c r="B4779" t="inlineStr">
        <is>
          <t>__upload_recvhfQmhqcDW5.jpg</t>
        </is>
      </c>
      <c r="C4779" s="2" t="str">
        <f>=HYPERLINK("https://xhslink.com/m/Az1qFWGh1pn", "https://xhslink.com/m/Az1qFWGh1pn")</f>
        <v>https://xhslink.com/m/Az1qFWGh1pn</v>
      </c>
      <c r="D4779"/>
      <c r="E4779">
        <v>15000</v>
      </c>
      <c r="F4779">
        <v>49.9</v>
      </c>
      <c r="G4779">
        <v>29.9</v>
      </c>
      <c r="H4779">
        <v>100</v>
      </c>
      <c r="I4779" t="inlineStr">
        <is>
          <t>甜品</t>
        </is>
      </c>
      <c r="J4779" t="inlineStr">
        <is>
          <t>0.01</t>
        </is>
      </c>
      <c r="K4779"/>
      <c r="L4779" t="inlineStr">
        <is>
          <t>QSSD烘焙的店</t>
        </is>
      </c>
      <c r="M4779">
        <v>54000</v>
      </c>
      <c r="N4779">
        <v>4.72</v>
      </c>
      <c r="O4779">
        <v>201000</v>
      </c>
      <c r="P4779" t="inlineStr">
        <is>
          <t>69b105c91d527c00015b2261</t>
        </is>
      </c>
      <c r="Q4779" t="inlineStr">
        <is>
          <t>🚫重复</t>
        </is>
      </c>
      <c r="R4779" t="inlineStr">
        <is>
          <t>17周</t>
        </is>
      </c>
      <c r="S4779" t="inlineStr">
        <is>
          <t>0.28</t>
        </is>
      </c>
      <c r="T4779" t="inlineStr">
        <is>
          <t>美食滋补</t>
        </is>
      </c>
      <c r="U4779" t="inlineStr">
        <is>
          <t>休闲零食</t>
        </is>
      </c>
      <c r="V4779" s="3">
        <v>46132.014918981484</v>
      </c>
      <c r="W4779" t="inlineStr">
        <is>
          <t>2026-Q2</t>
        </is>
      </c>
    </row>
    <row r="4780" ht="25.5" customHeight="1">
      <c r="A4780" t="inlineStr">
        <is>
          <t>全麦饼干手作粗粮低脂零食0添加高饱腹【买2送1-加购车3件立减】</t>
        </is>
      </c>
      <c r="B4780" t="inlineStr">
        <is>
          <t>__upload_recvhfQmhqINC1.jpg</t>
        </is>
      </c>
      <c r="C4780" s="2" t="str">
        <f>=HYPERLINK("https://xhslink.com/m/5f12ik99ag4", "https://xhslink.com/m/5f12ik99ag4")</f>
        <v>https://xhslink.com/m/5f12ik99ag4</v>
      </c>
      <c r="D4780"/>
      <c r="E4780">
        <v>25000</v>
      </c>
      <c r="F4780">
        <v>25</v>
      </c>
      <c r="G4780"/>
      <c r="H4780">
        <v>100</v>
      </c>
      <c r="I4780" t="inlineStr">
        <is>
          <t>甜品</t>
        </is>
      </c>
      <c r="J4780" t="inlineStr">
        <is>
          <t>0.00</t>
        </is>
      </c>
      <c r="K4780" t="inlineStr">
        <is>
          <t>🔥低粉爆款</t>
        </is>
      </c>
      <c r="L4780" t="inlineStr">
        <is>
          <t>小鱼的轻食光的店</t>
        </is>
      </c>
      <c r="M4780">
        <v>468</v>
      </c>
      <c r="N4780">
        <v>4.8</v>
      </c>
      <c r="O4780">
        <v>25000</v>
      </c>
      <c r="P4780" t="inlineStr">
        <is>
          <t>691087e2f73ffe0001b74fd5</t>
        </is>
      </c>
      <c r="Q4780" t="inlineStr">
        <is>
          <t>🚫重复</t>
        </is>
      </c>
      <c r="R4780" t="inlineStr">
        <is>
          <t>17周</t>
        </is>
      </c>
      <c r="S4780" t="inlineStr">
        <is>
          <t>53.42</t>
        </is>
      </c>
      <c r="T4780" t="inlineStr">
        <is>
          <t>美食滋补</t>
        </is>
      </c>
      <c r="U4780" t="inlineStr">
        <is>
          <t>休闲零食</t>
        </is>
      </c>
      <c r="V4780" s="3">
        <v>46132.014918981484</v>
      </c>
      <c r="W4780" t="inlineStr">
        <is>
          <t>2026-Q2</t>
        </is>
      </c>
    </row>
    <row r="4781" ht="25.5" customHeight="1">
      <c r="A4781" t="inlineStr">
        <is>
          <t>懒五黑全麦紫薯芋泥饼无蔗糖饱腹代餐健康零食减脂期解馋中式糕点</t>
        </is>
      </c>
      <c r="B4781" t="inlineStr">
        <is>
          <t>__upload_recvhfQmhqQDTP.jpg</t>
        </is>
      </c>
      <c r="C4781" s="2" t="str">
        <f>=HYPERLINK("https://xhslink.com/m/QvXJxN9eut", "https://xhslink.com/m/QvXJxN9eut")</f>
        <v>https://xhslink.com/m/QvXJxN9eut</v>
      </c>
      <c r="D4781"/>
      <c r="E4781">
        <v>22000</v>
      </c>
      <c r="F4781">
        <v>23.8</v>
      </c>
      <c r="G4781">
        <v>13.8</v>
      </c>
      <c r="H4781">
        <v>100</v>
      </c>
      <c r="I4781" t="inlineStr">
        <is>
          <t>甜品</t>
        </is>
      </c>
      <c r="J4781" t="inlineStr">
        <is>
          <t>0.00</t>
        </is>
      </c>
      <c r="K4781" t="inlineStr">
        <is>
          <t>🔥低粉爆款</t>
        </is>
      </c>
      <c r="L4781" t="inlineStr">
        <is>
          <t>幸屿Umi的店</t>
        </is>
      </c>
      <c r="M4781">
        <v>625</v>
      </c>
      <c r="N4781">
        <v>4.51</v>
      </c>
      <c r="O4781">
        <v>26000</v>
      </c>
      <c r="P4781" t="inlineStr">
        <is>
          <t>68a497d61745f600011c032d</t>
        </is>
      </c>
      <c r="Q4781" t="inlineStr">
        <is>
          <t>🚫重复</t>
        </is>
      </c>
      <c r="R4781" t="inlineStr">
        <is>
          <t>17周</t>
        </is>
      </c>
      <c r="S4781" t="inlineStr">
        <is>
          <t>35.20</t>
        </is>
      </c>
      <c r="T4781" t="inlineStr">
        <is>
          <t>美食滋补</t>
        </is>
      </c>
      <c r="U4781" t="inlineStr">
        <is>
          <t>休闲零食</t>
        </is>
      </c>
      <c r="V4781" s="3">
        <v>46132.014918981484</v>
      </c>
      <c r="W4781" t="inlineStr">
        <is>
          <t>2026-Q2</t>
        </is>
      </c>
    </row>
    <row r="4782" ht="25.5" customHeight="1">
      <c r="A4782" t="inlineStr">
        <is>
          <t>碧翠园 · MCT巧克力泥巴派脏脏软饼干可可0蔗糖巧克力夹心下午茶泥巴派</t>
        </is>
      </c>
      <c r="B4782" t="inlineStr">
        <is>
          <t>__upload_recvhfQmhq61pr.jpg</t>
        </is>
      </c>
      <c r="C4782" s="2" t="str">
        <f>=HYPERLINK("https://xhslink.com/m/5s0peeQhzEs", "https://xhslink.com/m/5s0peeQhzEs")</f>
        <v>https://xhslink.com/m/5s0peeQhzEs</v>
      </c>
      <c r="D4782"/>
      <c r="E4782">
        <v>13000</v>
      </c>
      <c r="F4782">
        <v>49.9</v>
      </c>
      <c r="G4782">
        <v>39.9</v>
      </c>
      <c r="H4782">
        <v>100</v>
      </c>
      <c r="I4782" t="inlineStr">
        <is>
          <t>甜品</t>
        </is>
      </c>
      <c r="J4782" t="inlineStr">
        <is>
          <t>0.01</t>
        </is>
      </c>
      <c r="K4782"/>
      <c r="L4782" t="inlineStr">
        <is>
          <t>碧翠园BCPARK旗舰店</t>
        </is>
      </c>
      <c r="M4782">
        <v>20000</v>
      </c>
      <c r="N4782">
        <v>4.33</v>
      </c>
      <c r="O4782">
        <v>98000</v>
      </c>
      <c r="P4782" t="inlineStr">
        <is>
          <t>69082035becfcc00019c73d8</t>
        </is>
      </c>
      <c r="Q4782" t="inlineStr">
        <is>
          <t>🚫重复</t>
        </is>
      </c>
      <c r="R4782" t="inlineStr">
        <is>
          <t>17周</t>
        </is>
      </c>
      <c r="S4782" t="inlineStr">
        <is>
          <t>0.65</t>
        </is>
      </c>
      <c r="T4782" t="inlineStr">
        <is>
          <t>美食滋补</t>
        </is>
      </c>
      <c r="U4782" t="inlineStr">
        <is>
          <t>休闲零食</t>
        </is>
      </c>
      <c r="V4782" s="3">
        <v>46132.014918981484</v>
      </c>
      <c r="W4782" t="inlineStr">
        <is>
          <t>2026-Q2</t>
        </is>
      </c>
    </row>
    <row r="4783" ht="25.5" customHeight="1">
      <c r="A4783" t="inlineStr">
        <is>
          <t>【18.8R到手7枚】全麦0蔗糖早八党贝果早餐大学生</t>
        </is>
      </c>
      <c r="B4783" t="inlineStr">
        <is>
          <t>__upload_recvhfQmhqVb0J.jpg</t>
        </is>
      </c>
      <c r="C4783" s="2" t="str">
        <f>=HYPERLINK("https://xhslink.com/m/3W2oqKCLBip", "https://xhslink.com/m/3W2oqKCLBip")</f>
        <v>https://xhslink.com/m/3W2oqKCLBip</v>
      </c>
      <c r="D4783"/>
      <c r="E4783">
        <v>64000</v>
      </c>
      <c r="F4783">
        <v>52.8</v>
      </c>
      <c r="G4783">
        <v>33.8</v>
      </c>
      <c r="H4783">
        <v>100</v>
      </c>
      <c r="I4783" t="inlineStr">
        <is>
          <t>甜品</t>
        </is>
      </c>
      <c r="J4783" t="inlineStr">
        <is>
          <t>0.00</t>
        </is>
      </c>
      <c r="K4783" t="inlineStr">
        <is>
          <t>🔥低粉爆款</t>
        </is>
      </c>
      <c r="L4783" t="inlineStr">
        <is>
          <t>麦语烘焙坊的店</t>
        </is>
      </c>
      <c r="M4783">
        <v>3994</v>
      </c>
      <c r="N4783">
        <v>4.49</v>
      </c>
      <c r="O4783">
        <v>108000</v>
      </c>
      <c r="P4783" t="inlineStr">
        <is>
          <t>67bdc5d6f6588900013033bf</t>
        </is>
      </c>
      <c r="Q4783" t="inlineStr">
        <is>
          <t>🚫重复</t>
        </is>
      </c>
      <c r="R4783" t="inlineStr">
        <is>
          <t>17周</t>
        </is>
      </c>
      <c r="S4783" t="inlineStr">
        <is>
          <t>16.02</t>
        </is>
      </c>
      <c r="T4783" t="inlineStr">
        <is>
          <t>美食滋补</t>
        </is>
      </c>
      <c r="U4783" t="inlineStr">
        <is>
          <t>休闲零食</t>
        </is>
      </c>
      <c r="V4783" s="3">
        <v>46132.014918981484</v>
      </c>
      <c r="W4783" t="inlineStr">
        <is>
          <t>2026-Q2</t>
        </is>
      </c>
    </row>
    <row r="4784" ht="25.5" customHeight="1">
      <c r="A4784" t="inlineStr">
        <is>
          <t>榴莲“小奶包”！地表最强东部果，奶香浓郁甜糯爆表！</t>
        </is>
      </c>
      <c r="B4784" t="inlineStr">
        <is>
          <t>__upload_recvhfQmhqncEU.jpg</t>
        </is>
      </c>
      <c r="C4784" s="2" t="str">
        <f>=HYPERLINK("https://xhslink.com/m/5Cz9dfRsZYL", "https://xhslink.com/m/5Cz9dfRsZYL")</f>
        <v>https://xhslink.com/m/5Cz9dfRsZYL</v>
      </c>
      <c r="D4784"/>
      <c r="E4784">
        <v>42000</v>
      </c>
      <c r="F4784">
        <v>149</v>
      </c>
      <c r="G4784"/>
      <c r="H4784">
        <v>100</v>
      </c>
      <c r="I4784" t="inlineStr">
        <is>
          <t>榴莲</t>
        </is>
      </c>
      <c r="J4784" t="inlineStr">
        <is>
          <t>0.00</t>
        </is>
      </c>
      <c r="K4784"/>
      <c r="L4784" t="inlineStr">
        <is>
          <t>一心榴莲的店</t>
        </is>
      </c>
      <c r="M4784">
        <v>371000</v>
      </c>
      <c r="N4784">
        <v>4.74</v>
      </c>
      <c r="O4784">
        <v>628000</v>
      </c>
      <c r="P4784" t="inlineStr">
        <is>
          <t>68756d919c0b440001e0ec12</t>
        </is>
      </c>
      <c r="Q4784" t="inlineStr">
        <is>
          <t>🚫重复</t>
        </is>
      </c>
      <c r="R4784" t="inlineStr">
        <is>
          <t>17周</t>
        </is>
      </c>
      <c r="S4784" t="inlineStr">
        <is>
          <t>0.11</t>
        </is>
      </c>
      <c r="T4784" t="inlineStr">
        <is>
          <t>美食滋补</t>
        </is>
      </c>
      <c r="U4784" t="inlineStr">
        <is>
          <t>生鲜特产</t>
        </is>
      </c>
      <c r="V4784" s="3">
        <v>46132.014918981484</v>
      </c>
      <c r="W4784" t="inlineStr">
        <is>
          <t>2026-Q2</t>
        </is>
      </c>
    </row>
    <row r="4785" ht="25.5" customHeight="1">
      <c r="A4785" t="inlineStr">
        <is>
          <t>佳沃 · 黑刺榴莲马来西亚 A果4房鲜果 D200老树树熟 稀缺好物 直播</t>
        </is>
      </c>
      <c r="B4785" t="inlineStr">
        <is>
          <t>__upload_recvhfQmhqfBf1.jpg</t>
        </is>
      </c>
      <c r="C4785" s="2" t="str">
        <f>=HYPERLINK("https://xhslink.com/m/TwKz3m1Eo7", "https://xhslink.com/m/TwKz3m1Eo7")</f>
        <v>https://xhslink.com/m/TwKz3m1Eo7</v>
      </c>
      <c r="D4785"/>
      <c r="E4785">
        <v>26000</v>
      </c>
      <c r="F4785">
        <v>369</v>
      </c>
      <c r="G4785">
        <v>269</v>
      </c>
      <c r="H4785">
        <v>100</v>
      </c>
      <c r="I4785" t="inlineStr">
        <is>
          <t>榴莲</t>
        </is>
      </c>
      <c r="J4785" t="inlineStr">
        <is>
          <t>0.00</t>
        </is>
      </c>
      <c r="K4785"/>
      <c r="L4785" t="inlineStr">
        <is>
          <t>佳沃水果旗舰店</t>
        </is>
      </c>
      <c r="M4785">
        <v>178000</v>
      </c>
      <c r="N4785">
        <v>4.51</v>
      </c>
      <c r="O4785">
        <v>206000</v>
      </c>
      <c r="P4785" t="inlineStr">
        <is>
          <t>69d9176f749cf20001f9dfb6</t>
        </is>
      </c>
      <c r="Q4785" t="inlineStr">
        <is>
          <t>🚫重复</t>
        </is>
      </c>
      <c r="R4785" t="inlineStr">
        <is>
          <t>17周</t>
        </is>
      </c>
      <c r="S4785" t="inlineStr">
        <is>
          <t>0.15</t>
        </is>
      </c>
      <c r="T4785" t="inlineStr">
        <is>
          <t>美食滋补</t>
        </is>
      </c>
      <c r="U4785" t="inlineStr">
        <is>
          <t>生鲜特产</t>
        </is>
      </c>
      <c r="V4785" s="3">
        <v>46132.014918981484</v>
      </c>
      <c r="W4785" t="inlineStr">
        <is>
          <t>2026-Q2</t>
        </is>
      </c>
    </row>
    <row r="4786" ht="25.5" customHeight="1">
      <c r="A4786" t="inlineStr">
        <is>
          <t>香葱牛轧饼宿舍办公室饼干推荐好吃年货零食夹心饼干健康小零食</t>
        </is>
      </c>
      <c r="B4786" t="inlineStr">
        <is>
          <t>__upload_recvhfQmhqW8nt.jpg</t>
        </is>
      </c>
      <c r="C4786" s="2" t="str">
        <f>=HYPERLINK("https://xhslink.com/m/21bCrJsXwVw", "https://xhslink.com/m/21bCrJsXwVw")</f>
        <v>https://xhslink.com/m/21bCrJsXwVw</v>
      </c>
      <c r="D4786"/>
      <c r="E4786">
        <v>163000</v>
      </c>
      <c r="F4786">
        <v>49.8</v>
      </c>
      <c r="G4786"/>
      <c r="H4786">
        <v>100</v>
      </c>
      <c r="I4786" t="inlineStr">
        <is>
          <t>零食</t>
        </is>
      </c>
      <c r="J4786" t="inlineStr">
        <is>
          <t>0.00</t>
        </is>
      </c>
      <c r="K4786" t="inlineStr">
        <is>
          <t>🔥低粉爆款</t>
        </is>
      </c>
      <c r="L4786" t="inlineStr">
        <is>
          <t>零食股东的店</t>
        </is>
      </c>
      <c r="M4786">
        <v>12000</v>
      </c>
      <c r="N4786">
        <v>4.69</v>
      </c>
      <c r="O4786">
        <v>263000</v>
      </c>
      <c r="P4786" t="inlineStr">
        <is>
          <t>678a1bdaeefe64000127ed1c</t>
        </is>
      </c>
      <c r="Q4786" t="inlineStr">
        <is>
          <t>🚫重复</t>
        </is>
      </c>
      <c r="R4786" t="inlineStr">
        <is>
          <t>17周</t>
        </is>
      </c>
      <c r="S4786" t="inlineStr">
        <is>
          <t>13.58</t>
        </is>
      </c>
      <c r="T4786" t="inlineStr">
        <is>
          <t>美食滋补</t>
        </is>
      </c>
      <c r="U4786" t="inlineStr">
        <is>
          <t>休闲零食</t>
        </is>
      </c>
      <c r="V4786" s="3">
        <v>46132.014918981484</v>
      </c>
      <c r="W4786" t="inlineStr">
        <is>
          <t>2026-Q2</t>
        </is>
      </c>
    </row>
    <row r="4787" ht="25.5" customHeight="1">
      <c r="A4787" t="inlineStr">
        <is>
          <t>加酸版酸梅粒话梅肉话梅无核梅子干桃梅肉酸甜微咸蜜饯休闲零食</t>
        </is>
      </c>
      <c r="B4787" t="inlineStr">
        <is>
          <t>__upload_recvhfQmhqxPt2.jpg</t>
        </is>
      </c>
      <c r="C4787" s="2" t="str">
        <f>=HYPERLINK("https://xhslink.com/m/7Kn0bmXh6lv", "https://xhslink.com/m/7Kn0bmXh6lv")</f>
        <v>https://xhslink.com/m/7Kn0bmXh6lv</v>
      </c>
      <c r="D4787"/>
      <c r="E4787">
        <v>100000</v>
      </c>
      <c r="F4787">
        <v>26.8</v>
      </c>
      <c r="G4787">
        <v>16.8</v>
      </c>
      <c r="H4787">
        <v>100</v>
      </c>
      <c r="I4787" t="inlineStr">
        <is>
          <t>零食</t>
        </is>
      </c>
      <c r="J4787" t="inlineStr">
        <is>
          <t>0.00</t>
        </is>
      </c>
      <c r="K4787" t="inlineStr">
        <is>
          <t>🔥低粉爆款</t>
        </is>
      </c>
      <c r="L4787" t="inlineStr">
        <is>
          <t>潮汕零食牛牛🐮的店</t>
        </is>
      </c>
      <c r="M4787">
        <v>28000</v>
      </c>
      <c r="N4787">
        <v>4.57</v>
      </c>
      <c r="O4787">
        <v>305000</v>
      </c>
      <c r="P4787" t="inlineStr">
        <is>
          <t>661f8ef8b250c60001875a5c</t>
        </is>
      </c>
      <c r="Q4787" t="inlineStr">
        <is>
          <t>🚫重复</t>
        </is>
      </c>
      <c r="R4787" t="inlineStr">
        <is>
          <t>17周</t>
        </is>
      </c>
      <c r="S4787" t="inlineStr">
        <is>
          <t>3.57</t>
        </is>
      </c>
      <c r="T4787" t="inlineStr">
        <is>
          <t>美食滋补</t>
        </is>
      </c>
      <c r="U4787" t="inlineStr">
        <is>
          <t>休闲零食</t>
        </is>
      </c>
      <c r="V4787" s="3">
        <v>46132.014918981484</v>
      </c>
      <c r="W4787" t="inlineStr">
        <is>
          <t>2026-Q2</t>
        </is>
      </c>
    </row>
    <row r="4788" ht="25.5" customHeight="1">
      <c r="A4788" t="inlineStr">
        <is>
          <t>（阿梓代卖）四川农家原味牛肉干九成干度零食特产散装可口美味</t>
        </is>
      </c>
      <c r="B4788" t="inlineStr">
        <is>
          <t>__upload_recvhfQmhqTmEI.jpg</t>
        </is>
      </c>
      <c r="C4788" s="2" t="str">
        <f>=HYPERLINK("https://xhslink.com/m/6gVntRAz3AI", "https://xhslink.com/m/6gVntRAz3AI")</f>
        <v>https://xhslink.com/m/6gVntRAz3AI</v>
      </c>
      <c r="D4788"/>
      <c r="E4788">
        <v>8705</v>
      </c>
      <c r="F4788">
        <v>65</v>
      </c>
      <c r="G4788"/>
      <c r="H4788">
        <v>100</v>
      </c>
      <c r="I4788" t="inlineStr">
        <is>
          <t>零食</t>
        </is>
      </c>
      <c r="J4788" t="inlineStr">
        <is>
          <t>0.01</t>
        </is>
      </c>
      <c r="K4788" t="inlineStr">
        <is>
          <t>🔥低粉爆款</t>
        </is>
      </c>
      <c r="L4788" t="inlineStr">
        <is>
          <t>阿梓山甄1店的店</t>
        </is>
      </c>
      <c r="M4788">
        <v>330</v>
      </c>
      <c r="N4788">
        <v>4.25</v>
      </c>
      <c r="O4788">
        <v>91000</v>
      </c>
      <c r="P4788" t="inlineStr">
        <is>
          <t>6959f13ba3512300012697cf</t>
        </is>
      </c>
      <c r="Q4788"/>
      <c r="R4788" t="inlineStr">
        <is>
          <t>17周</t>
        </is>
      </c>
      <c r="S4788" t="inlineStr">
        <is>
          <t>26.38</t>
        </is>
      </c>
      <c r="T4788" t="inlineStr">
        <is>
          <t>美食滋补</t>
        </is>
      </c>
      <c r="U4788" t="inlineStr">
        <is>
          <t>休闲零食</t>
        </is>
      </c>
      <c r="V4788" s="3">
        <v>46132.014918981484</v>
      </c>
      <c r="W4788" t="inlineStr">
        <is>
          <t>2026-Q2</t>
        </is>
      </c>
    </row>
    <row r="4789" ht="25.5" customHeight="1">
      <c r="A4789" t="inlineStr">
        <is>
          <t>Rubyday · 甜心派对Sweet party碎银手链 少女心精致感手链</t>
        </is>
      </c>
      <c r="B4789" t="inlineStr">
        <is>
          <t>__upload_recvhfQmhqhAcU.jpg</t>
        </is>
      </c>
      <c r="C4789" s="2" t="str">
        <f>=HYPERLINK("https://xhslink.com/m/3hNXixe2sxh", "https://xhslink.com/m/3hNXixe2sxh")</f>
        <v>https://xhslink.com/m/3hNXixe2sxh</v>
      </c>
      <c r="D4789"/>
      <c r="E4789">
        <v>21000</v>
      </c>
      <c r="F4789">
        <v>80</v>
      </c>
      <c r="G4789">
        <v>70.4</v>
      </c>
      <c r="H4789">
        <v>100</v>
      </c>
      <c r="I4789" t="inlineStr">
        <is>
          <t>手链项链</t>
        </is>
      </c>
      <c r="J4789" t="inlineStr">
        <is>
          <t>0.00</t>
        </is>
      </c>
      <c r="K4789"/>
      <c r="L4789" t="inlineStr">
        <is>
          <t>Rubyday.Shop的店</t>
        </is>
      </c>
      <c r="M4789">
        <v>110000</v>
      </c>
      <c r="N4789">
        <v>4.53</v>
      </c>
      <c r="O4789">
        <v>108000</v>
      </c>
      <c r="P4789" t="inlineStr">
        <is>
          <t>67fccec38c174700012d061d</t>
        </is>
      </c>
      <c r="Q4789" t="inlineStr">
        <is>
          <t>🚫重复</t>
        </is>
      </c>
      <c r="R4789" t="inlineStr">
        <is>
          <t>17周</t>
        </is>
      </c>
      <c r="S4789" t="inlineStr">
        <is>
          <t>0.19</t>
        </is>
      </c>
      <c r="T4789" t="inlineStr">
        <is>
          <t>服饰穿搭</t>
        </is>
      </c>
      <c r="U4789" t="inlineStr">
        <is>
          <t>配饰</t>
        </is>
      </c>
      <c r="V4789" s="3">
        <v>46132.014918981484</v>
      </c>
      <c r="W4789" t="inlineStr">
        <is>
          <t>2026-Q2</t>
        </is>
      </c>
    </row>
    <row r="4790" ht="25.5" customHeight="1">
      <c r="A4790" t="inlineStr">
        <is>
          <t>小泡芙｜银色拉丝哑光金属耳钉女高级感简约百搭耳环日常通勤耳饰</t>
        </is>
      </c>
      <c r="B4790" t="inlineStr">
        <is>
          <t>__upload_recvhfQmhqxjnh.jpg</t>
        </is>
      </c>
      <c r="C4790" s="2" t="str">
        <f>=HYPERLINK("https://xhslink.com/m/33NLYv7VGEa", "https://xhslink.com/m/33NLYv7VGEa")</f>
        <v>https://xhslink.com/m/33NLYv7VGEa</v>
      </c>
      <c r="D4790"/>
      <c r="E4790">
        <v>29000</v>
      </c>
      <c r="F4790">
        <v>25.8</v>
      </c>
      <c r="G4790"/>
      <c r="H4790">
        <v>100</v>
      </c>
      <c r="I4790" t="inlineStr">
        <is>
          <t>手链项链</t>
        </is>
      </c>
      <c r="J4790" t="inlineStr">
        <is>
          <t>0.00</t>
        </is>
      </c>
      <c r="K4790" t="inlineStr">
        <is>
          <t>🔥低粉爆款</t>
        </is>
      </c>
      <c r="L4790" t="inlineStr">
        <is>
          <t>AaLING｀的店</t>
        </is>
      </c>
      <c r="M4790">
        <v>4726</v>
      </c>
      <c r="N4790">
        <v>4.7</v>
      </c>
      <c r="O4790">
        <v>81000</v>
      </c>
      <c r="P4790" t="inlineStr">
        <is>
          <t>676a6b2d67b3ca00016038fe</t>
        </is>
      </c>
      <c r="Q4790"/>
      <c r="R4790" t="inlineStr">
        <is>
          <t>17周</t>
        </is>
      </c>
      <c r="S4790" t="inlineStr">
        <is>
          <t>6.14</t>
        </is>
      </c>
      <c r="T4790" t="inlineStr">
        <is>
          <t>服饰穿搭</t>
        </is>
      </c>
      <c r="U4790" t="inlineStr">
        <is>
          <t>配饰</t>
        </is>
      </c>
      <c r="V4790" s="3">
        <v>46132.014918981484</v>
      </c>
      <c r="W4790" t="inlineStr">
        <is>
          <t>2026-Q2</t>
        </is>
      </c>
    </row>
    <row r="4791" ht="25.5" customHeight="1">
      <c r="A4791" t="inlineStr">
        <is>
          <t>高级感碎银子双层项链女生轻奢小众设计感细闪叠戴辣妹锁骨链爆款</t>
        </is>
      </c>
      <c r="B4791" t="inlineStr">
        <is>
          <t>__upload_recvhfQmhq9MiZ.jpg</t>
        </is>
      </c>
      <c r="C4791" s="2" t="str">
        <f>=HYPERLINK("https://xhslink.com/m/AYlX09COuuK", "https://xhslink.com/m/AYlX09COuuK")</f>
        <v>https://xhslink.com/m/AYlX09COuuK</v>
      </c>
      <c r="D4791"/>
      <c r="E4791">
        <v>10000</v>
      </c>
      <c r="F4791">
        <v>20.8</v>
      </c>
      <c r="G4791">
        <v>18.8</v>
      </c>
      <c r="H4791">
        <v>100</v>
      </c>
      <c r="I4791" t="inlineStr">
        <is>
          <t>手链项链</t>
        </is>
      </c>
      <c r="J4791" t="inlineStr">
        <is>
          <t>0.01</t>
        </is>
      </c>
      <c r="K4791"/>
      <c r="L4791" t="inlineStr">
        <is>
          <t>KENLA ACC🍸的店</t>
        </is>
      </c>
      <c r="M4791">
        <v>44000</v>
      </c>
      <c r="N4791">
        <v>4.41</v>
      </c>
      <c r="O4791">
        <v>233000</v>
      </c>
      <c r="P4791" t="inlineStr">
        <is>
          <t>664616b5f0ce190001339543</t>
        </is>
      </c>
      <c r="Q4791"/>
      <c r="R4791" t="inlineStr">
        <is>
          <t>17周</t>
        </is>
      </c>
      <c r="S4791" t="inlineStr">
        <is>
          <t>0.23</t>
        </is>
      </c>
      <c r="T4791" t="inlineStr">
        <is>
          <t>服饰穿搭</t>
        </is>
      </c>
      <c r="U4791" t="inlineStr">
        <is>
          <t>配饰</t>
        </is>
      </c>
      <c r="V4791" s="3">
        <v>46132.014918981484</v>
      </c>
      <c r="W4791" t="inlineStr">
        <is>
          <t>2026-Q2</t>
        </is>
      </c>
    </row>
    <row r="4792" ht="25.5" customHeight="1">
      <c r="A4792" t="inlineStr">
        <is>
          <t>sanswood · 《午夜西普》椭圆钻石切莫桑石项链通勤悬浮钻锁骨链</t>
        </is>
      </c>
      <c r="B4792" t="inlineStr">
        <is>
          <t>__upload_recvhfQmhqD5xb.jpg</t>
        </is>
      </c>
      <c r="C4792" s="2" t="str">
        <f>=HYPERLINK("https://xhslink.com/m/8ZanXqas6vY", "https://xhslink.com/m/8ZanXqas6vY")</f>
        <v>https://xhslink.com/m/8ZanXqas6vY</v>
      </c>
      <c r="D4792"/>
      <c r="E4792">
        <v>474</v>
      </c>
      <c r="F4792">
        <v>228</v>
      </c>
      <c r="G4792">
        <v>200.64</v>
      </c>
      <c r="H4792">
        <v>100</v>
      </c>
      <c r="I4792" t="inlineStr">
        <is>
          <t>手链项链</t>
        </is>
      </c>
      <c r="J4792" t="inlineStr">
        <is>
          <t>0.21</t>
        </is>
      </c>
      <c r="K4792"/>
      <c r="L4792" t="inlineStr">
        <is>
          <t>sanswood森吾旗舰店</t>
        </is>
      </c>
      <c r="M4792">
        <v>54000</v>
      </c>
      <c r="N4792">
        <v>4.61</v>
      </c>
      <c r="O4792">
        <v>62000</v>
      </c>
      <c r="P4792" t="inlineStr">
        <is>
          <t>690ee9ccb4ade000156a40d3</t>
        </is>
      </c>
      <c r="Q4792"/>
      <c r="R4792" t="inlineStr">
        <is>
          <t>17周</t>
        </is>
      </c>
      <c r="S4792" t="inlineStr">
        <is>
          <t>0.01</t>
        </is>
      </c>
      <c r="T4792" t="inlineStr">
        <is>
          <t>服饰穿搭</t>
        </is>
      </c>
      <c r="U4792" t="inlineStr">
        <is>
          <t>配饰</t>
        </is>
      </c>
      <c r="V4792" s="3">
        <v>46132.014918981484</v>
      </c>
      <c r="W4792" t="inlineStr">
        <is>
          <t>2026-Q2</t>
        </is>
      </c>
    </row>
    <row r="4793" ht="25.5" customHeight="1">
      <c r="A4793" t="inlineStr">
        <is>
          <t>天然巴西白水晶手串全净体手链女送闺蜜串珠首饰叠戴DIY高级纯洁</t>
        </is>
      </c>
      <c r="B4793" t="inlineStr">
        <is>
          <t>__upload_recvhfQmhqVMOu.jpg</t>
        </is>
      </c>
      <c r="C4793" s="2" t="str">
        <f>=HYPERLINK("https://xhslink.com/m/9ZcsFiHzuT7", "https://xhslink.com/m/9ZcsFiHzuT7")</f>
        <v>https://xhslink.com/m/9ZcsFiHzuT7</v>
      </c>
      <c r="D4793"/>
      <c r="E4793">
        <v>2221</v>
      </c>
      <c r="F4793">
        <v>99</v>
      </c>
      <c r="G4793">
        <v>97</v>
      </c>
      <c r="H4793">
        <v>100</v>
      </c>
      <c r="I4793" t="inlineStr">
        <is>
          <t>手链项链</t>
        </is>
      </c>
      <c r="J4793" t="inlineStr">
        <is>
          <t>0.05</t>
        </is>
      </c>
      <c r="K4793"/>
      <c r="L4793" t="inlineStr">
        <is>
          <t>玄霜白魄白水晶的店</t>
        </is>
      </c>
      <c r="M4793">
        <v>11000</v>
      </c>
      <c r="N4793">
        <v>4.55</v>
      </c>
      <c r="O4793">
        <v>6083</v>
      </c>
      <c r="P4793" t="inlineStr">
        <is>
          <t>69133801e561cd00017ad82b</t>
        </is>
      </c>
      <c r="Q4793"/>
      <c r="R4793" t="inlineStr">
        <is>
          <t>17周</t>
        </is>
      </c>
      <c r="S4793" t="inlineStr">
        <is>
          <t>0.20</t>
        </is>
      </c>
      <c r="T4793" t="inlineStr">
        <is>
          <t>服饰穿搭</t>
        </is>
      </c>
      <c r="U4793" t="inlineStr">
        <is>
          <t>配饰</t>
        </is>
      </c>
      <c r="V4793" s="3">
        <v>46132.014918981484</v>
      </c>
      <c r="W4793" t="inlineStr">
        <is>
          <t>2026-Q2</t>
        </is>
      </c>
    </row>
    <row r="4794" ht="25.5" customHeight="1">
      <c r="A4794" t="inlineStr">
        <is>
          <t>【甜糯玉米&amp;北京农科院】农科糯336 香甜软糯 低脂代餐 非转基因</t>
        </is>
      </c>
      <c r="B4794" t="inlineStr">
        <is>
          <t>__upload_recvhfQmhqec02.jpg</t>
        </is>
      </c>
      <c r="C4794" s="2" t="str">
        <f>=HYPERLINK("https://xhslink.com/m/1ZnAzbjfTjC", "https://xhslink.com/m/1ZnAzbjfTjC")</f>
        <v>https://xhslink.com/m/1ZnAzbjfTjC</v>
      </c>
      <c r="D4794"/>
      <c r="E4794">
        <v>21000</v>
      </c>
      <c r="F4794">
        <v>29.9</v>
      </c>
      <c r="G4794"/>
      <c r="H4794">
        <v>100</v>
      </c>
      <c r="I4794" t="inlineStr">
        <is>
          <t>早餐食品</t>
        </is>
      </c>
      <c r="J4794" t="inlineStr">
        <is>
          <t>0.00</t>
        </is>
      </c>
      <c r="K4794"/>
      <c r="L4794" t="inlineStr">
        <is>
          <t>农科优选的店</t>
        </is>
      </c>
      <c r="M4794">
        <v>20000</v>
      </c>
      <c r="N4794">
        <v>4.48</v>
      </c>
      <c r="O4794">
        <v>51000</v>
      </c>
      <c r="P4794" t="inlineStr">
        <is>
          <t>685ad1c4403edf00159087fb</t>
        </is>
      </c>
      <c r="Q4794"/>
      <c r="R4794" t="inlineStr">
        <is>
          <t>17周</t>
        </is>
      </c>
      <c r="S4794" t="inlineStr">
        <is>
          <t>1.05</t>
        </is>
      </c>
      <c r="T4794" t="inlineStr">
        <is>
          <t>美食滋补</t>
        </is>
      </c>
      <c r="U4794" t="inlineStr">
        <is>
          <t>休闲零食</t>
        </is>
      </c>
      <c r="V4794" s="3">
        <v>46132.014918981484</v>
      </c>
      <c r="W4794" t="inlineStr">
        <is>
          <t>2026-Q2</t>
        </is>
      </c>
    </row>
    <row r="4795" ht="25.5" customHeight="1">
      <c r="A4795" t="inlineStr">
        <is>
          <t>中澜ZHONGLAN · 水煮鸡胸肉多口味健身吃代餐饱腹零0减期肥低脂蒸卡速高蛋白钠</t>
        </is>
      </c>
      <c r="B4795" t="inlineStr">
        <is>
          <t>__upload_recvhfQmhqEgwh.jpg</t>
        </is>
      </c>
      <c r="C4795" s="2" t="str">
        <f>=HYPERLINK("https://xhslink.com/m/5DKp9DIvrBK", "https://xhslink.com/m/5DKp9DIvrBK")</f>
        <v>https://xhslink.com/m/5DKp9DIvrBK</v>
      </c>
      <c r="D4795"/>
      <c r="E4795">
        <v>4246</v>
      </c>
      <c r="F4795">
        <v>47.8</v>
      </c>
      <c r="G4795">
        <v>23.9</v>
      </c>
      <c r="H4795">
        <v>100</v>
      </c>
      <c r="I4795" t="inlineStr">
        <is>
          <t>早餐食品</t>
        </is>
      </c>
      <c r="J4795" t="inlineStr">
        <is>
          <t>0.02</t>
        </is>
      </c>
      <c r="K4795"/>
      <c r="L4795" t="inlineStr">
        <is>
          <t>中澜旗舰店</t>
        </is>
      </c>
      <c r="M4795">
        <v>2183</v>
      </c>
      <c r="N4795">
        <v>4.62</v>
      </c>
      <c r="O4795">
        <v>10000</v>
      </c>
      <c r="P4795" t="inlineStr">
        <is>
          <t>697c274c6d22e70001466bc3</t>
        </is>
      </c>
      <c r="Q4795" t="inlineStr">
        <is>
          <t>🚫重复</t>
        </is>
      </c>
      <c r="R4795" t="inlineStr">
        <is>
          <t>17周</t>
        </is>
      </c>
      <c r="S4795" t="inlineStr">
        <is>
          <t>1.95</t>
        </is>
      </c>
      <c r="T4795" t="inlineStr">
        <is>
          <t>美食滋补</t>
        </is>
      </c>
      <c r="U4795" t="inlineStr">
        <is>
          <t>休闲零食</t>
        </is>
      </c>
      <c r="V4795" s="3">
        <v>46132.014918981484</v>
      </c>
      <c r="W4795" t="inlineStr">
        <is>
          <t>2026-Q2</t>
        </is>
      </c>
    </row>
    <row r="4796" ht="25.5" customHeight="1">
      <c r="A4796" t="inlineStr">
        <is>
          <t>手作五谷丰登馒头健康粗粮轻食代餐早餐速食无添加剂</t>
        </is>
      </c>
      <c r="B4796" t="inlineStr">
        <is>
          <t>__upload_recvhfQmhqMSV0.jpg</t>
        </is>
      </c>
      <c r="C4796" s="2" t="str">
        <f>=HYPERLINK("https://xhslink.com/m/1VAW2yA5p0H", "https://xhslink.com/m/1VAW2yA5p0H")</f>
        <v>https://xhslink.com/m/1VAW2yA5p0H</v>
      </c>
      <c r="D4796"/>
      <c r="E4796">
        <v>4753</v>
      </c>
      <c r="F4796">
        <v>42.8</v>
      </c>
      <c r="G4796">
        <v>32.8</v>
      </c>
      <c r="H4796">
        <v>100</v>
      </c>
      <c r="I4796" t="inlineStr">
        <is>
          <t>早餐食品</t>
        </is>
      </c>
      <c r="J4796" t="inlineStr">
        <is>
          <t>0.02</t>
        </is>
      </c>
      <c r="K4796" t="inlineStr">
        <is>
          <t>🔥低粉爆款</t>
        </is>
      </c>
      <c r="L4796" t="inlineStr">
        <is>
          <t>三十六膳的店</t>
        </is>
      </c>
      <c r="M4796">
        <v>157</v>
      </c>
      <c r="N4796">
        <v>4.45</v>
      </c>
      <c r="O4796">
        <v>4718</v>
      </c>
      <c r="P4796" t="inlineStr">
        <is>
          <t>69dc7c0f47a2e20001f40b7d</t>
        </is>
      </c>
      <c r="Q4796" t="inlineStr">
        <is>
          <t>🚫重复</t>
        </is>
      </c>
      <c r="R4796" t="inlineStr">
        <is>
          <t>17周</t>
        </is>
      </c>
      <c r="S4796" t="inlineStr">
        <is>
          <t>30.27</t>
        </is>
      </c>
      <c r="T4796" t="inlineStr">
        <is>
          <t>美食滋补</t>
        </is>
      </c>
      <c r="U4796" t="inlineStr">
        <is>
          <t>休闲零食</t>
        </is>
      </c>
      <c r="V4796" s="3">
        <v>46132.014918981484</v>
      </c>
      <c r="W4796" t="inlineStr">
        <is>
          <t>2026-Q2</t>
        </is>
      </c>
    </row>
    <row r="4797" ht="25.5" customHeight="1">
      <c r="A4797" t="inlineStr">
        <is>
          <t>盒界 · 净燃兽即食牛肉齐鲁号健身速食主食代餐轻食饱腹牛肉</t>
        </is>
      </c>
      <c r="B4797" t="inlineStr">
        <is>
          <t>__upload_recvhfQmhqYK3M.jpg</t>
        </is>
      </c>
      <c r="C4797" s="2" t="str">
        <f>=HYPERLINK("https://xhslink.com/m/AHuMge8vndv", "https://xhslink.com/m/AHuMge8vndv")</f>
        <v>https://xhslink.com/m/AHuMge8vndv</v>
      </c>
      <c r="D4797"/>
      <c r="E4797">
        <v>48000</v>
      </c>
      <c r="F4797">
        <v>82</v>
      </c>
      <c r="G4797">
        <v>59</v>
      </c>
      <c r="H4797">
        <v>100</v>
      </c>
      <c r="I4797" t="inlineStr">
        <is>
          <t>早餐食品</t>
        </is>
      </c>
      <c r="J4797" t="inlineStr">
        <is>
          <t>0.00</t>
        </is>
      </c>
      <c r="K4797"/>
      <c r="L4797" t="inlineStr">
        <is>
          <t>盒界生鲜旗舰店</t>
        </is>
      </c>
      <c r="M4797">
        <v>70000</v>
      </c>
      <c r="N4797">
        <v>4.55</v>
      </c>
      <c r="O4797">
        <v>382000</v>
      </c>
      <c r="P4797" t="inlineStr">
        <is>
          <t>675c04d2ada6590001935d69</t>
        </is>
      </c>
      <c r="Q4797" t="inlineStr">
        <is>
          <t>🚫重复</t>
        </is>
      </c>
      <c r="R4797" t="inlineStr">
        <is>
          <t>17周</t>
        </is>
      </c>
      <c r="S4797" t="inlineStr">
        <is>
          <t>0.69</t>
        </is>
      </c>
      <c r="T4797" t="inlineStr">
        <is>
          <t>美食滋补</t>
        </is>
      </c>
      <c r="U4797" t="inlineStr">
        <is>
          <t>休闲零食</t>
        </is>
      </c>
      <c r="V4797" s="3">
        <v>46132.014918981484</v>
      </c>
      <c r="W4797" t="inlineStr">
        <is>
          <t>2026-Q2</t>
        </is>
      </c>
    </row>
    <row r="4798" ht="25.5" customHeight="1">
      <c r="A4798" t="inlineStr">
        <is>
          <t>东方甄选 · 低脂香煎鸡胸肉 鸡排鸡肉早餐速食健身食材1kg/袋即食便携</t>
        </is>
      </c>
      <c r="B4798" t="inlineStr">
        <is>
          <t>__upload_recvhfQmhq4TML.jpg</t>
        </is>
      </c>
      <c r="C4798" s="2" t="str">
        <f>=HYPERLINK("https://xhslink.com/m/6bJWzf1eeh1", "https://xhslink.com/m/6bJWzf1eeh1")</f>
        <v>https://xhslink.com/m/6bJWzf1eeh1</v>
      </c>
      <c r="D4798"/>
      <c r="E4798">
        <v>30000</v>
      </c>
      <c r="F4798">
        <v>106</v>
      </c>
      <c r="G4798"/>
      <c r="H4798">
        <v>100</v>
      </c>
      <c r="I4798" t="inlineStr">
        <is>
          <t>早餐食品</t>
        </is>
      </c>
      <c r="J4798" t="inlineStr">
        <is>
          <t>0.00</t>
        </is>
      </c>
      <c r="K4798"/>
      <c r="L4798" t="inlineStr">
        <is>
          <t>东方甄选旗舰店</t>
        </is>
      </c>
      <c r="M4798">
        <v>991000</v>
      </c>
      <c r="N4798">
        <v>4.71</v>
      </c>
      <c r="O4798">
        <v>1773000</v>
      </c>
      <c r="P4798" t="inlineStr">
        <is>
          <t>655ad8f03edc980001bb4923</t>
        </is>
      </c>
      <c r="Q4798" t="inlineStr">
        <is>
          <t>🚫重复</t>
        </is>
      </c>
      <c r="R4798" t="inlineStr">
        <is>
          <t>17周</t>
        </is>
      </c>
      <c r="S4798" t="inlineStr">
        <is>
          <t>0.03</t>
        </is>
      </c>
      <c r="T4798" t="inlineStr">
        <is>
          <t>美食滋补</t>
        </is>
      </c>
      <c r="U4798" t="inlineStr">
        <is>
          <t>休闲零食</t>
        </is>
      </c>
      <c r="V4798" s="3">
        <v>46132.014918981484</v>
      </c>
      <c r="W4798" t="inlineStr">
        <is>
          <t>2026-Q2</t>
        </is>
      </c>
    </row>
    <row r="4799" ht="25.5" customHeight="1">
      <c r="A4799" t="inlineStr">
        <is>
          <t>卡卡业 · 【60g全新】全麦面包健身欧包代餐健康好吃早餐美味</t>
        </is>
      </c>
      <c r="B4799" t="inlineStr">
        <is>
          <t>__upload_recvhfQmhqOpTz.jpg</t>
        </is>
      </c>
      <c r="C4799" s="2" t="str">
        <f>=HYPERLINK("https://xhslink.com/m/2Lamy7E2w6c", "https://xhslink.com/m/2Lamy7E2w6c")</f>
        <v>https://xhslink.com/m/2Lamy7E2w6c</v>
      </c>
      <c r="D4799"/>
      <c r="E4799">
        <v>4554</v>
      </c>
      <c r="F4799">
        <v>49.9</v>
      </c>
      <c r="G4799">
        <v>37.42</v>
      </c>
      <c r="H4799">
        <v>100</v>
      </c>
      <c r="I4799" t="inlineStr">
        <is>
          <t>早餐食品</t>
        </is>
      </c>
      <c r="J4799" t="inlineStr">
        <is>
          <t>0.02</t>
        </is>
      </c>
      <c r="K4799"/>
      <c r="L4799" t="inlineStr">
        <is>
          <t>卡卡业旗舰店</t>
        </is>
      </c>
      <c r="M4799">
        <v>71000</v>
      </c>
      <c r="N4799">
        <v>4.35</v>
      </c>
      <c r="O4799">
        <v>299000</v>
      </c>
      <c r="P4799" t="inlineStr">
        <is>
          <t>6868f76864e96a00018b6233</t>
        </is>
      </c>
      <c r="Q4799" t="inlineStr">
        <is>
          <t>🚫重复</t>
        </is>
      </c>
      <c r="R4799" t="inlineStr">
        <is>
          <t>17周</t>
        </is>
      </c>
      <c r="S4799" t="inlineStr">
        <is>
          <t>0.06</t>
        </is>
      </c>
      <c r="T4799" t="inlineStr">
        <is>
          <t>美食滋补</t>
        </is>
      </c>
      <c r="U4799" t="inlineStr">
        <is>
          <t>休闲零食</t>
        </is>
      </c>
      <c r="V4799" s="3">
        <v>46132.014918981484</v>
      </c>
      <c r="W4799" t="inlineStr">
        <is>
          <t>2026-Q2</t>
        </is>
      </c>
    </row>
    <row r="4800" ht="25.5" customHeight="1">
      <c r="A4800" t="inlineStr">
        <is>
          <t>糙能农场 · 【全新升级】九谷O脂荞麦面 九种粗粮谷物添加非油炸免煮低钠配方</t>
        </is>
      </c>
      <c r="B4800" t="inlineStr">
        <is>
          <t>__upload_recvhfQmhqiug2.jpg</t>
        </is>
      </c>
      <c r="C4800" s="2" t="str">
        <f>=HYPERLINK("https://xhslink.com/m/9IIN96mr7sG", "https://xhslink.com/m/9IIN96mr7sG")</f>
        <v>https://xhslink.com/m/9IIN96mr7sG</v>
      </c>
      <c r="D4800"/>
      <c r="E4800">
        <v>108000</v>
      </c>
      <c r="F4800">
        <v>24.9</v>
      </c>
      <c r="G4800">
        <v>19.9</v>
      </c>
      <c r="H4800">
        <v>100</v>
      </c>
      <c r="I4800" t="inlineStr">
        <is>
          <t>早餐食品</t>
        </is>
      </c>
      <c r="J4800" t="inlineStr">
        <is>
          <t>0.00</t>
        </is>
      </c>
      <c r="K4800" t="inlineStr">
        <is>
          <t>🔥低粉爆款</t>
        </is>
      </c>
      <c r="L4800" t="inlineStr">
        <is>
          <t>糙能农场旗舰店</t>
        </is>
      </c>
      <c r="M4800">
        <v>10000</v>
      </c>
      <c r="N4800">
        <v>4.74</v>
      </c>
      <c r="O4800">
        <v>275000</v>
      </c>
      <c r="P4800" t="inlineStr">
        <is>
          <t>664afd7195742c00013317c5</t>
        </is>
      </c>
      <c r="Q4800" t="inlineStr">
        <is>
          <t>🚫重复</t>
        </is>
      </c>
      <c r="R4800" t="inlineStr">
        <is>
          <t>17周</t>
        </is>
      </c>
      <c r="S4800" t="inlineStr">
        <is>
          <t>10.80</t>
        </is>
      </c>
      <c r="T4800" t="inlineStr">
        <is>
          <t>美食滋补</t>
        </is>
      </c>
      <c r="U4800" t="inlineStr">
        <is>
          <t>休闲零食</t>
        </is>
      </c>
      <c r="V4800" s="3">
        <v>46132.014918981484</v>
      </c>
      <c r="W4800" t="inlineStr">
        <is>
          <t>2026-Q2</t>
        </is>
      </c>
    </row>
    <row r="4801" ht="25.5" customHeight="1">
      <c r="A4801" t="inlineStr">
        <is>
          <t>【20%蛋白质】生巧坚果燕麦脆黑巧克力燕麦饼干轻食代餐健康零食</t>
        </is>
      </c>
      <c r="B4801" t="inlineStr">
        <is>
          <t>__upload_recvhfQmhqsss6.jpg</t>
        </is>
      </c>
      <c r="C4801" s="2" t="str">
        <f>=HYPERLINK("https://xhslink.com/m/5jsGvMo386c", "https://xhslink.com/m/5jsGvMo386c")</f>
        <v>https://xhslink.com/m/5jsGvMo386c</v>
      </c>
      <c r="D4801"/>
      <c r="E4801">
        <v>33000</v>
      </c>
      <c r="F4801">
        <v>36.9</v>
      </c>
      <c r="G4801">
        <v>16.8</v>
      </c>
      <c r="H4801">
        <v>100</v>
      </c>
      <c r="I4801" t="inlineStr">
        <is>
          <t>早餐食品</t>
        </is>
      </c>
      <c r="J4801" t="inlineStr">
        <is>
          <t>0.00</t>
        </is>
      </c>
      <c r="K4801" t="inlineStr">
        <is>
          <t>🔥低粉爆款</t>
        </is>
      </c>
      <c r="L4801" t="inlineStr">
        <is>
          <t>小新饿胖了的店</t>
        </is>
      </c>
      <c r="M4801">
        <v>863</v>
      </c>
      <c r="N4801">
        <v>4.43</v>
      </c>
      <c r="O4801">
        <v>37000</v>
      </c>
      <c r="P4801" t="inlineStr">
        <is>
          <t>68f5f3f604ab1900016dc340</t>
        </is>
      </c>
      <c r="Q4801" t="inlineStr">
        <is>
          <t>🚫重复</t>
        </is>
      </c>
      <c r="R4801" t="inlineStr">
        <is>
          <t>17周</t>
        </is>
      </c>
      <c r="S4801" t="inlineStr">
        <is>
          <t>38.24</t>
        </is>
      </c>
      <c r="T4801" t="inlineStr">
        <is>
          <t>美食滋补</t>
        </is>
      </c>
      <c r="U4801" t="inlineStr">
        <is>
          <t>休闲零食</t>
        </is>
      </c>
      <c r="V4801" s="3">
        <v>46132.014918981484</v>
      </c>
      <c r="W4801" t="inlineStr">
        <is>
          <t>2026-Q2</t>
        </is>
      </c>
    </row>
    <row r="4802" ht="25.5" customHeight="1">
      <c r="A4802" t="inlineStr">
        <is>
          <t>【生态盐田虾】活虾速冻，生态养殖足足120天，鲜中带甜！</t>
        </is>
      </c>
      <c r="B4802" t="inlineStr">
        <is>
          <t>__upload_recvhfQmhqlvnr.jpg</t>
        </is>
      </c>
      <c r="C4802" s="2" t="str">
        <f>=HYPERLINK("https://xhslink.com/m/3773Y76AO0", "https://xhslink.com/m/3773Y76AO0")</f>
        <v>https://xhslink.com/m/3773Y76AO0</v>
      </c>
      <c r="D4802"/>
      <c r="E4802">
        <v>13000</v>
      </c>
      <c r="F4802">
        <v>67.9</v>
      </c>
      <c r="G4802"/>
      <c r="H4802">
        <v>100</v>
      </c>
      <c r="I4802" t="inlineStr">
        <is>
          <t>海鲜</t>
        </is>
      </c>
      <c r="J4802" t="inlineStr">
        <is>
          <t>0.01</t>
        </is>
      </c>
      <c r="K4802"/>
      <c r="L4802" t="inlineStr">
        <is>
          <t>跳妈海鲜小渔匠的店</t>
        </is>
      </c>
      <c r="M4802">
        <v>5002</v>
      </c>
      <c r="N4802">
        <v>4.74</v>
      </c>
      <c r="O4802">
        <v>21000</v>
      </c>
      <c r="P4802" t="inlineStr">
        <is>
          <t>69ac24b17d0ce0000193f4da</t>
        </is>
      </c>
      <c r="Q4802" t="inlineStr">
        <is>
          <t>🚫重复</t>
        </is>
      </c>
      <c r="R4802" t="inlineStr">
        <is>
          <t>17周</t>
        </is>
      </c>
      <c r="S4802" t="inlineStr">
        <is>
          <t>2.60</t>
        </is>
      </c>
      <c r="T4802" t="inlineStr">
        <is>
          <t>美食滋补</t>
        </is>
      </c>
      <c r="U4802" t="inlineStr">
        <is>
          <t>生鲜特产</t>
        </is>
      </c>
      <c r="V4802" s="3">
        <v>46132.014918981484</v>
      </c>
      <c r="W4802" t="inlineStr">
        <is>
          <t>2026-Q2</t>
        </is>
      </c>
    </row>
    <row r="4803" ht="25.5" customHeight="1">
      <c r="A4803" t="inlineStr">
        <is>
          <t>丹麦法罗/新西兰帝王鲑</t>
        </is>
      </c>
      <c r="B4803" t="inlineStr">
        <is>
          <t>__upload_recvhfQmhqPrkP.jpg</t>
        </is>
      </c>
      <c r="C4803" s="2" t="str">
        <f>=HYPERLINK("https://xhslink.com/m/2d5hoRHz7lq", "https://xhslink.com/m/2d5hoRHz7lq")</f>
        <v>https://xhslink.com/m/2d5hoRHz7lq</v>
      </c>
      <c r="D4803"/>
      <c r="E4803">
        <v>27000</v>
      </c>
      <c r="F4803">
        <v>125</v>
      </c>
      <c r="G4803"/>
      <c r="H4803">
        <v>100</v>
      </c>
      <c r="I4803" t="inlineStr">
        <is>
          <t>海鲜</t>
        </is>
      </c>
      <c r="J4803" t="inlineStr">
        <is>
          <t>0.00</t>
        </is>
      </c>
      <c r="K4803"/>
      <c r="L4803" t="inlineStr">
        <is>
          <t>洋洋羊的鱼的店</t>
        </is>
      </c>
      <c r="M4803">
        <v>33000</v>
      </c>
      <c r="N4803">
        <v>4.66</v>
      </c>
      <c r="O4803">
        <v>54000</v>
      </c>
      <c r="P4803" t="inlineStr">
        <is>
          <t>64fb43ca5e893500019ff332</t>
        </is>
      </c>
      <c r="Q4803" t="inlineStr">
        <is>
          <t>🚫重复</t>
        </is>
      </c>
      <c r="R4803" t="inlineStr">
        <is>
          <t>17周</t>
        </is>
      </c>
      <c r="S4803" t="inlineStr">
        <is>
          <t>0.82</t>
        </is>
      </c>
      <c r="T4803" t="inlineStr">
        <is>
          <t>美食滋补</t>
        </is>
      </c>
      <c r="U4803" t="inlineStr">
        <is>
          <t>生鲜特产</t>
        </is>
      </c>
      <c r="V4803" s="3">
        <v>46132.014918981484</v>
      </c>
      <c r="W4803" t="inlineStr">
        <is>
          <t>2026-Q2</t>
        </is>
      </c>
    </row>
    <row r="4804" ht="25.5" customHeight="1">
      <c r="A4804" t="inlineStr">
        <is>
          <t>顺丰 三馐 挪威进口冰鲜三文鱼新鲜中段鱼腩刺身海鲜生鱼片</t>
        </is>
      </c>
      <c r="B4804" t="inlineStr">
        <is>
          <t>__upload_recvhfQmhqHHvH.jpg</t>
        </is>
      </c>
      <c r="C4804" s="2" t="str">
        <f>=HYPERLINK("https://xhslink.com/m/8d4ISi0TdsO", "https://xhslink.com/m/8d4ISi0TdsO")</f>
        <v>https://xhslink.com/m/8d4ISi0TdsO</v>
      </c>
      <c r="D4804"/>
      <c r="E4804">
        <v>4901</v>
      </c>
      <c r="F4804">
        <v>109</v>
      </c>
      <c r="G4804"/>
      <c r="H4804">
        <v>100</v>
      </c>
      <c r="I4804" t="inlineStr">
        <is>
          <t>海鲜</t>
        </is>
      </c>
      <c r="J4804" t="inlineStr">
        <is>
          <t>0.02</t>
        </is>
      </c>
      <c r="K4804" t="inlineStr">
        <is>
          <t>🔥低粉爆款</t>
        </is>
      </c>
      <c r="L4804" t="inlineStr">
        <is>
          <t>法罗三文鱼的店</t>
        </is>
      </c>
      <c r="M4804">
        <v>557</v>
      </c>
      <c r="N4804">
        <v>4.69</v>
      </c>
      <c r="O4804">
        <v>4897</v>
      </c>
      <c r="P4804" t="inlineStr">
        <is>
          <t>69ba61a85e5f0500012c16fc</t>
        </is>
      </c>
      <c r="Q4804" t="inlineStr">
        <is>
          <t>🚫重复</t>
        </is>
      </c>
      <c r="R4804" t="inlineStr">
        <is>
          <t>17周</t>
        </is>
      </c>
      <c r="S4804" t="inlineStr">
        <is>
          <t>8.80</t>
        </is>
      </c>
      <c r="T4804" t="inlineStr">
        <is>
          <t>美食滋补</t>
        </is>
      </c>
      <c r="U4804" t="inlineStr">
        <is>
          <t>生鲜特产</t>
        </is>
      </c>
      <c r="V4804" s="3">
        <v>46132.014918981484</v>
      </c>
      <c r="W4804" t="inlineStr">
        <is>
          <t>2026-Q2</t>
        </is>
      </c>
    </row>
    <row r="4805" ht="25.5" customHeight="1">
      <c r="A4805" t="inlineStr">
        <is>
          <t>台州叮当虾拉嘘虾超低温活冻船冻顺丰包邮</t>
        </is>
      </c>
      <c r="B4805" t="inlineStr">
        <is>
          <t>__upload_recvhfQmhqNnDn.jpg</t>
        </is>
      </c>
      <c r="C4805" s="2" t="str">
        <f>=HYPERLINK("https://xhslink.com/m/4wqO6BmcFBD", "https://xhslink.com/m/4wqO6BmcFBD")</f>
        <v>https://xhslink.com/m/4wqO6BmcFBD</v>
      </c>
      <c r="D4805"/>
      <c r="E4805">
        <v>1890</v>
      </c>
      <c r="F4805">
        <v>113</v>
      </c>
      <c r="G4805">
        <v>98</v>
      </c>
      <c r="H4805">
        <v>100</v>
      </c>
      <c r="I4805" t="inlineStr">
        <is>
          <t>海鲜</t>
        </is>
      </c>
      <c r="J4805" t="inlineStr">
        <is>
          <t>0.05</t>
        </is>
      </c>
      <c r="K4805"/>
      <c r="L4805" t="inlineStr">
        <is>
          <t>水系的店</t>
        </is>
      </c>
      <c r="M4805">
        <v>2108</v>
      </c>
      <c r="N4805">
        <v>4.57</v>
      </c>
      <c r="O4805">
        <v>14000</v>
      </c>
      <c r="P4805" t="inlineStr">
        <is>
          <t>67b21148e0b59400015953b3</t>
        </is>
      </c>
      <c r="Q4805"/>
      <c r="R4805" t="inlineStr">
        <is>
          <t>17周</t>
        </is>
      </c>
      <c r="S4805" t="inlineStr">
        <is>
          <t>0.90</t>
        </is>
      </c>
      <c r="T4805" t="inlineStr">
        <is>
          <t>美食滋补</t>
        </is>
      </c>
      <c r="U4805" t="inlineStr">
        <is>
          <t>生鲜特产</t>
        </is>
      </c>
      <c r="V4805" s="3">
        <v>46132.014918981484</v>
      </c>
      <c r="W4805" t="inlineStr">
        <is>
          <t>2026-Q2</t>
        </is>
      </c>
    </row>
    <row r="4806" ht="25.5" customHeight="1">
      <c r="A4806" t="inlineStr">
        <is>
          <t>【包鲜不包活】东海野生琵琶虾鲜活发货（非冰鲜非冷冻）顺丰礼盒</t>
        </is>
      </c>
      <c r="B4806" t="inlineStr">
        <is>
          <t>__upload_recvhfQmhqAKVL.jpg</t>
        </is>
      </c>
      <c r="C4806" s="2" t="str">
        <f>=HYPERLINK("https://xhslink.com/m/AVqGmat7qF1", "https://xhslink.com/m/AVqGmat7qF1")</f>
        <v>https://xhslink.com/m/AVqGmat7qF1</v>
      </c>
      <c r="D4806"/>
      <c r="E4806">
        <v>18000</v>
      </c>
      <c r="F4806">
        <v>268</v>
      </c>
      <c r="G4806"/>
      <c r="H4806">
        <v>100</v>
      </c>
      <c r="I4806" t="inlineStr">
        <is>
          <t>海鲜</t>
        </is>
      </c>
      <c r="J4806" t="inlineStr">
        <is>
          <t>0.01</t>
        </is>
      </c>
      <c r="K4806"/>
      <c r="L4806" t="inlineStr">
        <is>
          <t>圆姑娘的三门青蟹的店</t>
        </is>
      </c>
      <c r="M4806">
        <v>21000</v>
      </c>
      <c r="N4806">
        <v>4.74</v>
      </c>
      <c r="O4806">
        <v>47000</v>
      </c>
      <c r="P4806" t="inlineStr">
        <is>
          <t>670f9e1775e23c0001b2a048</t>
        </is>
      </c>
      <c r="Q4806"/>
      <c r="R4806" t="inlineStr">
        <is>
          <t>17周</t>
        </is>
      </c>
      <c r="S4806" t="inlineStr">
        <is>
          <t>0.86</t>
        </is>
      </c>
      <c r="T4806" t="inlineStr">
        <is>
          <t>美食滋补</t>
        </is>
      </c>
      <c r="U4806" t="inlineStr">
        <is>
          <t>生鲜特产</t>
        </is>
      </c>
      <c r="V4806" s="3">
        <v>46132.014918981484</v>
      </c>
      <c r="W4806" t="inlineStr">
        <is>
          <t>2026-Q2</t>
        </is>
      </c>
    </row>
    <row r="4807" ht="25.5" customHeight="1">
      <c r="A4807" t="inlineStr">
        <is>
          <t>酵色 · 【一盘成妆】COTD咖啡系列全新灵感妆容盘氛围感随行盘</t>
        </is>
      </c>
      <c r="B4807" t="inlineStr">
        <is>
          <t>__upload_recvhfQmhqrjtG.jpg</t>
        </is>
      </c>
      <c r="C4807" s="2" t="str">
        <f>=HYPERLINK("https://xhslink.com/m/2PlNt1oUvvZ", "https://xhslink.com/m/2PlNt1oUvvZ")</f>
        <v>https://xhslink.com/m/2PlNt1oUvvZ</v>
      </c>
      <c r="D4807"/>
      <c r="E4807">
        <v>5817</v>
      </c>
      <c r="F4807">
        <v>169</v>
      </c>
      <c r="G4807"/>
      <c r="H4807">
        <v>100</v>
      </c>
      <c r="I4807" t="inlineStr">
        <is>
          <t>美妆</t>
        </is>
      </c>
      <c r="J4807" t="inlineStr">
        <is>
          <t>0.02</t>
        </is>
      </c>
      <c r="K4807"/>
      <c r="L4807" t="inlineStr">
        <is>
          <t>JOOCYEE酵色旗舰店</t>
        </is>
      </c>
      <c r="M4807">
        <v>163000</v>
      </c>
      <c r="N4807">
        <v>4.77</v>
      </c>
      <c r="O4807">
        <v>851000</v>
      </c>
      <c r="P4807" t="inlineStr">
        <is>
          <t>68ca2c0ac278030001cad181</t>
        </is>
      </c>
      <c r="Q4807" t="inlineStr">
        <is>
          <t>🚫重复</t>
        </is>
      </c>
      <c r="R4807" t="inlineStr">
        <is>
          <t>17周</t>
        </is>
      </c>
      <c r="S4807" t="inlineStr">
        <is>
          <t>0.04</t>
        </is>
      </c>
      <c r="T4807" t="inlineStr">
        <is>
          <t>美妆个护</t>
        </is>
      </c>
      <c r="U4807" t="inlineStr">
        <is>
          <t>护肤彩妆</t>
        </is>
      </c>
      <c r="V4807" s="3">
        <v>46132.014918981484</v>
      </c>
      <c r="W4807" t="inlineStr">
        <is>
          <t>2026-Q2</t>
        </is>
      </c>
    </row>
    <row r="4808" ht="25.5" customHeight="1">
      <c r="A4808" t="inlineStr">
        <is>
          <t>HERORANGE · 【店铺热卖】轻奢贵影单颗眼影珠光爆闪变色龙碎钻提亮土豆泥眼影</t>
        </is>
      </c>
      <c r="B4808" t="inlineStr">
        <is>
          <t>__upload_recvhfQmhqAIMx.jpg</t>
        </is>
      </c>
      <c r="C4808" s="2" t="str">
        <f>=HYPERLINK("https://xhslink.com/m/4r10ErYWHWO", "https://xhslink.com/m/4r10ErYWHWO")</f>
        <v>https://xhslink.com/m/4r10ErYWHWO</v>
      </c>
      <c r="D4808"/>
      <c r="E4808">
        <v>53000</v>
      </c>
      <c r="F4808">
        <v>36.5</v>
      </c>
      <c r="G4808">
        <v>18.9</v>
      </c>
      <c r="H4808">
        <v>100</v>
      </c>
      <c r="I4808" t="inlineStr">
        <is>
          <t>美妆</t>
        </is>
      </c>
      <c r="J4808" t="inlineStr">
        <is>
          <t>0.00</t>
        </is>
      </c>
      <c r="K4808" t="inlineStr">
        <is>
          <t>🔥低粉爆款</t>
        </is>
      </c>
      <c r="L4808" t="inlineStr">
        <is>
          <t>葵花籽幼儿园的店</t>
        </is>
      </c>
      <c r="M4808">
        <v>3058</v>
      </c>
      <c r="N4808">
        <v>4.62</v>
      </c>
      <c r="O4808">
        <v>58000</v>
      </c>
      <c r="P4808" t="inlineStr">
        <is>
          <t>688fc0ad47d5bd000111cbad</t>
        </is>
      </c>
      <c r="Q4808" t="inlineStr">
        <is>
          <t>🚫重复</t>
        </is>
      </c>
      <c r="R4808" t="inlineStr">
        <is>
          <t>17周</t>
        </is>
      </c>
      <c r="S4808" t="inlineStr">
        <is>
          <t>17.33</t>
        </is>
      </c>
      <c r="T4808" t="inlineStr">
        <is>
          <t>美妆个护</t>
        </is>
      </c>
      <c r="U4808" t="inlineStr">
        <is>
          <t>护肤彩妆</t>
        </is>
      </c>
      <c r="V4808" s="3">
        <v>46132.014918981484</v>
      </c>
      <c r="W4808" t="inlineStr">
        <is>
          <t>2026-Q2</t>
        </is>
      </c>
    </row>
    <row r="4809" ht="25.5" customHeight="1">
      <c r="A4809" t="inlineStr">
        <is>
          <t>HOLD LIVE · 巴黎花园12色升级版大盘眼影 早八人综合盘低饱和渐变腮红新手</t>
        </is>
      </c>
      <c r="B4809" t="inlineStr">
        <is>
          <t>__upload_recvhfQmhqxHZZ.jpg</t>
        </is>
      </c>
      <c r="C4809" s="2" t="str">
        <f>=HYPERLINK("https://xhslink.com/m/3PQOTWRBnno", "https://xhslink.com/m/3PQOTWRBnno")</f>
        <v>https://xhslink.com/m/3PQOTWRBnno</v>
      </c>
      <c r="D4809"/>
      <c r="E4809">
        <v>21000</v>
      </c>
      <c r="F4809">
        <v>49.9</v>
      </c>
      <c r="G4809"/>
      <c r="H4809">
        <v>100</v>
      </c>
      <c r="I4809" t="inlineStr">
        <is>
          <t>美妆</t>
        </is>
      </c>
      <c r="J4809" t="inlineStr">
        <is>
          <t>0.00</t>
        </is>
      </c>
      <c r="K4809"/>
      <c r="L4809" t="inlineStr">
        <is>
          <t>Holdlive旗舰店</t>
        </is>
      </c>
      <c r="M4809">
        <v>354000</v>
      </c>
      <c r="N4809">
        <v>4.68</v>
      </c>
      <c r="O4809">
        <v>539000</v>
      </c>
      <c r="P4809" t="inlineStr">
        <is>
          <t>692e66eb47579d000183c9f8</t>
        </is>
      </c>
      <c r="Q4809" t="inlineStr">
        <is>
          <t>🚫重复</t>
        </is>
      </c>
      <c r="R4809" t="inlineStr">
        <is>
          <t>17周</t>
        </is>
      </c>
      <c r="S4809" t="inlineStr">
        <is>
          <t>0.06</t>
        </is>
      </c>
      <c r="T4809" t="inlineStr">
        <is>
          <t>美妆个护</t>
        </is>
      </c>
      <c r="U4809" t="inlineStr">
        <is>
          <t>护肤彩妆</t>
        </is>
      </c>
      <c r="V4809" s="3">
        <v>46132.014918981484</v>
      </c>
      <c r="W4809" t="inlineStr">
        <is>
          <t>2026-Q2</t>
        </is>
      </c>
    </row>
    <row r="4810" ht="25.5" customHeight="1">
      <c r="A4810" t="inlineStr">
        <is>
          <t>FAICCIA · 莫吉托四色眼影 紫色眼影香槟金清冷妆感爆闪珠光粉棕大地色哑光</t>
        </is>
      </c>
      <c r="B4810" t="inlineStr">
        <is>
          <t>__upload_recvhfQmhqzEdn.jpg</t>
        </is>
      </c>
      <c r="C4810" s="2" t="str">
        <f>=HYPERLINK("https://xhslink.com/m/4SATtf1QRjN", "https://xhslink.com/m/4SATtf1QRjN")</f>
        <v>https://xhslink.com/m/4SATtf1QRjN</v>
      </c>
      <c r="D4810"/>
      <c r="E4810">
        <v>25000</v>
      </c>
      <c r="F4810">
        <v>49.9</v>
      </c>
      <c r="G4810">
        <v>26.8</v>
      </c>
      <c r="H4810">
        <v>100</v>
      </c>
      <c r="I4810" t="inlineStr">
        <is>
          <t>美妆</t>
        </is>
      </c>
      <c r="J4810" t="inlineStr">
        <is>
          <t>0.00</t>
        </is>
      </c>
      <c r="K4810" t="inlineStr">
        <is>
          <t>🔥低粉爆款</t>
        </is>
      </c>
      <c r="L4810" t="inlineStr">
        <is>
          <t>栗子美妆严选的店</t>
        </is>
      </c>
      <c r="M4810">
        <v>52</v>
      </c>
      <c r="N4810">
        <v>4.64</v>
      </c>
      <c r="O4810">
        <v>31000</v>
      </c>
      <c r="P4810" t="inlineStr">
        <is>
          <t>6836b9b8e60e7700017ab973</t>
        </is>
      </c>
      <c r="Q4810"/>
      <c r="R4810" t="inlineStr">
        <is>
          <t>17周</t>
        </is>
      </c>
      <c r="S4810" t="inlineStr">
        <is>
          <t>480.77</t>
        </is>
      </c>
      <c r="T4810" t="inlineStr">
        <is>
          <t>美妆个护</t>
        </is>
      </c>
      <c r="U4810" t="inlineStr">
        <is>
          <t>护肤彩妆</t>
        </is>
      </c>
      <c r="V4810" s="3">
        <v>46132.014918981484</v>
      </c>
      <c r="W4810" t="inlineStr">
        <is>
          <t>2026-Q2</t>
        </is>
      </c>
    </row>
    <row r="4811" ht="25.5" customHeight="1">
      <c r="A4811" t="inlineStr">
        <is>
          <t>Girlcult构奇 · 四大发明变色龙幻境四色眼影盘！淘金娘系列多用眼影</t>
        </is>
      </c>
      <c r="B4811" t="inlineStr">
        <is>
          <t>__upload_recvhfQmhqsJxk.jpg</t>
        </is>
      </c>
      <c r="C4811" s="2" t="str">
        <f>=HYPERLINK("https://xhslink.com/m/4ZyBGHQ775n", "https://xhslink.com/m/4ZyBGHQ775n")</f>
        <v>https://xhslink.com/m/4ZyBGHQ775n</v>
      </c>
      <c r="D4811"/>
      <c r="E4811">
        <v>11000</v>
      </c>
      <c r="F4811">
        <v>69</v>
      </c>
      <c r="G4811"/>
      <c r="H4811">
        <v>100</v>
      </c>
      <c r="I4811" t="inlineStr">
        <is>
          <t>美妆</t>
        </is>
      </c>
      <c r="J4811" t="inlineStr">
        <is>
          <t>0.01</t>
        </is>
      </c>
      <c r="K4811"/>
      <c r="L4811" t="inlineStr">
        <is>
          <t>anne很会买的店</t>
        </is>
      </c>
      <c r="M4811">
        <v>88000</v>
      </c>
      <c r="N4811">
        <v>4.6</v>
      </c>
      <c r="O4811">
        <v>412000</v>
      </c>
      <c r="P4811" t="inlineStr">
        <is>
          <t>67c329f3eef182000140059a</t>
        </is>
      </c>
      <c r="Q4811" t="inlineStr">
        <is>
          <t>🚫重复</t>
        </is>
      </c>
      <c r="R4811" t="inlineStr">
        <is>
          <t>17周</t>
        </is>
      </c>
      <c r="S4811" t="inlineStr">
        <is>
          <t>0.12</t>
        </is>
      </c>
      <c r="T4811" t="inlineStr">
        <is>
          <t>美妆个护</t>
        </is>
      </c>
      <c r="U4811" t="inlineStr">
        <is>
          <t>护肤彩妆</t>
        </is>
      </c>
      <c r="V4811" s="3">
        <v>46132.014918981484</v>
      </c>
      <c r="W4811" t="inlineStr">
        <is>
          <t>2026-Q2</t>
        </is>
      </c>
    </row>
    <row r="4812" ht="25.5" customHeight="1">
      <c r="A4812" t="inlineStr">
        <is>
          <t>ADDICTION · 新品四色眼影/液体腮红/定妆蜜粉饼/修容遮瑕液-韩免新日期-不退</t>
        </is>
      </c>
      <c r="B4812" t="inlineStr">
        <is>
          <t>__upload_recvhfQmhqP1iS.jpg</t>
        </is>
      </c>
      <c r="C4812" s="2" t="str">
        <f>=HYPERLINK("https://xhslink.com/m/7KvpmoC2qIl", "https://xhslink.com/m/7KvpmoC2qIl")</f>
        <v>https://xhslink.com/m/7KvpmoC2qIl</v>
      </c>
      <c r="D4812"/>
      <c r="E4812">
        <v>2558</v>
      </c>
      <c r="F4812">
        <v>129</v>
      </c>
      <c r="G4812"/>
      <c r="H4812">
        <v>100</v>
      </c>
      <c r="I4812" t="inlineStr">
        <is>
          <t>美妆</t>
        </is>
      </c>
      <c r="J4812" t="inlineStr">
        <is>
          <t>0.04</t>
        </is>
      </c>
      <c r="K4812"/>
      <c r="L4812" t="inlineStr">
        <is>
          <t>爱香水的欧尼饼饼🍪的店</t>
        </is>
      </c>
      <c r="M4812">
        <v>17000</v>
      </c>
      <c r="N4812">
        <v>4.53</v>
      </c>
      <c r="O4812">
        <v>39000</v>
      </c>
      <c r="P4812" t="inlineStr">
        <is>
          <t>69df8e24b7a2ed0001ad5d70</t>
        </is>
      </c>
      <c r="Q4812"/>
      <c r="R4812" t="inlineStr">
        <is>
          <t>17周</t>
        </is>
      </c>
      <c r="S4812" t="inlineStr">
        <is>
          <t>0.15</t>
        </is>
      </c>
      <c r="T4812" t="inlineStr">
        <is>
          <t>美妆个护</t>
        </is>
      </c>
      <c r="U4812" t="inlineStr">
        <is>
          <t>护肤彩妆</t>
        </is>
      </c>
      <c r="V4812" s="3">
        <v>46132.014918981484</v>
      </c>
      <c r="W4812" t="inlineStr">
        <is>
          <t>2026-Q2</t>
        </is>
      </c>
    </row>
    <row r="4813" ht="25.5" customHeight="1">
      <c r="A4813" t="inlineStr">
        <is>
          <t>闪一 · 单色眼影无滑石粉持妆哑光珠光缎光变色龙显色磁吸自组DIY</t>
        </is>
      </c>
      <c r="B4813" t="inlineStr">
        <is>
          <t>__upload_recvhfQmhq2YuH.jpg</t>
        </is>
      </c>
      <c r="C4813" s="2" t="str">
        <f>=HYPERLINK("https://xhslink.com/m/2ZwX3OvBQiP", "https://xhslink.com/m/2ZwX3OvBQiP")</f>
        <v>https://xhslink.com/m/2ZwX3OvBQiP</v>
      </c>
      <c r="D4813"/>
      <c r="E4813">
        <v>18000</v>
      </c>
      <c r="F4813">
        <v>6.99</v>
      </c>
      <c r="G4813"/>
      <c r="H4813">
        <v>100</v>
      </c>
      <c r="I4813" t="inlineStr">
        <is>
          <t>美妆</t>
        </is>
      </c>
      <c r="J4813" t="inlineStr">
        <is>
          <t>0.01</t>
        </is>
      </c>
      <c r="K4813"/>
      <c r="L4813" t="inlineStr">
        <is>
          <t>闪一眼影的店</t>
        </is>
      </c>
      <c r="M4813">
        <v>10000</v>
      </c>
      <c r="N4813">
        <v>4.66</v>
      </c>
      <c r="O4813">
        <v>33000</v>
      </c>
      <c r="P4813" t="inlineStr">
        <is>
          <t>68ccfa0cef1192001528a712</t>
        </is>
      </c>
      <c r="Q4813"/>
      <c r="R4813" t="inlineStr">
        <is>
          <t>17周</t>
        </is>
      </c>
      <c r="S4813" t="inlineStr">
        <is>
          <t>1.80</t>
        </is>
      </c>
      <c r="T4813" t="inlineStr">
        <is>
          <t>美妆个护</t>
        </is>
      </c>
      <c r="U4813" t="inlineStr">
        <is>
          <t>护肤彩妆</t>
        </is>
      </c>
      <c r="V4813" s="3">
        <v>46132.014918981484</v>
      </c>
      <c r="W4813" t="inlineStr">
        <is>
          <t>2026-Q2</t>
        </is>
      </c>
    </row>
  </sheetData>
  <conditionalFormatting sqref="H1:H1048576">
    <cfRule type="containsBlanks" dxfId="1" priority="1">
      <formula>LEN(TRIM(H1))=0</formula>
    </cfRule>
    <cfRule type="notContainsBlanks" dxfId="1" priority="2">
      <formula>LEN(TRIM(H1))&gt;0</formula>
    </cfRule>
  </conditionalFormatting>
  <dataValidations count="1">
    <dataValidation allowBlank="false" sqref="T2:T4812" type="list">
      <formula1>"服饰穿搭,家居生活,美食滋补,数码家电,运动潮玩,美妆个护,母婴亲子"</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